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urtis.stephens\Documents\GitHub\Bit Applications Tool\Bit Designs\2746\"/>
    </mc:Choice>
  </mc:AlternateContent>
  <xr:revisionPtr revIDLastSave="0" documentId="13_ncr:1_{BCF0B4C9-8BCB-4627-ADFF-4FB8C20A73B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heet1" sheetId="11" r:id="rId4"/>
    <sheet name="SN#.Run#" sheetId="7" r:id="rId5"/>
    <sheet name="MassProp" sheetId="10" r:id="rId6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4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4" hidden="1">'SN#.Run#'!$BF$4:$BK$4</definedName>
    <definedName name="solver_cvg" localSheetId="2" hidden="1">0.0001</definedName>
    <definedName name="solver_cvg" localSheetId="4" hidden="1">0.0001</definedName>
    <definedName name="solver_drv" localSheetId="2" hidden="1">1</definedName>
    <definedName name="solver_drv" localSheetId="4" hidden="1">1</definedName>
    <definedName name="solver_eng" localSheetId="4" hidden="1">1</definedName>
    <definedName name="solver_est" localSheetId="2" hidden="1">1</definedName>
    <definedName name="solver_est" localSheetId="4" hidden="1">1</definedName>
    <definedName name="solver_itr" localSheetId="2" hidden="1">100</definedName>
    <definedName name="solver_itr" localSheetId="4" hidden="1">2147483647</definedName>
    <definedName name="solver_lin" localSheetId="2" hidden="1">2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2" hidden="1">2</definedName>
    <definedName name="solver_neg" localSheetId="4" hidden="1">2</definedName>
    <definedName name="solver_nod" localSheetId="4" hidden="1">2147483647</definedName>
    <definedName name="solver_num" localSheetId="2" hidden="1">0</definedName>
    <definedName name="solver_num" localSheetId="4" hidden="1">0</definedName>
    <definedName name="solver_nwt" localSheetId="2" hidden="1">1</definedName>
    <definedName name="solver_nwt" localSheetId="4" hidden="1">1</definedName>
    <definedName name="solver_opt" localSheetId="2" hidden="1">Assy.Model!$GX$2</definedName>
    <definedName name="solver_opt" localSheetId="4" hidden="1">'SN#.Run#'!$BF$6</definedName>
    <definedName name="solver_pre" localSheetId="2" hidden="1">0.000001</definedName>
    <definedName name="solver_pre" localSheetId="4" hidden="1">0.000001</definedName>
    <definedName name="solver_rbv" localSheetId="4" hidden="1">1</definedName>
    <definedName name="solver_rlx" localSheetId="4" hidden="1">2</definedName>
    <definedName name="solver_rsd" localSheetId="4" hidden="1">0</definedName>
    <definedName name="solver_scl" localSheetId="2" hidden="1">2</definedName>
    <definedName name="solver_scl" localSheetId="4" hidden="1">1</definedName>
    <definedName name="solver_sho" localSheetId="2" hidden="1">2</definedName>
    <definedName name="solver_sho" localSheetId="4" hidden="1">2</definedName>
    <definedName name="solver_ssz" localSheetId="4" hidden="1">100</definedName>
    <definedName name="solver_tim" localSheetId="2" hidden="1">100</definedName>
    <definedName name="solver_tim" localSheetId="4" hidden="1">2147483647</definedName>
    <definedName name="solver_tol" localSheetId="2" hidden="1">0.05</definedName>
    <definedName name="solver_tol" localSheetId="4" hidden="1">0.01</definedName>
    <definedName name="solver_typ" localSheetId="2" hidden="1">3</definedName>
    <definedName name="solver_typ" localSheetId="4" hidden="1">2</definedName>
    <definedName name="solver_val" localSheetId="2" hidden="1">15000</definedName>
    <definedName name="solver_val" localSheetId="4" hidden="1">0</definedName>
    <definedName name="solver_ver" localSheetId="4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6" i="1" l="1"/>
  <c r="Z305" i="1" l="1"/>
  <c r="W305" i="1" s="1"/>
  <c r="H150" i="1" s="1"/>
  <c r="X305" i="1"/>
  <c r="I150" i="1" s="1"/>
  <c r="V305" i="1"/>
  <c r="G150" i="1" s="1"/>
  <c r="U305" i="1"/>
  <c r="F150" i="1" s="1"/>
  <c r="T305" i="1"/>
  <c r="E150" i="1" s="1"/>
  <c r="S305" i="1"/>
  <c r="R305" i="1"/>
  <c r="Q305" i="1"/>
  <c r="Z304" i="1"/>
  <c r="W304" i="1" s="1"/>
  <c r="H149" i="1" s="1"/>
  <c r="X304" i="1"/>
  <c r="I149" i="1" s="1"/>
  <c r="V304" i="1"/>
  <c r="G149" i="1" s="1"/>
  <c r="U304" i="1"/>
  <c r="F149" i="1" s="1"/>
  <c r="T304" i="1"/>
  <c r="E149" i="1" s="1"/>
  <c r="S304" i="1"/>
  <c r="R304" i="1"/>
  <c r="Q304" i="1"/>
  <c r="Z303" i="1"/>
  <c r="W303" i="1" s="1"/>
  <c r="H148" i="1" s="1"/>
  <c r="X303" i="1"/>
  <c r="I148" i="1" s="1"/>
  <c r="V303" i="1"/>
  <c r="G148" i="1" s="1"/>
  <c r="U303" i="1"/>
  <c r="F148" i="1" s="1"/>
  <c r="T303" i="1"/>
  <c r="E148" i="1" s="1"/>
  <c r="S303" i="1"/>
  <c r="R303" i="1"/>
  <c r="Q303" i="1"/>
  <c r="Z302" i="1"/>
  <c r="W302" i="1" s="1"/>
  <c r="H147" i="1" s="1"/>
  <c r="X302" i="1"/>
  <c r="I147" i="1" s="1"/>
  <c r="V302" i="1"/>
  <c r="G147" i="1" s="1"/>
  <c r="U302" i="1"/>
  <c r="F147" i="1" s="1"/>
  <c r="T302" i="1"/>
  <c r="E147" i="1" s="1"/>
  <c r="S302" i="1"/>
  <c r="R302" i="1"/>
  <c r="Q302" i="1"/>
  <c r="Z301" i="1"/>
  <c r="W301" i="1" s="1"/>
  <c r="H146" i="1" s="1"/>
  <c r="X301" i="1"/>
  <c r="I146" i="1" s="1"/>
  <c r="V301" i="1"/>
  <c r="G146" i="1" s="1"/>
  <c r="U301" i="1"/>
  <c r="F146" i="1" s="1"/>
  <c r="T301" i="1"/>
  <c r="E146" i="1" s="1"/>
  <c r="S301" i="1"/>
  <c r="R301" i="1"/>
  <c r="Q301" i="1"/>
  <c r="Z300" i="1"/>
  <c r="W300" i="1" s="1"/>
  <c r="H145" i="1" s="1"/>
  <c r="X300" i="1"/>
  <c r="I145" i="1" s="1"/>
  <c r="V300" i="1"/>
  <c r="G145" i="1" s="1"/>
  <c r="U300" i="1"/>
  <c r="F145" i="1" s="1"/>
  <c r="T300" i="1"/>
  <c r="E145" i="1" s="1"/>
  <c r="S300" i="1"/>
  <c r="R300" i="1"/>
  <c r="Q300" i="1"/>
  <c r="Z299" i="1"/>
  <c r="W299" i="1" s="1"/>
  <c r="H144" i="1" s="1"/>
  <c r="X299" i="1"/>
  <c r="I144" i="1" s="1"/>
  <c r="V299" i="1"/>
  <c r="G144" i="1" s="1"/>
  <c r="U299" i="1"/>
  <c r="F144" i="1" s="1"/>
  <c r="T299" i="1"/>
  <c r="E144" i="1" s="1"/>
  <c r="S299" i="1"/>
  <c r="R299" i="1"/>
  <c r="Q299" i="1"/>
  <c r="Z298" i="1"/>
  <c r="W298" i="1" s="1"/>
  <c r="H143" i="1" s="1"/>
  <c r="X298" i="1"/>
  <c r="I143" i="1" s="1"/>
  <c r="V298" i="1"/>
  <c r="G143" i="1" s="1"/>
  <c r="U298" i="1"/>
  <c r="F143" i="1" s="1"/>
  <c r="T298" i="1"/>
  <c r="E143" i="1" s="1"/>
  <c r="S298" i="1"/>
  <c r="R298" i="1"/>
  <c r="Q298" i="1"/>
  <c r="Z297" i="1"/>
  <c r="W297" i="1" s="1"/>
  <c r="H142" i="1" s="1"/>
  <c r="X297" i="1"/>
  <c r="I142" i="1" s="1"/>
  <c r="V297" i="1"/>
  <c r="G142" i="1" s="1"/>
  <c r="U297" i="1"/>
  <c r="F142" i="1" s="1"/>
  <c r="T297" i="1"/>
  <c r="E142" i="1" s="1"/>
  <c r="S297" i="1"/>
  <c r="R297" i="1"/>
  <c r="Q297" i="1"/>
  <c r="Z296" i="1"/>
  <c r="W296" i="1" s="1"/>
  <c r="H141" i="1" s="1"/>
  <c r="X296" i="1"/>
  <c r="I141" i="1" s="1"/>
  <c r="V296" i="1"/>
  <c r="G141" i="1" s="1"/>
  <c r="U296" i="1"/>
  <c r="F141" i="1" s="1"/>
  <c r="T296" i="1"/>
  <c r="E141" i="1" s="1"/>
  <c r="S296" i="1"/>
  <c r="R296" i="1"/>
  <c r="Q296" i="1"/>
  <c r="Z295" i="1"/>
  <c r="W295" i="1" s="1"/>
  <c r="H140" i="1" s="1"/>
  <c r="X295" i="1"/>
  <c r="I140" i="1" s="1"/>
  <c r="V295" i="1"/>
  <c r="G140" i="1" s="1"/>
  <c r="U295" i="1"/>
  <c r="F140" i="1" s="1"/>
  <c r="T295" i="1"/>
  <c r="E140" i="1" s="1"/>
  <c r="S295" i="1"/>
  <c r="R295" i="1"/>
  <c r="Q295" i="1"/>
  <c r="Z294" i="1"/>
  <c r="W294" i="1" s="1"/>
  <c r="H139" i="1" s="1"/>
  <c r="X294" i="1"/>
  <c r="I139" i="1" s="1"/>
  <c r="V294" i="1"/>
  <c r="G139" i="1" s="1"/>
  <c r="U294" i="1"/>
  <c r="F139" i="1" s="1"/>
  <c r="T294" i="1"/>
  <c r="E139" i="1" s="1"/>
  <c r="S294" i="1"/>
  <c r="R294" i="1"/>
  <c r="Q294" i="1"/>
  <c r="Z293" i="1"/>
  <c r="W293" i="1" s="1"/>
  <c r="H138" i="1" s="1"/>
  <c r="X293" i="1"/>
  <c r="I138" i="1" s="1"/>
  <c r="V293" i="1"/>
  <c r="G138" i="1" s="1"/>
  <c r="U293" i="1"/>
  <c r="F138" i="1" s="1"/>
  <c r="T293" i="1"/>
  <c r="E138" i="1" s="1"/>
  <c r="S293" i="1"/>
  <c r="R293" i="1"/>
  <c r="Q293" i="1"/>
  <c r="Z292" i="1"/>
  <c r="W292" i="1" s="1"/>
  <c r="H137" i="1" s="1"/>
  <c r="X292" i="1"/>
  <c r="I137" i="1" s="1"/>
  <c r="V292" i="1"/>
  <c r="G137" i="1" s="1"/>
  <c r="U292" i="1"/>
  <c r="F137" i="1" s="1"/>
  <c r="T292" i="1"/>
  <c r="E137" i="1" s="1"/>
  <c r="S292" i="1"/>
  <c r="R292" i="1"/>
  <c r="Q292" i="1"/>
  <c r="Z291" i="1"/>
  <c r="W291" i="1" s="1"/>
  <c r="H136" i="1" s="1"/>
  <c r="X291" i="1"/>
  <c r="I136" i="1" s="1"/>
  <c r="V291" i="1"/>
  <c r="G136" i="1" s="1"/>
  <c r="U291" i="1"/>
  <c r="F136" i="1" s="1"/>
  <c r="T291" i="1"/>
  <c r="E136" i="1" s="1"/>
  <c r="S291" i="1"/>
  <c r="R291" i="1"/>
  <c r="Q291" i="1"/>
  <c r="Z290" i="1"/>
  <c r="W290" i="1" s="1"/>
  <c r="H135" i="1" s="1"/>
  <c r="X290" i="1"/>
  <c r="I135" i="1" s="1"/>
  <c r="V290" i="1"/>
  <c r="G135" i="1" s="1"/>
  <c r="U290" i="1"/>
  <c r="F135" i="1" s="1"/>
  <c r="T290" i="1"/>
  <c r="E135" i="1" s="1"/>
  <c r="S290" i="1"/>
  <c r="R290" i="1"/>
  <c r="Q290" i="1"/>
  <c r="Z289" i="1"/>
  <c r="W289" i="1" s="1"/>
  <c r="H134" i="1" s="1"/>
  <c r="X289" i="1"/>
  <c r="I134" i="1" s="1"/>
  <c r="V289" i="1"/>
  <c r="G134" i="1" s="1"/>
  <c r="U289" i="1"/>
  <c r="F134" i="1" s="1"/>
  <c r="T289" i="1"/>
  <c r="E134" i="1" s="1"/>
  <c r="S289" i="1"/>
  <c r="R289" i="1"/>
  <c r="Q289" i="1"/>
  <c r="Z288" i="1"/>
  <c r="W288" i="1" s="1"/>
  <c r="H133" i="1" s="1"/>
  <c r="X288" i="1"/>
  <c r="I133" i="1" s="1"/>
  <c r="V288" i="1"/>
  <c r="G133" i="1" s="1"/>
  <c r="U288" i="1"/>
  <c r="F133" i="1" s="1"/>
  <c r="T288" i="1"/>
  <c r="E133" i="1" s="1"/>
  <c r="S288" i="1"/>
  <c r="R288" i="1"/>
  <c r="Q288" i="1"/>
  <c r="Z287" i="1"/>
  <c r="W287" i="1" s="1"/>
  <c r="H132" i="1" s="1"/>
  <c r="X287" i="1"/>
  <c r="I132" i="1" s="1"/>
  <c r="V287" i="1"/>
  <c r="G132" i="1" s="1"/>
  <c r="U287" i="1"/>
  <c r="F132" i="1" s="1"/>
  <c r="T287" i="1"/>
  <c r="E132" i="1" s="1"/>
  <c r="S287" i="1"/>
  <c r="R287" i="1"/>
  <c r="Q287" i="1"/>
  <c r="Z286" i="1"/>
  <c r="W286" i="1" s="1"/>
  <c r="H131" i="1" s="1"/>
  <c r="X286" i="1"/>
  <c r="I131" i="1" s="1"/>
  <c r="V286" i="1"/>
  <c r="G131" i="1" s="1"/>
  <c r="U286" i="1"/>
  <c r="F131" i="1" s="1"/>
  <c r="T286" i="1"/>
  <c r="E131" i="1" s="1"/>
  <c r="S286" i="1"/>
  <c r="R286" i="1"/>
  <c r="Q286" i="1"/>
  <c r="Z285" i="1"/>
  <c r="K130" i="1" s="1"/>
  <c r="A130" i="1" s="1"/>
  <c r="X285" i="1"/>
  <c r="I130" i="1" s="1"/>
  <c r="V285" i="1"/>
  <c r="G130" i="1" s="1"/>
  <c r="U285" i="1"/>
  <c r="F130" i="1" s="1"/>
  <c r="T285" i="1"/>
  <c r="E130" i="1" s="1"/>
  <c r="S285" i="1"/>
  <c r="R285" i="1"/>
  <c r="Q285" i="1"/>
  <c r="Z284" i="1"/>
  <c r="W284" i="1" s="1"/>
  <c r="H129" i="1" s="1"/>
  <c r="X284" i="1"/>
  <c r="I129" i="1" s="1"/>
  <c r="V284" i="1"/>
  <c r="G129" i="1" s="1"/>
  <c r="U284" i="1"/>
  <c r="F129" i="1" s="1"/>
  <c r="T284" i="1"/>
  <c r="E129" i="1" s="1"/>
  <c r="S284" i="1"/>
  <c r="R284" i="1"/>
  <c r="Q284" i="1"/>
  <c r="Z283" i="1"/>
  <c r="W283" i="1" s="1"/>
  <c r="H128" i="1" s="1"/>
  <c r="X283" i="1"/>
  <c r="I128" i="1" s="1"/>
  <c r="V283" i="1"/>
  <c r="G128" i="1" s="1"/>
  <c r="U283" i="1"/>
  <c r="F128" i="1" s="1"/>
  <c r="T283" i="1"/>
  <c r="E128" i="1" s="1"/>
  <c r="S283" i="1"/>
  <c r="R283" i="1"/>
  <c r="Q283" i="1"/>
  <c r="Z282" i="1"/>
  <c r="W282" i="1" s="1"/>
  <c r="H127" i="1" s="1"/>
  <c r="X282" i="1"/>
  <c r="I127" i="1" s="1"/>
  <c r="V282" i="1"/>
  <c r="G127" i="1" s="1"/>
  <c r="U282" i="1"/>
  <c r="F127" i="1" s="1"/>
  <c r="T282" i="1"/>
  <c r="E127" i="1" s="1"/>
  <c r="S282" i="1"/>
  <c r="R282" i="1"/>
  <c r="Q282" i="1"/>
  <c r="Z281" i="1"/>
  <c r="W281" i="1" s="1"/>
  <c r="H126" i="1" s="1"/>
  <c r="X281" i="1"/>
  <c r="I126" i="1" s="1"/>
  <c r="V281" i="1"/>
  <c r="G126" i="1" s="1"/>
  <c r="U281" i="1"/>
  <c r="F126" i="1" s="1"/>
  <c r="T281" i="1"/>
  <c r="E126" i="1" s="1"/>
  <c r="S281" i="1"/>
  <c r="R281" i="1"/>
  <c r="Q281" i="1"/>
  <c r="Z280" i="1"/>
  <c r="W280" i="1" s="1"/>
  <c r="H125" i="1" s="1"/>
  <c r="X280" i="1"/>
  <c r="I125" i="1" s="1"/>
  <c r="V280" i="1"/>
  <c r="G125" i="1" s="1"/>
  <c r="U280" i="1"/>
  <c r="F125" i="1" s="1"/>
  <c r="T280" i="1"/>
  <c r="E125" i="1" s="1"/>
  <c r="S280" i="1"/>
  <c r="R280" i="1"/>
  <c r="Q280" i="1"/>
  <c r="Z279" i="1"/>
  <c r="W279" i="1" s="1"/>
  <c r="H124" i="1" s="1"/>
  <c r="X279" i="1"/>
  <c r="I124" i="1" s="1"/>
  <c r="V279" i="1"/>
  <c r="G124" i="1" s="1"/>
  <c r="U279" i="1"/>
  <c r="F124" i="1" s="1"/>
  <c r="T279" i="1"/>
  <c r="E124" i="1" s="1"/>
  <c r="S279" i="1"/>
  <c r="R279" i="1"/>
  <c r="Q279" i="1"/>
  <c r="Z278" i="1"/>
  <c r="W278" i="1" s="1"/>
  <c r="H123" i="1" s="1"/>
  <c r="X278" i="1"/>
  <c r="I123" i="1" s="1"/>
  <c r="V278" i="1"/>
  <c r="G123" i="1" s="1"/>
  <c r="U278" i="1"/>
  <c r="F123" i="1" s="1"/>
  <c r="T278" i="1"/>
  <c r="E123" i="1" s="1"/>
  <c r="S278" i="1"/>
  <c r="R278" i="1"/>
  <c r="Q278" i="1"/>
  <c r="Z277" i="1"/>
  <c r="W277" i="1" s="1"/>
  <c r="H122" i="1" s="1"/>
  <c r="X277" i="1"/>
  <c r="I122" i="1" s="1"/>
  <c r="V277" i="1"/>
  <c r="G122" i="1" s="1"/>
  <c r="U277" i="1"/>
  <c r="F122" i="1" s="1"/>
  <c r="T277" i="1"/>
  <c r="E122" i="1" s="1"/>
  <c r="S277" i="1"/>
  <c r="R277" i="1"/>
  <c r="Q277" i="1"/>
  <c r="Z276" i="1"/>
  <c r="W276" i="1" s="1"/>
  <c r="H121" i="1" s="1"/>
  <c r="X276" i="1"/>
  <c r="I121" i="1" s="1"/>
  <c r="V276" i="1"/>
  <c r="G121" i="1" s="1"/>
  <c r="U276" i="1"/>
  <c r="F121" i="1" s="1"/>
  <c r="T276" i="1"/>
  <c r="E121" i="1" s="1"/>
  <c r="S276" i="1"/>
  <c r="R276" i="1"/>
  <c r="Q276" i="1"/>
  <c r="Z275" i="1"/>
  <c r="W275" i="1" s="1"/>
  <c r="H120" i="1" s="1"/>
  <c r="X275" i="1"/>
  <c r="I120" i="1" s="1"/>
  <c r="V275" i="1"/>
  <c r="G120" i="1" s="1"/>
  <c r="U275" i="1"/>
  <c r="F120" i="1" s="1"/>
  <c r="T275" i="1"/>
  <c r="E120" i="1" s="1"/>
  <c r="S275" i="1"/>
  <c r="R275" i="1"/>
  <c r="Q275" i="1"/>
  <c r="Z274" i="1"/>
  <c r="K119" i="1" s="1"/>
  <c r="A119" i="1" s="1"/>
  <c r="X274" i="1"/>
  <c r="I119" i="1" s="1"/>
  <c r="V274" i="1"/>
  <c r="G119" i="1" s="1"/>
  <c r="U274" i="1"/>
  <c r="F119" i="1" s="1"/>
  <c r="T274" i="1"/>
  <c r="E119" i="1" s="1"/>
  <c r="S274" i="1"/>
  <c r="R274" i="1"/>
  <c r="Q274" i="1"/>
  <c r="Z273" i="1"/>
  <c r="W273" i="1" s="1"/>
  <c r="H118" i="1" s="1"/>
  <c r="X273" i="1"/>
  <c r="I118" i="1" s="1"/>
  <c r="V273" i="1"/>
  <c r="G118" i="1" s="1"/>
  <c r="U273" i="1"/>
  <c r="F118" i="1" s="1"/>
  <c r="T273" i="1"/>
  <c r="E118" i="1" s="1"/>
  <c r="S273" i="1"/>
  <c r="R273" i="1"/>
  <c r="Q273" i="1"/>
  <c r="Z272" i="1"/>
  <c r="W272" i="1" s="1"/>
  <c r="H117" i="1" s="1"/>
  <c r="X272" i="1"/>
  <c r="I117" i="1" s="1"/>
  <c r="V272" i="1"/>
  <c r="G117" i="1" s="1"/>
  <c r="U272" i="1"/>
  <c r="F117" i="1" s="1"/>
  <c r="T272" i="1"/>
  <c r="E117" i="1" s="1"/>
  <c r="S272" i="1"/>
  <c r="R272" i="1"/>
  <c r="Q272" i="1"/>
  <c r="Z271" i="1"/>
  <c r="W271" i="1" s="1"/>
  <c r="H116" i="1" s="1"/>
  <c r="X271" i="1"/>
  <c r="I116" i="1" s="1"/>
  <c r="V271" i="1"/>
  <c r="G116" i="1" s="1"/>
  <c r="U271" i="1"/>
  <c r="F116" i="1" s="1"/>
  <c r="T271" i="1"/>
  <c r="E116" i="1" s="1"/>
  <c r="S271" i="1"/>
  <c r="R271" i="1"/>
  <c r="Q271" i="1"/>
  <c r="Z270" i="1"/>
  <c r="W270" i="1" s="1"/>
  <c r="H115" i="1" s="1"/>
  <c r="X270" i="1"/>
  <c r="I115" i="1" s="1"/>
  <c r="V270" i="1"/>
  <c r="G115" i="1" s="1"/>
  <c r="U270" i="1"/>
  <c r="F115" i="1" s="1"/>
  <c r="T270" i="1"/>
  <c r="E115" i="1" s="1"/>
  <c r="S270" i="1"/>
  <c r="R270" i="1"/>
  <c r="Q270" i="1"/>
  <c r="Z269" i="1"/>
  <c r="K114" i="1" s="1"/>
  <c r="A114" i="1" s="1"/>
  <c r="X269" i="1"/>
  <c r="I114" i="1" s="1"/>
  <c r="V269" i="1"/>
  <c r="G114" i="1" s="1"/>
  <c r="U269" i="1"/>
  <c r="F114" i="1" s="1"/>
  <c r="T269" i="1"/>
  <c r="E114" i="1" s="1"/>
  <c r="S269" i="1"/>
  <c r="R269" i="1"/>
  <c r="Q269" i="1"/>
  <c r="Z268" i="1"/>
  <c r="W268" i="1" s="1"/>
  <c r="H113" i="1" s="1"/>
  <c r="X268" i="1"/>
  <c r="I113" i="1" s="1"/>
  <c r="V268" i="1"/>
  <c r="G113" i="1" s="1"/>
  <c r="U268" i="1"/>
  <c r="F113" i="1" s="1"/>
  <c r="T268" i="1"/>
  <c r="E113" i="1" s="1"/>
  <c r="S268" i="1"/>
  <c r="R268" i="1"/>
  <c r="Q268" i="1"/>
  <c r="Z267" i="1"/>
  <c r="W267" i="1" s="1"/>
  <c r="H112" i="1" s="1"/>
  <c r="X267" i="1"/>
  <c r="I112" i="1" s="1"/>
  <c r="V267" i="1"/>
  <c r="G112" i="1" s="1"/>
  <c r="U267" i="1"/>
  <c r="F112" i="1" s="1"/>
  <c r="T267" i="1"/>
  <c r="E112" i="1" s="1"/>
  <c r="S267" i="1"/>
  <c r="R267" i="1"/>
  <c r="Q267" i="1"/>
  <c r="Z266" i="1"/>
  <c r="W266" i="1" s="1"/>
  <c r="H111" i="1" s="1"/>
  <c r="X266" i="1"/>
  <c r="I111" i="1" s="1"/>
  <c r="V266" i="1"/>
  <c r="G111" i="1" s="1"/>
  <c r="U266" i="1"/>
  <c r="F111" i="1" s="1"/>
  <c r="T266" i="1"/>
  <c r="E111" i="1" s="1"/>
  <c r="S266" i="1"/>
  <c r="R266" i="1"/>
  <c r="Q266" i="1"/>
  <c r="Z265" i="1"/>
  <c r="W265" i="1" s="1"/>
  <c r="H110" i="1" s="1"/>
  <c r="X265" i="1"/>
  <c r="I110" i="1" s="1"/>
  <c r="V265" i="1"/>
  <c r="G110" i="1" s="1"/>
  <c r="U265" i="1"/>
  <c r="F110" i="1" s="1"/>
  <c r="T265" i="1"/>
  <c r="E110" i="1" s="1"/>
  <c r="S265" i="1"/>
  <c r="R265" i="1"/>
  <c r="Q265" i="1"/>
  <c r="Z264" i="1"/>
  <c r="W264" i="1" s="1"/>
  <c r="H109" i="1" s="1"/>
  <c r="X264" i="1"/>
  <c r="I109" i="1" s="1"/>
  <c r="V264" i="1"/>
  <c r="G109" i="1" s="1"/>
  <c r="U264" i="1"/>
  <c r="F109" i="1" s="1"/>
  <c r="T264" i="1"/>
  <c r="E109" i="1" s="1"/>
  <c r="S264" i="1"/>
  <c r="R264" i="1"/>
  <c r="Q264" i="1"/>
  <c r="Z263" i="1"/>
  <c r="W263" i="1" s="1"/>
  <c r="H108" i="1" s="1"/>
  <c r="X263" i="1"/>
  <c r="I108" i="1" s="1"/>
  <c r="V263" i="1"/>
  <c r="G108" i="1" s="1"/>
  <c r="U263" i="1"/>
  <c r="F108" i="1" s="1"/>
  <c r="T263" i="1"/>
  <c r="E108" i="1" s="1"/>
  <c r="S263" i="1"/>
  <c r="R263" i="1"/>
  <c r="Q263" i="1"/>
  <c r="Z262" i="1"/>
  <c r="W262" i="1" s="1"/>
  <c r="H107" i="1" s="1"/>
  <c r="X262" i="1"/>
  <c r="I107" i="1" s="1"/>
  <c r="V262" i="1"/>
  <c r="G107" i="1" s="1"/>
  <c r="U262" i="1"/>
  <c r="F107" i="1" s="1"/>
  <c r="T262" i="1"/>
  <c r="E107" i="1" s="1"/>
  <c r="S262" i="1"/>
  <c r="R262" i="1"/>
  <c r="Q262" i="1"/>
  <c r="Z261" i="1"/>
  <c r="K106" i="1" s="1"/>
  <c r="A106" i="1" s="1"/>
  <c r="X261" i="1"/>
  <c r="I106" i="1" s="1"/>
  <c r="V261" i="1"/>
  <c r="G106" i="1" s="1"/>
  <c r="U261" i="1"/>
  <c r="F106" i="1" s="1"/>
  <c r="T261" i="1"/>
  <c r="E106" i="1" s="1"/>
  <c r="S261" i="1"/>
  <c r="R261" i="1"/>
  <c r="Q261" i="1"/>
  <c r="Z260" i="1"/>
  <c r="W260" i="1" s="1"/>
  <c r="H105" i="1" s="1"/>
  <c r="X260" i="1"/>
  <c r="I105" i="1" s="1"/>
  <c r="V260" i="1"/>
  <c r="G105" i="1" s="1"/>
  <c r="U260" i="1"/>
  <c r="F105" i="1" s="1"/>
  <c r="T260" i="1"/>
  <c r="E105" i="1" s="1"/>
  <c r="S260" i="1"/>
  <c r="R260" i="1"/>
  <c r="Q260" i="1"/>
  <c r="Z259" i="1"/>
  <c r="W259" i="1" s="1"/>
  <c r="H104" i="1" s="1"/>
  <c r="X259" i="1"/>
  <c r="I104" i="1" s="1"/>
  <c r="V259" i="1"/>
  <c r="G104" i="1" s="1"/>
  <c r="U259" i="1"/>
  <c r="F104" i="1" s="1"/>
  <c r="T259" i="1"/>
  <c r="E104" i="1" s="1"/>
  <c r="S259" i="1"/>
  <c r="R259" i="1"/>
  <c r="Q259" i="1"/>
  <c r="Z258" i="1"/>
  <c r="K103" i="1" s="1"/>
  <c r="A103" i="1" s="1"/>
  <c r="X258" i="1"/>
  <c r="I103" i="1" s="1"/>
  <c r="V258" i="1"/>
  <c r="G103" i="1" s="1"/>
  <c r="U258" i="1"/>
  <c r="F103" i="1" s="1"/>
  <c r="T258" i="1"/>
  <c r="E103" i="1" s="1"/>
  <c r="S258" i="1"/>
  <c r="R258" i="1"/>
  <c r="Q258" i="1"/>
  <c r="Z257" i="1"/>
  <c r="W257" i="1" s="1"/>
  <c r="H102" i="1" s="1"/>
  <c r="X257" i="1"/>
  <c r="I102" i="1" s="1"/>
  <c r="V257" i="1"/>
  <c r="G102" i="1" s="1"/>
  <c r="U257" i="1"/>
  <c r="F102" i="1" s="1"/>
  <c r="T257" i="1"/>
  <c r="E102" i="1" s="1"/>
  <c r="S257" i="1"/>
  <c r="R257" i="1"/>
  <c r="Q257" i="1"/>
  <c r="Z256" i="1"/>
  <c r="W256" i="1" s="1"/>
  <c r="H101" i="1" s="1"/>
  <c r="X256" i="1"/>
  <c r="I101" i="1" s="1"/>
  <c r="V256" i="1"/>
  <c r="G101" i="1" s="1"/>
  <c r="U256" i="1"/>
  <c r="F101" i="1" s="1"/>
  <c r="T256" i="1"/>
  <c r="E101" i="1" s="1"/>
  <c r="S256" i="1"/>
  <c r="R256" i="1"/>
  <c r="Q256" i="1"/>
  <c r="Z255" i="1"/>
  <c r="K100" i="1" s="1"/>
  <c r="A100" i="1" s="1"/>
  <c r="X255" i="1"/>
  <c r="I100" i="1" s="1"/>
  <c r="V255" i="1"/>
  <c r="G100" i="1" s="1"/>
  <c r="U255" i="1"/>
  <c r="F100" i="1" s="1"/>
  <c r="T255" i="1"/>
  <c r="E100" i="1" s="1"/>
  <c r="S255" i="1"/>
  <c r="R255" i="1"/>
  <c r="Q255" i="1"/>
  <c r="Z254" i="1"/>
  <c r="W254" i="1" s="1"/>
  <c r="H99" i="1" s="1"/>
  <c r="X254" i="1"/>
  <c r="I99" i="1" s="1"/>
  <c r="V254" i="1"/>
  <c r="G99" i="1" s="1"/>
  <c r="U254" i="1"/>
  <c r="F99" i="1" s="1"/>
  <c r="T254" i="1"/>
  <c r="E99" i="1" s="1"/>
  <c r="S254" i="1"/>
  <c r="R254" i="1"/>
  <c r="Q254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F79" i="11"/>
  <c r="F71" i="11"/>
  <c r="F63" i="11"/>
  <c r="F55" i="11"/>
  <c r="F39" i="11"/>
  <c r="F31" i="11"/>
  <c r="F23" i="11"/>
  <c r="G23" i="11" s="1"/>
  <c r="F82" i="11"/>
  <c r="G82" i="11" s="1"/>
  <c r="F74" i="11"/>
  <c r="F66" i="11"/>
  <c r="F58" i="11"/>
  <c r="F50" i="11"/>
  <c r="F34" i="11"/>
  <c r="F26" i="11"/>
  <c r="F19" i="11"/>
  <c r="G19" i="11" s="1"/>
  <c r="F14" i="11"/>
  <c r="G14" i="11" s="1"/>
  <c r="F10" i="11"/>
  <c r="F6" i="11"/>
  <c r="D81" i="11"/>
  <c r="F81" i="11" s="1"/>
  <c r="D69" i="11"/>
  <c r="F69" i="11" s="1"/>
  <c r="D57" i="11"/>
  <c r="F57" i="11" s="1"/>
  <c r="D45" i="11"/>
  <c r="F45" i="11" s="1"/>
  <c r="D33" i="11"/>
  <c r="F33" i="11" s="1"/>
  <c r="D80" i="11"/>
  <c r="F80" i="11" s="1"/>
  <c r="D68" i="11"/>
  <c r="F68" i="11" s="1"/>
  <c r="D56" i="11"/>
  <c r="F56" i="11" s="1"/>
  <c r="D44" i="11"/>
  <c r="F44" i="11" s="1"/>
  <c r="D32" i="11"/>
  <c r="F32" i="11" s="1"/>
  <c r="D21" i="11"/>
  <c r="F21" i="11" s="1"/>
  <c r="D83" i="11"/>
  <c r="F83" i="11" s="1"/>
  <c r="D71" i="11"/>
  <c r="E71" i="11" s="1"/>
  <c r="D59" i="11"/>
  <c r="F59" i="11" s="1"/>
  <c r="D47" i="11"/>
  <c r="F47" i="11" s="1"/>
  <c r="D35" i="11"/>
  <c r="F35" i="11" s="1"/>
  <c r="D23" i="11"/>
  <c r="E23" i="11" s="1"/>
  <c r="D82" i="11"/>
  <c r="E82" i="11" s="1"/>
  <c r="D70" i="11"/>
  <c r="F70" i="11" s="1"/>
  <c r="D58" i="11"/>
  <c r="E58" i="11" s="1"/>
  <c r="D46" i="11"/>
  <c r="F46" i="11" s="1"/>
  <c r="D34" i="11"/>
  <c r="E34" i="11" s="1"/>
  <c r="D22" i="11"/>
  <c r="F22" i="11" s="1"/>
  <c r="D14" i="11"/>
  <c r="E14" i="11" s="1"/>
  <c r="D11" i="11"/>
  <c r="F11" i="11" s="1"/>
  <c r="D8" i="11"/>
  <c r="F8" i="11" s="1"/>
  <c r="D77" i="11"/>
  <c r="F77" i="11" s="1"/>
  <c r="D65" i="11"/>
  <c r="F65" i="11" s="1"/>
  <c r="D53" i="11"/>
  <c r="F53" i="11" s="1"/>
  <c r="D41" i="11"/>
  <c r="F41" i="11" s="1"/>
  <c r="D29" i="11"/>
  <c r="F29" i="11" s="1"/>
  <c r="D76" i="11"/>
  <c r="F76" i="11" s="1"/>
  <c r="D64" i="11"/>
  <c r="F64" i="11" s="1"/>
  <c r="D52" i="11"/>
  <c r="F52" i="11" s="1"/>
  <c r="D40" i="11"/>
  <c r="F40" i="11" s="1"/>
  <c r="D28" i="11"/>
  <c r="F28" i="11" s="1"/>
  <c r="D18" i="11"/>
  <c r="F18" i="11" s="1"/>
  <c r="D79" i="11"/>
  <c r="E79" i="11" s="1"/>
  <c r="D67" i="11"/>
  <c r="F67" i="11" s="1"/>
  <c r="D55" i="11"/>
  <c r="E55" i="11" s="1"/>
  <c r="D43" i="11"/>
  <c r="F43" i="11" s="1"/>
  <c r="D31" i="11"/>
  <c r="E31" i="11" s="1"/>
  <c r="D20" i="11"/>
  <c r="F20" i="11" s="1"/>
  <c r="D78" i="11"/>
  <c r="F78" i="11" s="1"/>
  <c r="D66" i="11"/>
  <c r="E66" i="11" s="1"/>
  <c r="D54" i="11"/>
  <c r="F54" i="11" s="1"/>
  <c r="D42" i="11"/>
  <c r="F42" i="11" s="1"/>
  <c r="D30" i="11"/>
  <c r="F30" i="11" s="1"/>
  <c r="D19" i="11"/>
  <c r="E19" i="11" s="1"/>
  <c r="D13" i="11"/>
  <c r="F13" i="11" s="1"/>
  <c r="D10" i="11"/>
  <c r="E10" i="11" s="1"/>
  <c r="D7" i="11"/>
  <c r="F7" i="11" s="1"/>
  <c r="D85" i="11"/>
  <c r="F85" i="11" s="1"/>
  <c r="D73" i="11"/>
  <c r="F73" i="11" s="1"/>
  <c r="D61" i="11"/>
  <c r="F61" i="11" s="1"/>
  <c r="D49" i="11"/>
  <c r="F49" i="11" s="1"/>
  <c r="D37" i="11"/>
  <c r="F37" i="11" s="1"/>
  <c r="D25" i="11"/>
  <c r="F25" i="11" s="1"/>
  <c r="D84" i="11"/>
  <c r="F84" i="11" s="1"/>
  <c r="D72" i="11"/>
  <c r="F72" i="11" s="1"/>
  <c r="D60" i="11"/>
  <c r="F60" i="11" s="1"/>
  <c r="D48" i="11"/>
  <c r="F48" i="11" s="1"/>
  <c r="D36" i="11"/>
  <c r="F36" i="11" s="1"/>
  <c r="D24" i="11"/>
  <c r="F24" i="11" s="1"/>
  <c r="D15" i="11"/>
  <c r="F15" i="11" s="1"/>
  <c r="D75" i="11"/>
  <c r="F75" i="11" s="1"/>
  <c r="D63" i="11"/>
  <c r="E63" i="11" s="1"/>
  <c r="D51" i="11"/>
  <c r="F51" i="11" s="1"/>
  <c r="D39" i="11"/>
  <c r="E39" i="11" s="1"/>
  <c r="D27" i="11"/>
  <c r="F27" i="11" s="1"/>
  <c r="D17" i="11"/>
  <c r="F17" i="11" s="1"/>
  <c r="D74" i="11"/>
  <c r="E74" i="11" s="1"/>
  <c r="D62" i="11"/>
  <c r="F62" i="11" s="1"/>
  <c r="D50" i="11"/>
  <c r="E50" i="11" s="1"/>
  <c r="D38" i="11"/>
  <c r="F38" i="11" s="1"/>
  <c r="D26" i="11"/>
  <c r="E26" i="11" s="1"/>
  <c r="D16" i="11"/>
  <c r="F16" i="11" s="1"/>
  <c r="D12" i="11"/>
  <c r="F12" i="11" s="1"/>
  <c r="D9" i="11"/>
  <c r="F9" i="11" s="1"/>
  <c r="D6" i="11"/>
  <c r="E6" i="11" s="1"/>
  <c r="K150" i="1" l="1"/>
  <c r="A150" i="1" s="1"/>
  <c r="B150" i="1" s="1"/>
  <c r="K125" i="1"/>
  <c r="A125" i="1" s="1"/>
  <c r="C125" i="1" s="1"/>
  <c r="K148" i="1"/>
  <c r="A148" i="1" s="1"/>
  <c r="D148" i="1" s="1"/>
  <c r="K145" i="1"/>
  <c r="A145" i="1" s="1"/>
  <c r="D145" i="1" s="1"/>
  <c r="K120" i="1"/>
  <c r="A120" i="1" s="1"/>
  <c r="C120" i="1" s="1"/>
  <c r="K108" i="1"/>
  <c r="A108" i="1" s="1"/>
  <c r="D108" i="1" s="1"/>
  <c r="K117" i="1"/>
  <c r="A117" i="1" s="1"/>
  <c r="C117" i="1" s="1"/>
  <c r="K102" i="1"/>
  <c r="A102" i="1" s="1"/>
  <c r="B102" i="1" s="1"/>
  <c r="K123" i="1"/>
  <c r="A123" i="1" s="1"/>
  <c r="D123" i="1" s="1"/>
  <c r="K134" i="1"/>
  <c r="A134" i="1" s="1"/>
  <c r="B134" i="1" s="1"/>
  <c r="K139" i="1"/>
  <c r="A139" i="1" s="1"/>
  <c r="D139" i="1" s="1"/>
  <c r="K141" i="1"/>
  <c r="A141" i="1" s="1"/>
  <c r="D141" i="1" s="1"/>
  <c r="K105" i="1"/>
  <c r="A105" i="1" s="1"/>
  <c r="C105" i="1" s="1"/>
  <c r="K115" i="1"/>
  <c r="A115" i="1" s="1"/>
  <c r="B115" i="1" s="1"/>
  <c r="K136" i="1"/>
  <c r="A136" i="1" s="1"/>
  <c r="C136" i="1" s="1"/>
  <c r="K99" i="1"/>
  <c r="A99" i="1" s="1"/>
  <c r="D99" i="1" s="1"/>
  <c r="K121" i="1"/>
  <c r="A121" i="1" s="1"/>
  <c r="B121" i="1" s="1"/>
  <c r="K129" i="1"/>
  <c r="A129" i="1" s="1"/>
  <c r="C129" i="1" s="1"/>
  <c r="K132" i="1"/>
  <c r="A132" i="1" s="1"/>
  <c r="D132" i="1" s="1"/>
  <c r="K109" i="1"/>
  <c r="A109" i="1" s="1"/>
  <c r="C109" i="1" s="1"/>
  <c r="K137" i="1"/>
  <c r="A137" i="1" s="1"/>
  <c r="B137" i="1" s="1"/>
  <c r="K144" i="1"/>
  <c r="A144" i="1" s="1"/>
  <c r="C144" i="1" s="1"/>
  <c r="K149" i="1"/>
  <c r="A149" i="1" s="1"/>
  <c r="D149" i="1" s="1"/>
  <c r="K118" i="1"/>
  <c r="A118" i="1" s="1"/>
  <c r="B118" i="1" s="1"/>
  <c r="K113" i="1"/>
  <c r="A113" i="1" s="1"/>
  <c r="D113" i="1" s="1"/>
  <c r="K124" i="1"/>
  <c r="A124" i="1" s="1"/>
  <c r="B124" i="1" s="1"/>
  <c r="K135" i="1"/>
  <c r="A135" i="1" s="1"/>
  <c r="D135" i="1" s="1"/>
  <c r="K140" i="1"/>
  <c r="A140" i="1" s="1"/>
  <c r="D140" i="1" s="1"/>
  <c r="K147" i="1"/>
  <c r="A147" i="1" s="1"/>
  <c r="D147" i="1" s="1"/>
  <c r="K104" i="1"/>
  <c r="A104" i="1" s="1"/>
  <c r="C104" i="1" s="1"/>
  <c r="K107" i="1"/>
  <c r="A107" i="1" s="1"/>
  <c r="D107" i="1" s="1"/>
  <c r="K116" i="1"/>
  <c r="A116" i="1" s="1"/>
  <c r="B116" i="1" s="1"/>
  <c r="K122" i="1"/>
  <c r="A122" i="1" s="1"/>
  <c r="D122" i="1" s="1"/>
  <c r="K142" i="1"/>
  <c r="A142" i="1" s="1"/>
  <c r="D142" i="1" s="1"/>
  <c r="K101" i="1"/>
  <c r="A101" i="1" s="1"/>
  <c r="D101" i="1" s="1"/>
  <c r="K110" i="1"/>
  <c r="A110" i="1" s="1"/>
  <c r="D110" i="1" s="1"/>
  <c r="K128" i="1"/>
  <c r="A128" i="1" s="1"/>
  <c r="B128" i="1" s="1"/>
  <c r="K131" i="1"/>
  <c r="A131" i="1" s="1"/>
  <c r="D131" i="1" s="1"/>
  <c r="K138" i="1"/>
  <c r="A138" i="1" s="1"/>
  <c r="D138" i="1" s="1"/>
  <c r="W255" i="1"/>
  <c r="H100" i="1" s="1"/>
  <c r="K133" i="1"/>
  <c r="A133" i="1" s="1"/>
  <c r="D133" i="1" s="1"/>
  <c r="K112" i="1"/>
  <c r="A112" i="1" s="1"/>
  <c r="B112" i="1" s="1"/>
  <c r="K126" i="1"/>
  <c r="A126" i="1" s="1"/>
  <c r="B126" i="1" s="1"/>
  <c r="D100" i="1"/>
  <c r="D103" i="1"/>
  <c r="D119" i="1"/>
  <c r="B100" i="1"/>
  <c r="K143" i="1"/>
  <c r="A143" i="1" s="1"/>
  <c r="D143" i="1" s="1"/>
  <c r="K146" i="1"/>
  <c r="A146" i="1" s="1"/>
  <c r="C146" i="1" s="1"/>
  <c r="W261" i="1"/>
  <c r="H106" i="1" s="1"/>
  <c r="W269" i="1"/>
  <c r="H114" i="1" s="1"/>
  <c r="W285" i="1"/>
  <c r="H130" i="1" s="1"/>
  <c r="K127" i="1"/>
  <c r="A127" i="1" s="1"/>
  <c r="D127" i="1" s="1"/>
  <c r="K111" i="1"/>
  <c r="A111" i="1" s="1"/>
  <c r="D111" i="1" s="1"/>
  <c r="W258" i="1"/>
  <c r="H103" i="1" s="1"/>
  <c r="W274" i="1"/>
  <c r="H119" i="1" s="1"/>
  <c r="D130" i="1"/>
  <c r="C130" i="1"/>
  <c r="B130" i="1"/>
  <c r="D114" i="1"/>
  <c r="C114" i="1"/>
  <c r="B114" i="1"/>
  <c r="D106" i="1"/>
  <c r="C106" i="1"/>
  <c r="B106" i="1"/>
  <c r="C100" i="1"/>
  <c r="B103" i="1"/>
  <c r="B119" i="1"/>
  <c r="C103" i="1"/>
  <c r="C119" i="1"/>
  <c r="G78" i="11"/>
  <c r="G26" i="11"/>
  <c r="G31" i="11"/>
  <c r="G12" i="11"/>
  <c r="G34" i="11"/>
  <c r="G39" i="11"/>
  <c r="G25" i="11"/>
  <c r="G50" i="11"/>
  <c r="G55" i="11"/>
  <c r="G41" i="11"/>
  <c r="G53" i="11"/>
  <c r="G44" i="11"/>
  <c r="G81" i="11"/>
  <c r="G58" i="11"/>
  <c r="G63" i="11"/>
  <c r="G76" i="11"/>
  <c r="G6" i="11"/>
  <c r="G66" i="11"/>
  <c r="G71" i="11"/>
  <c r="G46" i="11"/>
  <c r="G9" i="11"/>
  <c r="G42" i="11"/>
  <c r="G22" i="11"/>
  <c r="G47" i="11"/>
  <c r="G10" i="11"/>
  <c r="G74" i="11"/>
  <c r="G79" i="11"/>
  <c r="E42" i="11"/>
  <c r="E47" i="11"/>
  <c r="E7" i="11"/>
  <c r="G7" i="11" s="1"/>
  <c r="E11" i="11"/>
  <c r="G11" i="11" s="1"/>
  <c r="E15" i="11"/>
  <c r="G15" i="11" s="1"/>
  <c r="E21" i="11"/>
  <c r="G21" i="11" s="1"/>
  <c r="E28" i="11"/>
  <c r="G28" i="11" s="1"/>
  <c r="E36" i="11"/>
  <c r="G36" i="11" s="1"/>
  <c r="E44" i="11"/>
  <c r="E52" i="11"/>
  <c r="G52" i="11" s="1"/>
  <c r="E60" i="11"/>
  <c r="G60" i="11" s="1"/>
  <c r="E68" i="11"/>
  <c r="G68" i="11" s="1"/>
  <c r="E76" i="11"/>
  <c r="E84" i="11"/>
  <c r="G84" i="11" s="1"/>
  <c r="E25" i="11"/>
  <c r="E33" i="11"/>
  <c r="G33" i="11" s="1"/>
  <c r="E41" i="11"/>
  <c r="E49" i="11"/>
  <c r="G49" i="11" s="1"/>
  <c r="E57" i="11"/>
  <c r="G57" i="11" s="1"/>
  <c r="E65" i="11"/>
  <c r="G65" i="11" s="1"/>
  <c r="E73" i="11"/>
  <c r="G73" i="11" s="1"/>
  <c r="E81" i="11"/>
  <c r="E8" i="11"/>
  <c r="G8" i="11" s="1"/>
  <c r="E12" i="11"/>
  <c r="E16" i="11"/>
  <c r="G16" i="11" s="1"/>
  <c r="E22" i="11"/>
  <c r="E30" i="11"/>
  <c r="G30" i="11" s="1"/>
  <c r="E38" i="11"/>
  <c r="G38" i="11" s="1"/>
  <c r="E46" i="11"/>
  <c r="E54" i="11"/>
  <c r="G54" i="11" s="1"/>
  <c r="E62" i="11"/>
  <c r="G62" i="11" s="1"/>
  <c r="E70" i="11"/>
  <c r="G70" i="11" s="1"/>
  <c r="E78" i="11"/>
  <c r="E17" i="11"/>
  <c r="G17" i="11" s="1"/>
  <c r="E27" i="11"/>
  <c r="G27" i="11" s="1"/>
  <c r="E35" i="11"/>
  <c r="G35" i="11" s="1"/>
  <c r="E43" i="11"/>
  <c r="G43" i="11" s="1"/>
  <c r="E51" i="11"/>
  <c r="G51" i="11" s="1"/>
  <c r="E59" i="11"/>
  <c r="G59" i="11" s="1"/>
  <c r="E67" i="11"/>
  <c r="G67" i="11" s="1"/>
  <c r="E75" i="11"/>
  <c r="G75" i="11" s="1"/>
  <c r="E83" i="11"/>
  <c r="G83" i="11" s="1"/>
  <c r="E9" i="11"/>
  <c r="E13" i="11"/>
  <c r="G13" i="11" s="1"/>
  <c r="E18" i="11"/>
  <c r="G18" i="11" s="1"/>
  <c r="E24" i="11"/>
  <c r="G24" i="11" s="1"/>
  <c r="E32" i="11"/>
  <c r="G32" i="11" s="1"/>
  <c r="E40" i="11"/>
  <c r="G40" i="11" s="1"/>
  <c r="E48" i="11"/>
  <c r="G48" i="11" s="1"/>
  <c r="E56" i="11"/>
  <c r="G56" i="11" s="1"/>
  <c r="E64" i="11"/>
  <c r="G64" i="11" s="1"/>
  <c r="E72" i="11"/>
  <c r="G72" i="11" s="1"/>
  <c r="E80" i="11"/>
  <c r="G80" i="11" s="1"/>
  <c r="E20" i="11"/>
  <c r="G20" i="11" s="1"/>
  <c r="E29" i="11"/>
  <c r="G29" i="11" s="1"/>
  <c r="E37" i="11"/>
  <c r="G37" i="11" s="1"/>
  <c r="E45" i="11"/>
  <c r="G45" i="11" s="1"/>
  <c r="E53" i="11"/>
  <c r="E61" i="11"/>
  <c r="G61" i="11" s="1"/>
  <c r="E69" i="11"/>
  <c r="G69" i="11" s="1"/>
  <c r="E77" i="11"/>
  <c r="G77" i="11" s="1"/>
  <c r="E85" i="11"/>
  <c r="G85" i="11" s="1"/>
  <c r="C150" i="1" l="1"/>
  <c r="D150" i="1"/>
  <c r="C107" i="1"/>
  <c r="B145" i="1"/>
  <c r="C148" i="1"/>
  <c r="C145" i="1"/>
  <c r="B105" i="1"/>
  <c r="B107" i="1"/>
  <c r="C137" i="1"/>
  <c r="D137" i="1"/>
  <c r="B129" i="1"/>
  <c r="C102" i="1"/>
  <c r="D125" i="1"/>
  <c r="D109" i="1"/>
  <c r="D121" i="1"/>
  <c r="C115" i="1"/>
  <c r="B113" i="1"/>
  <c r="B109" i="1"/>
  <c r="B125" i="1"/>
  <c r="C140" i="1"/>
  <c r="C108" i="1"/>
  <c r="C141" i="1"/>
  <c r="D117" i="1"/>
  <c r="C116" i="1"/>
  <c r="D118" i="1"/>
  <c r="D129" i="1"/>
  <c r="B117" i="1"/>
  <c r="C132" i="1"/>
  <c r="C143" i="1"/>
  <c r="B141" i="1"/>
  <c r="B131" i="1"/>
  <c r="C149" i="1"/>
  <c r="C131" i="1"/>
  <c r="B123" i="1"/>
  <c r="B122" i="1"/>
  <c r="C123" i="1"/>
  <c r="C113" i="1"/>
  <c r="C122" i="1"/>
  <c r="C118" i="1"/>
  <c r="B139" i="1"/>
  <c r="B143" i="1"/>
  <c r="B110" i="1"/>
  <c r="C139" i="1"/>
  <c r="B147" i="1"/>
  <c r="B138" i="1"/>
  <c r="C138" i="1"/>
  <c r="C124" i="1"/>
  <c r="D134" i="1"/>
  <c r="C142" i="1"/>
  <c r="B99" i="1"/>
  <c r="C99" i="1"/>
  <c r="C134" i="1"/>
  <c r="C121" i="1"/>
  <c r="C110" i="1"/>
  <c r="C135" i="1"/>
  <c r="B135" i="1"/>
  <c r="B140" i="1"/>
  <c r="B127" i="1"/>
  <c r="B142" i="1"/>
  <c r="C147" i="1"/>
  <c r="B136" i="1"/>
  <c r="B108" i="1"/>
  <c r="C111" i="1"/>
  <c r="C127" i="1"/>
  <c r="B149" i="1"/>
  <c r="B148" i="1"/>
  <c r="C101" i="1"/>
  <c r="D126" i="1"/>
  <c r="B132" i="1"/>
  <c r="C126" i="1"/>
  <c r="B120" i="1"/>
  <c r="B101" i="1"/>
  <c r="B104" i="1"/>
  <c r="D120" i="1"/>
  <c r="D105" i="1"/>
  <c r="D124" i="1"/>
  <c r="D104" i="1"/>
  <c r="D136" i="1"/>
  <c r="D102" i="1"/>
  <c r="D116" i="1"/>
  <c r="D128" i="1"/>
  <c r="B146" i="1"/>
  <c r="D115" i="1"/>
  <c r="C128" i="1"/>
  <c r="B133" i="1"/>
  <c r="D146" i="1"/>
  <c r="C133" i="1"/>
  <c r="D144" i="1"/>
  <c r="B144" i="1"/>
  <c r="C112" i="1"/>
  <c r="D112" i="1"/>
  <c r="B111" i="1"/>
  <c r="A53" i="10" l="1"/>
  <c r="A52" i="10"/>
  <c r="A51" i="10"/>
  <c r="A49" i="10"/>
  <c r="A50" i="10"/>
  <c r="A48" i="10"/>
  <c r="A47" i="10"/>
  <c r="A46" i="10"/>
  <c r="A45" i="10"/>
  <c r="A44" i="10"/>
  <c r="A42" i="10"/>
  <c r="A41" i="10"/>
  <c r="A40" i="10"/>
  <c r="A39" i="10"/>
  <c r="A38" i="10"/>
  <c r="A37" i="10"/>
  <c r="A35" i="10"/>
  <c r="A34" i="10"/>
  <c r="A33" i="10"/>
  <c r="A32" i="10"/>
  <c r="A31" i="10"/>
  <c r="A30" i="10"/>
  <c r="A28" i="10"/>
  <c r="A27" i="10"/>
  <c r="A26" i="10"/>
  <c r="A25" i="10"/>
  <c r="A24" i="10"/>
  <c r="A23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43" i="10"/>
  <c r="A36" i="10"/>
  <c r="A29" i="10"/>
  <c r="A22" i="10"/>
  <c r="AV24" i="4" l="1"/>
  <c r="AV23" i="4"/>
  <c r="AV22" i="4"/>
  <c r="AV18" i="4"/>
  <c r="AV19" i="4"/>
  <c r="AV20" i="4"/>
  <c r="AS5" i="1"/>
  <c r="Y164" i="1" l="1" a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B160" i="1"/>
  <c r="HN8" i="1"/>
  <c r="HM8" i="1"/>
  <c r="HP8" i="1"/>
  <c r="HO8" i="1"/>
  <c r="HR8" i="1"/>
  <c r="HQ8" i="1"/>
  <c r="L305" i="7"/>
  <c r="L304" i="7"/>
  <c r="L303" i="7"/>
  <c r="L302" i="7"/>
  <c r="L301" i="7"/>
  <c r="L300" i="7"/>
  <c r="L299" i="7"/>
  <c r="L298" i="7"/>
  <c r="L297" i="7"/>
  <c r="L296" i="7"/>
  <c r="L295" i="7"/>
  <c r="L294" i="7"/>
  <c r="L293" i="7"/>
  <c r="L292" i="7"/>
  <c r="L291" i="7"/>
  <c r="L290" i="7"/>
  <c r="L289" i="7"/>
  <c r="L288" i="7"/>
  <c r="L287" i="7"/>
  <c r="L286" i="7"/>
  <c r="L285" i="7"/>
  <c r="L284" i="7"/>
  <c r="L283" i="7"/>
  <c r="L270" i="7"/>
  <c r="L267" i="7"/>
  <c r="L266" i="7"/>
  <c r="L263" i="7"/>
  <c r="L241" i="7"/>
  <c r="L240" i="7"/>
  <c r="L226" i="7"/>
  <c r="L224" i="7"/>
  <c r="L223" i="7"/>
  <c r="L222" i="7"/>
  <c r="L221" i="7"/>
  <c r="L220" i="7"/>
  <c r="L203" i="7"/>
  <c r="L202" i="7"/>
  <c r="L201" i="7"/>
  <c r="L200" i="7"/>
  <c r="L199" i="7"/>
  <c r="L198" i="7"/>
  <c r="L196" i="7"/>
  <c r="L185" i="7"/>
  <c r="L184" i="7"/>
  <c r="L183" i="7"/>
  <c r="L182" i="7"/>
  <c r="L181" i="7"/>
  <c r="L180" i="7"/>
  <c r="L179" i="7"/>
  <c r="Z253" i="1" l="1"/>
  <c r="X253" i="1"/>
  <c r="I98" i="1" s="1"/>
  <c r="V253" i="1"/>
  <c r="G98" i="1" s="1"/>
  <c r="U253" i="1"/>
  <c r="F98" i="1" s="1"/>
  <c r="T253" i="1"/>
  <c r="E98" i="1" s="1"/>
  <c r="J98" i="1"/>
  <c r="Q253" i="1"/>
  <c r="S253" i="1"/>
  <c r="R253" i="1"/>
  <c r="X252" i="1"/>
  <c r="I97" i="1" s="1"/>
  <c r="V252" i="1"/>
  <c r="G97" i="1" s="1"/>
  <c r="U252" i="1"/>
  <c r="F97" i="1" s="1"/>
  <c r="Z252" i="1"/>
  <c r="T252" i="1"/>
  <c r="E97" i="1" s="1"/>
  <c r="S252" i="1"/>
  <c r="J97" i="1"/>
  <c r="R252" i="1"/>
  <c r="Q252" i="1"/>
  <c r="X251" i="1"/>
  <c r="I96" i="1" s="1"/>
  <c r="V251" i="1"/>
  <c r="G96" i="1" s="1"/>
  <c r="U251" i="1"/>
  <c r="F96" i="1" s="1"/>
  <c r="T251" i="1"/>
  <c r="E96" i="1" s="1"/>
  <c r="S251" i="1"/>
  <c r="R251" i="1"/>
  <c r="J96" i="1"/>
  <c r="Z251" i="1"/>
  <c r="Q251" i="1"/>
  <c r="X250" i="1"/>
  <c r="I95" i="1" s="1"/>
  <c r="V250" i="1"/>
  <c r="G95" i="1" s="1"/>
  <c r="Z250" i="1"/>
  <c r="U250" i="1"/>
  <c r="F95" i="1" s="1"/>
  <c r="T250" i="1"/>
  <c r="E95" i="1" s="1"/>
  <c r="S250" i="1"/>
  <c r="R250" i="1"/>
  <c r="Q250" i="1"/>
  <c r="J95" i="1"/>
  <c r="Z249" i="1"/>
  <c r="Z248" i="1"/>
  <c r="Z247" i="1"/>
  <c r="Z246" i="1"/>
  <c r="X249" i="1"/>
  <c r="I94" i="1" s="1"/>
  <c r="X248" i="1"/>
  <c r="I93" i="1" s="1"/>
  <c r="X247" i="1"/>
  <c r="I92" i="1" s="1"/>
  <c r="X246" i="1"/>
  <c r="I91" i="1" s="1"/>
  <c r="J94" i="1"/>
  <c r="S247" i="1"/>
  <c r="R249" i="1"/>
  <c r="V249" i="1"/>
  <c r="G94" i="1" s="1"/>
  <c r="V248" i="1"/>
  <c r="G93" i="1" s="1"/>
  <c r="V247" i="1"/>
  <c r="G92" i="1" s="1"/>
  <c r="V246" i="1"/>
  <c r="G91" i="1" s="1"/>
  <c r="J93" i="1"/>
  <c r="R247" i="1"/>
  <c r="U249" i="1"/>
  <c r="F94" i="1" s="1"/>
  <c r="U248" i="1"/>
  <c r="F93" i="1" s="1"/>
  <c r="U247" i="1"/>
  <c r="F92" i="1" s="1"/>
  <c r="U246" i="1"/>
  <c r="F91" i="1" s="1"/>
  <c r="J92" i="1"/>
  <c r="S249" i="1"/>
  <c r="T249" i="1"/>
  <c r="E94" i="1" s="1"/>
  <c r="T248" i="1"/>
  <c r="E93" i="1" s="1"/>
  <c r="T247" i="1"/>
  <c r="E92" i="1" s="1"/>
  <c r="T246" i="1"/>
  <c r="E91" i="1" s="1"/>
  <c r="J91" i="1"/>
  <c r="S248" i="1"/>
  <c r="R246" i="1"/>
  <c r="Q249" i="1"/>
  <c r="Q248" i="1"/>
  <c r="Q247" i="1"/>
  <c r="Q246" i="1"/>
  <c r="S246" i="1"/>
  <c r="R248" i="1"/>
  <c r="Z245" i="1"/>
  <c r="X245" i="1"/>
  <c r="I90" i="1" s="1"/>
  <c r="V245" i="1"/>
  <c r="G90" i="1" s="1"/>
  <c r="U245" i="1"/>
  <c r="F90" i="1" s="1"/>
  <c r="T245" i="1"/>
  <c r="E90" i="1" s="1"/>
  <c r="S245" i="1"/>
  <c r="J90" i="1"/>
  <c r="Q245" i="1"/>
  <c r="R245" i="1"/>
  <c r="Z244" i="1"/>
  <c r="X244" i="1"/>
  <c r="I89" i="1" s="1"/>
  <c r="V244" i="1"/>
  <c r="G89" i="1" s="1"/>
  <c r="U244" i="1"/>
  <c r="F89" i="1" s="1"/>
  <c r="T244" i="1"/>
  <c r="E89" i="1" s="1"/>
  <c r="S244" i="1"/>
  <c r="R244" i="1"/>
  <c r="J89" i="1"/>
  <c r="Q244" i="1"/>
  <c r="X243" i="1"/>
  <c r="I88" i="1" s="1"/>
  <c r="X242" i="1"/>
  <c r="I87" i="1" s="1"/>
  <c r="X241" i="1"/>
  <c r="I86" i="1" s="1"/>
  <c r="X240" i="1"/>
  <c r="I85" i="1" s="1"/>
  <c r="X239" i="1"/>
  <c r="I84" i="1" s="1"/>
  <c r="J86" i="1"/>
  <c r="R239" i="1"/>
  <c r="Z240" i="1"/>
  <c r="V243" i="1"/>
  <c r="G88" i="1" s="1"/>
  <c r="V242" i="1"/>
  <c r="G87" i="1" s="1"/>
  <c r="V241" i="1"/>
  <c r="G86" i="1" s="1"/>
  <c r="V240" i="1"/>
  <c r="G85" i="1" s="1"/>
  <c r="V239" i="1"/>
  <c r="G84" i="1" s="1"/>
  <c r="J85" i="1"/>
  <c r="U240" i="1"/>
  <c r="F85" i="1" s="1"/>
  <c r="R241" i="1"/>
  <c r="U243" i="1"/>
  <c r="F88" i="1" s="1"/>
  <c r="U242" i="1"/>
  <c r="F87" i="1" s="1"/>
  <c r="U241" i="1"/>
  <c r="F86" i="1" s="1"/>
  <c r="U239" i="1"/>
  <c r="F84" i="1" s="1"/>
  <c r="J84" i="1"/>
  <c r="R240" i="1"/>
  <c r="T243" i="1"/>
  <c r="E88" i="1" s="1"/>
  <c r="T242" i="1"/>
  <c r="E87" i="1" s="1"/>
  <c r="T241" i="1"/>
  <c r="E86" i="1" s="1"/>
  <c r="T240" i="1"/>
  <c r="E85" i="1" s="1"/>
  <c r="T239" i="1"/>
  <c r="E84" i="1" s="1"/>
  <c r="Z241" i="1"/>
  <c r="S243" i="1"/>
  <c r="S242" i="1"/>
  <c r="S241" i="1"/>
  <c r="S240" i="1"/>
  <c r="S239" i="1"/>
  <c r="R243" i="1"/>
  <c r="R242" i="1"/>
  <c r="Z239" i="1"/>
  <c r="Q243" i="1"/>
  <c r="Q242" i="1"/>
  <c r="Q241" i="1"/>
  <c r="Q240" i="1"/>
  <c r="Q239" i="1"/>
  <c r="J88" i="1"/>
  <c r="Z243" i="1"/>
  <c r="Z242" i="1"/>
  <c r="J87" i="1"/>
  <c r="Z238" i="1"/>
  <c r="R234" i="1"/>
  <c r="X238" i="1"/>
  <c r="I83" i="1" s="1"/>
  <c r="X237" i="1"/>
  <c r="I82" i="1" s="1"/>
  <c r="X236" i="1"/>
  <c r="I81" i="1" s="1"/>
  <c r="X235" i="1"/>
  <c r="I80" i="1" s="1"/>
  <c r="X234" i="1"/>
  <c r="I79" i="1" s="1"/>
  <c r="X233" i="1"/>
  <c r="I78" i="1" s="1"/>
  <c r="J78" i="1"/>
  <c r="R235" i="1"/>
  <c r="V238" i="1"/>
  <c r="G83" i="1" s="1"/>
  <c r="V237" i="1"/>
  <c r="G82" i="1" s="1"/>
  <c r="V236" i="1"/>
  <c r="G81" i="1" s="1"/>
  <c r="V235" i="1"/>
  <c r="G80" i="1" s="1"/>
  <c r="V234" i="1"/>
  <c r="G79" i="1" s="1"/>
  <c r="V233" i="1"/>
  <c r="G78" i="1" s="1"/>
  <c r="T236" i="1"/>
  <c r="E81" i="1" s="1"/>
  <c r="T234" i="1"/>
  <c r="E79" i="1" s="1"/>
  <c r="J83" i="1"/>
  <c r="U238" i="1"/>
  <c r="F83" i="1" s="1"/>
  <c r="U237" i="1"/>
  <c r="F82" i="1" s="1"/>
  <c r="U236" i="1"/>
  <c r="F81" i="1" s="1"/>
  <c r="U235" i="1"/>
  <c r="F80" i="1" s="1"/>
  <c r="U234" i="1"/>
  <c r="F79" i="1" s="1"/>
  <c r="U233" i="1"/>
  <c r="F78" i="1" s="1"/>
  <c r="T237" i="1"/>
  <c r="E82" i="1" s="1"/>
  <c r="T235" i="1"/>
  <c r="E80" i="1" s="1"/>
  <c r="T233" i="1"/>
  <c r="E78" i="1" s="1"/>
  <c r="S233" i="1"/>
  <c r="J82" i="1"/>
  <c r="R238" i="1"/>
  <c r="T238" i="1"/>
  <c r="E83" i="1" s="1"/>
  <c r="R233" i="1"/>
  <c r="S238" i="1"/>
  <c r="S237" i="1"/>
  <c r="S236" i="1"/>
  <c r="S235" i="1"/>
  <c r="S234" i="1"/>
  <c r="R237" i="1"/>
  <c r="Q238" i="1"/>
  <c r="Q237" i="1"/>
  <c r="Q236" i="1"/>
  <c r="Q235" i="1"/>
  <c r="Q234" i="1"/>
  <c r="Q233" i="1"/>
  <c r="J80" i="1"/>
  <c r="Z237" i="1"/>
  <c r="Z236" i="1"/>
  <c r="Z235" i="1"/>
  <c r="Z234" i="1"/>
  <c r="Z233" i="1"/>
  <c r="J79" i="1"/>
  <c r="R236" i="1"/>
  <c r="J81" i="1"/>
  <c r="Z232" i="1"/>
  <c r="Z231" i="1"/>
  <c r="Z230" i="1"/>
  <c r="Z229" i="1"/>
  <c r="Z228" i="1"/>
  <c r="V231" i="1"/>
  <c r="G76" i="1" s="1"/>
  <c r="X232" i="1"/>
  <c r="I77" i="1" s="1"/>
  <c r="V232" i="1"/>
  <c r="G77" i="1" s="1"/>
  <c r="U232" i="1"/>
  <c r="F77" i="1" s="1"/>
  <c r="U231" i="1"/>
  <c r="F76" i="1" s="1"/>
  <c r="U230" i="1"/>
  <c r="F75" i="1" s="1"/>
  <c r="U229" i="1"/>
  <c r="F74" i="1" s="1"/>
  <c r="U228" i="1"/>
  <c r="F73" i="1" s="1"/>
  <c r="J76" i="1"/>
  <c r="T231" i="1"/>
  <c r="E76" i="1" s="1"/>
  <c r="T230" i="1"/>
  <c r="E75" i="1" s="1"/>
  <c r="T229" i="1"/>
  <c r="E74" i="1" s="1"/>
  <c r="T228" i="1"/>
  <c r="E73" i="1" s="1"/>
  <c r="J75" i="1"/>
  <c r="Q228" i="1"/>
  <c r="X229" i="1"/>
  <c r="I74" i="1" s="1"/>
  <c r="V228" i="1"/>
  <c r="G73" i="1" s="1"/>
  <c r="T232" i="1"/>
  <c r="E77" i="1" s="1"/>
  <c r="X231" i="1"/>
  <c r="I76" i="1" s="1"/>
  <c r="J77" i="1"/>
  <c r="S232" i="1"/>
  <c r="S231" i="1"/>
  <c r="S230" i="1"/>
  <c r="S229" i="1"/>
  <c r="S228" i="1"/>
  <c r="J74" i="1"/>
  <c r="Q232" i="1"/>
  <c r="Q229" i="1"/>
  <c r="X228" i="1"/>
  <c r="I73" i="1" s="1"/>
  <c r="V230" i="1"/>
  <c r="G75" i="1" s="1"/>
  <c r="R232" i="1"/>
  <c r="R231" i="1"/>
  <c r="R230" i="1"/>
  <c r="R229" i="1"/>
  <c r="R228" i="1"/>
  <c r="J73" i="1"/>
  <c r="Q231" i="1"/>
  <c r="Q230" i="1"/>
  <c r="X230" i="1"/>
  <c r="I75" i="1" s="1"/>
  <c r="V229" i="1"/>
  <c r="G74" i="1" s="1"/>
  <c r="Z227" i="1"/>
  <c r="Z226" i="1"/>
  <c r="Z225" i="1"/>
  <c r="Z224" i="1"/>
  <c r="Z223" i="1"/>
  <c r="Z222" i="1"/>
  <c r="J71" i="1"/>
  <c r="Q226" i="1"/>
  <c r="X227" i="1"/>
  <c r="I72" i="1" s="1"/>
  <c r="X226" i="1"/>
  <c r="I71" i="1" s="1"/>
  <c r="X225" i="1"/>
  <c r="I70" i="1" s="1"/>
  <c r="X224" i="1"/>
  <c r="I69" i="1" s="1"/>
  <c r="X223" i="1"/>
  <c r="I68" i="1" s="1"/>
  <c r="X222" i="1"/>
  <c r="I67" i="1" s="1"/>
  <c r="J70" i="1"/>
  <c r="Q222" i="1"/>
  <c r="V227" i="1"/>
  <c r="G72" i="1" s="1"/>
  <c r="V226" i="1"/>
  <c r="G71" i="1" s="1"/>
  <c r="V225" i="1"/>
  <c r="G70" i="1" s="1"/>
  <c r="V224" i="1"/>
  <c r="G69" i="1" s="1"/>
  <c r="V223" i="1"/>
  <c r="G68" i="1" s="1"/>
  <c r="V222" i="1"/>
  <c r="G67" i="1" s="1"/>
  <c r="J69" i="1"/>
  <c r="J72" i="1"/>
  <c r="U227" i="1"/>
  <c r="F72" i="1" s="1"/>
  <c r="U226" i="1"/>
  <c r="F71" i="1" s="1"/>
  <c r="U225" i="1"/>
  <c r="F70" i="1" s="1"/>
  <c r="U224" i="1"/>
  <c r="F69" i="1" s="1"/>
  <c r="U223" i="1"/>
  <c r="F68" i="1" s="1"/>
  <c r="U222" i="1"/>
  <c r="F67" i="1" s="1"/>
  <c r="J68" i="1"/>
  <c r="Q224" i="1"/>
  <c r="T227" i="1"/>
  <c r="E72" i="1" s="1"/>
  <c r="T226" i="1"/>
  <c r="E71" i="1" s="1"/>
  <c r="T225" i="1"/>
  <c r="E70" i="1" s="1"/>
  <c r="T224" i="1"/>
  <c r="E69" i="1" s="1"/>
  <c r="T223" i="1"/>
  <c r="E68" i="1" s="1"/>
  <c r="T222" i="1"/>
  <c r="E67" i="1" s="1"/>
  <c r="J67" i="1"/>
  <c r="Q225" i="1"/>
  <c r="S227" i="1"/>
  <c r="S226" i="1"/>
  <c r="S225" i="1"/>
  <c r="S224" i="1"/>
  <c r="S223" i="1"/>
  <c r="S222" i="1"/>
  <c r="Q227" i="1"/>
  <c r="R227" i="1"/>
  <c r="R226" i="1"/>
  <c r="R225" i="1"/>
  <c r="R224" i="1"/>
  <c r="R223" i="1"/>
  <c r="R222" i="1"/>
  <c r="Q223" i="1"/>
  <c r="Z221" i="1"/>
  <c r="Z220" i="1"/>
  <c r="Z219" i="1"/>
  <c r="Z218" i="1"/>
  <c r="Z217" i="1"/>
  <c r="Z216" i="1"/>
  <c r="J63" i="1"/>
  <c r="S221" i="1"/>
  <c r="R220" i="1"/>
  <c r="J65" i="1"/>
  <c r="X221" i="1"/>
  <c r="I66" i="1" s="1"/>
  <c r="X220" i="1"/>
  <c r="I65" i="1" s="1"/>
  <c r="X219" i="1"/>
  <c r="I64" i="1" s="1"/>
  <c r="X218" i="1"/>
  <c r="I63" i="1" s="1"/>
  <c r="X217" i="1"/>
  <c r="I62" i="1" s="1"/>
  <c r="X216" i="1"/>
  <c r="I61" i="1" s="1"/>
  <c r="J62" i="1"/>
  <c r="S219" i="1"/>
  <c r="J66" i="1"/>
  <c r="R219" i="1"/>
  <c r="V221" i="1"/>
  <c r="G66" i="1" s="1"/>
  <c r="V220" i="1"/>
  <c r="G65" i="1" s="1"/>
  <c r="V219" i="1"/>
  <c r="G64" i="1" s="1"/>
  <c r="V218" i="1"/>
  <c r="G63" i="1" s="1"/>
  <c r="V217" i="1"/>
  <c r="G62" i="1" s="1"/>
  <c r="V216" i="1"/>
  <c r="G61" i="1" s="1"/>
  <c r="J61" i="1"/>
  <c r="S216" i="1"/>
  <c r="R216" i="1"/>
  <c r="U221" i="1"/>
  <c r="F66" i="1" s="1"/>
  <c r="U220" i="1"/>
  <c r="F65" i="1" s="1"/>
  <c r="U219" i="1"/>
  <c r="F64" i="1" s="1"/>
  <c r="U218" i="1"/>
  <c r="F63" i="1" s="1"/>
  <c r="U217" i="1"/>
  <c r="F62" i="1" s="1"/>
  <c r="U216" i="1"/>
  <c r="F61" i="1" s="1"/>
  <c r="S218" i="1"/>
  <c r="R217" i="1"/>
  <c r="T221" i="1"/>
  <c r="E66" i="1" s="1"/>
  <c r="T220" i="1"/>
  <c r="E65" i="1" s="1"/>
  <c r="T219" i="1"/>
  <c r="E64" i="1" s="1"/>
  <c r="T218" i="1"/>
  <c r="E63" i="1" s="1"/>
  <c r="T217" i="1"/>
  <c r="E62" i="1" s="1"/>
  <c r="T216" i="1"/>
  <c r="E61" i="1" s="1"/>
  <c r="S220" i="1"/>
  <c r="R221" i="1"/>
  <c r="Q221" i="1"/>
  <c r="Q220" i="1"/>
  <c r="Q219" i="1"/>
  <c r="Q218" i="1"/>
  <c r="Q217" i="1"/>
  <c r="Q216" i="1"/>
  <c r="J64" i="1"/>
  <c r="S217" i="1"/>
  <c r="R218" i="1"/>
  <c r="Z215" i="1"/>
  <c r="Z214" i="1"/>
  <c r="Z213" i="1"/>
  <c r="Z212" i="1"/>
  <c r="Z211" i="1"/>
  <c r="Z210" i="1"/>
  <c r="J55" i="1"/>
  <c r="Q210" i="1"/>
  <c r="X215" i="1"/>
  <c r="I60" i="1" s="1"/>
  <c r="X214" i="1"/>
  <c r="I59" i="1" s="1"/>
  <c r="X213" i="1"/>
  <c r="I58" i="1" s="1"/>
  <c r="X212" i="1"/>
  <c r="I57" i="1" s="1"/>
  <c r="X211" i="1"/>
  <c r="I56" i="1" s="1"/>
  <c r="X210" i="1"/>
  <c r="I55" i="1" s="1"/>
  <c r="Q213" i="1"/>
  <c r="V215" i="1"/>
  <c r="G60" i="1" s="1"/>
  <c r="V214" i="1"/>
  <c r="G59" i="1" s="1"/>
  <c r="V213" i="1"/>
  <c r="G58" i="1" s="1"/>
  <c r="V212" i="1"/>
  <c r="G57" i="1" s="1"/>
  <c r="V211" i="1"/>
  <c r="G56" i="1" s="1"/>
  <c r="V210" i="1"/>
  <c r="G55" i="1" s="1"/>
  <c r="U215" i="1"/>
  <c r="F60" i="1" s="1"/>
  <c r="U214" i="1"/>
  <c r="F59" i="1" s="1"/>
  <c r="U213" i="1"/>
  <c r="F58" i="1" s="1"/>
  <c r="U212" i="1"/>
  <c r="F57" i="1" s="1"/>
  <c r="U211" i="1"/>
  <c r="F56" i="1" s="1"/>
  <c r="U210" i="1"/>
  <c r="F55" i="1" s="1"/>
  <c r="J60" i="1"/>
  <c r="Q212" i="1"/>
  <c r="T215" i="1"/>
  <c r="E60" i="1" s="1"/>
  <c r="T214" i="1"/>
  <c r="E59" i="1" s="1"/>
  <c r="T213" i="1"/>
  <c r="E58" i="1" s="1"/>
  <c r="T212" i="1"/>
  <c r="E57" i="1" s="1"/>
  <c r="T211" i="1"/>
  <c r="E56" i="1" s="1"/>
  <c r="T210" i="1"/>
  <c r="E55" i="1" s="1"/>
  <c r="J59" i="1"/>
  <c r="Q211" i="1"/>
  <c r="J56" i="1"/>
  <c r="S215" i="1"/>
  <c r="S214" i="1"/>
  <c r="S213" i="1"/>
  <c r="S212" i="1"/>
  <c r="S211" i="1"/>
  <c r="S210" i="1"/>
  <c r="J58" i="1"/>
  <c r="Q215" i="1"/>
  <c r="R215" i="1"/>
  <c r="R214" i="1"/>
  <c r="R213" i="1"/>
  <c r="R212" i="1"/>
  <c r="R211" i="1"/>
  <c r="R210" i="1"/>
  <c r="J57" i="1"/>
  <c r="Q214" i="1"/>
  <c r="T178" i="1"/>
  <c r="E23" i="1" s="1"/>
  <c r="T171" i="1"/>
  <c r="E16" i="1" s="1"/>
  <c r="Q175" i="1"/>
  <c r="Q171" i="1"/>
  <c r="Q174" i="1"/>
  <c r="T179" i="1"/>
  <c r="E24" i="1" s="1"/>
  <c r="T167" i="1"/>
  <c r="E12" i="1" s="1"/>
  <c r="Q179" i="1"/>
  <c r="T166" i="1"/>
  <c r="E11" i="1" s="1"/>
  <c r="J54" i="1"/>
  <c r="J46" i="1"/>
  <c r="J38" i="1"/>
  <c r="J30" i="1"/>
  <c r="J22" i="1"/>
  <c r="J14" i="1"/>
  <c r="J53" i="1"/>
  <c r="J45" i="1"/>
  <c r="J37" i="1"/>
  <c r="J29" i="1"/>
  <c r="J21" i="1"/>
  <c r="J13" i="1"/>
  <c r="J52" i="1"/>
  <c r="J44" i="1"/>
  <c r="J36" i="1"/>
  <c r="J28" i="1"/>
  <c r="J20" i="1"/>
  <c r="J12" i="1"/>
  <c r="J47" i="1"/>
  <c r="J39" i="1"/>
  <c r="J31" i="1"/>
  <c r="J23" i="1"/>
  <c r="J15" i="1"/>
  <c r="J48" i="1"/>
  <c r="J32" i="1"/>
  <c r="J16" i="1"/>
  <c r="J43" i="1"/>
  <c r="J27" i="1"/>
  <c r="J11" i="1"/>
  <c r="J42" i="1"/>
  <c r="J26" i="1"/>
  <c r="J10" i="1"/>
  <c r="J41" i="1"/>
  <c r="J25" i="1"/>
  <c r="J40" i="1"/>
  <c r="J24" i="1"/>
  <c r="J50" i="1"/>
  <c r="J34" i="1"/>
  <c r="J18" i="1"/>
  <c r="J49" i="1"/>
  <c r="J33" i="1"/>
  <c r="J17" i="1"/>
  <c r="J51" i="1"/>
  <c r="J35" i="1"/>
  <c r="J19" i="1"/>
  <c r="Y164" i="1"/>
  <c r="V209" i="1"/>
  <c r="G54" i="1" s="1"/>
  <c r="T207" i="1"/>
  <c r="E52" i="1" s="1"/>
  <c r="U204" i="1"/>
  <c r="F49" i="1" s="1"/>
  <c r="V201" i="1"/>
  <c r="G46" i="1" s="1"/>
  <c r="T199" i="1"/>
  <c r="E44" i="1" s="1"/>
  <c r="U196" i="1"/>
  <c r="F41" i="1" s="1"/>
  <c r="V193" i="1"/>
  <c r="G38" i="1" s="1"/>
  <c r="U188" i="1"/>
  <c r="F33" i="1" s="1"/>
  <c r="T183" i="1"/>
  <c r="E28" i="1" s="1"/>
  <c r="V177" i="1"/>
  <c r="G22" i="1" s="1"/>
  <c r="U172" i="1"/>
  <c r="F17" i="1" s="1"/>
  <c r="Z187" i="1"/>
  <c r="Z171" i="1"/>
  <c r="U209" i="1"/>
  <c r="F54" i="1" s="1"/>
  <c r="V206" i="1"/>
  <c r="G51" i="1" s="1"/>
  <c r="T204" i="1"/>
  <c r="E49" i="1" s="1"/>
  <c r="U201" i="1"/>
  <c r="F46" i="1" s="1"/>
  <c r="V198" i="1"/>
  <c r="G43" i="1" s="1"/>
  <c r="T196" i="1"/>
  <c r="E41" i="1" s="1"/>
  <c r="U193" i="1"/>
  <c r="F38" i="1" s="1"/>
  <c r="V190" i="1"/>
  <c r="G35" i="1" s="1"/>
  <c r="T188" i="1"/>
  <c r="E33" i="1" s="1"/>
  <c r="U185" i="1"/>
  <c r="F30" i="1" s="1"/>
  <c r="V182" i="1"/>
  <c r="G27" i="1" s="1"/>
  <c r="T180" i="1"/>
  <c r="E25" i="1" s="1"/>
  <c r="U177" i="1"/>
  <c r="F22" i="1" s="1"/>
  <c r="V174" i="1"/>
  <c r="G19" i="1" s="1"/>
  <c r="T172" i="1"/>
  <c r="E17" i="1" s="1"/>
  <c r="U169" i="1"/>
  <c r="F14" i="1" s="1"/>
  <c r="V166" i="1"/>
  <c r="G11" i="1" s="1"/>
  <c r="Z202" i="1"/>
  <c r="Z194" i="1"/>
  <c r="Z186" i="1"/>
  <c r="Z178" i="1"/>
  <c r="Z170" i="1"/>
  <c r="Z192" i="1"/>
  <c r="Z191" i="1"/>
  <c r="T209" i="1"/>
  <c r="E54" i="1" s="1"/>
  <c r="U206" i="1"/>
  <c r="F51" i="1" s="1"/>
  <c r="V203" i="1"/>
  <c r="G48" i="1" s="1"/>
  <c r="T201" i="1"/>
  <c r="E46" i="1" s="1"/>
  <c r="U198" i="1"/>
  <c r="F43" i="1" s="1"/>
  <c r="V195" i="1"/>
  <c r="G40" i="1" s="1"/>
  <c r="T193" i="1"/>
  <c r="E38" i="1" s="1"/>
  <c r="U190" i="1"/>
  <c r="F35" i="1" s="1"/>
  <c r="V187" i="1"/>
  <c r="G32" i="1" s="1"/>
  <c r="T185" i="1"/>
  <c r="E30" i="1" s="1"/>
  <c r="U182" i="1"/>
  <c r="F27" i="1" s="1"/>
  <c r="V179" i="1"/>
  <c r="G24" i="1" s="1"/>
  <c r="T177" i="1"/>
  <c r="E22" i="1" s="1"/>
  <c r="U174" i="1"/>
  <c r="F19" i="1" s="1"/>
  <c r="V171" i="1"/>
  <c r="G16" i="1" s="1"/>
  <c r="T169" i="1"/>
  <c r="E14" i="1" s="1"/>
  <c r="U166" i="1"/>
  <c r="F11" i="1" s="1"/>
  <c r="Z209" i="1"/>
  <c r="Z201" i="1"/>
  <c r="Z193" i="1"/>
  <c r="Z185" i="1"/>
  <c r="Z177" i="1"/>
  <c r="Z169" i="1"/>
  <c r="Z176" i="1"/>
  <c r="Z199" i="1"/>
  <c r="V208" i="1"/>
  <c r="G53" i="1" s="1"/>
  <c r="T206" i="1"/>
  <c r="E51" i="1" s="1"/>
  <c r="U203" i="1"/>
  <c r="F48" i="1" s="1"/>
  <c r="V200" i="1"/>
  <c r="G45" i="1" s="1"/>
  <c r="T198" i="1"/>
  <c r="E43" i="1" s="1"/>
  <c r="U195" i="1"/>
  <c r="F40" i="1" s="1"/>
  <c r="V192" i="1"/>
  <c r="G37" i="1" s="1"/>
  <c r="T190" i="1"/>
  <c r="E35" i="1" s="1"/>
  <c r="U187" i="1"/>
  <c r="F32" i="1" s="1"/>
  <c r="V184" i="1"/>
  <c r="G29" i="1" s="1"/>
  <c r="T182" i="1"/>
  <c r="E27" i="1" s="1"/>
  <c r="U179" i="1"/>
  <c r="F24" i="1" s="1"/>
  <c r="V176" i="1"/>
  <c r="G21" i="1" s="1"/>
  <c r="T174" i="1"/>
  <c r="E19" i="1" s="1"/>
  <c r="U171" i="1"/>
  <c r="F16" i="1" s="1"/>
  <c r="V168" i="1"/>
  <c r="G13" i="1" s="1"/>
  <c r="Z208" i="1"/>
  <c r="Z200" i="1"/>
  <c r="Z184" i="1"/>
  <c r="Z168" i="1"/>
  <c r="Z175" i="1"/>
  <c r="W175" i="1" s="1"/>
  <c r="U208" i="1"/>
  <c r="F53" i="1" s="1"/>
  <c r="V205" i="1"/>
  <c r="G50" i="1" s="1"/>
  <c r="T203" i="1"/>
  <c r="E48" i="1" s="1"/>
  <c r="U200" i="1"/>
  <c r="F45" i="1" s="1"/>
  <c r="V197" i="1"/>
  <c r="G42" i="1" s="1"/>
  <c r="T195" i="1"/>
  <c r="E40" i="1" s="1"/>
  <c r="U192" i="1"/>
  <c r="F37" i="1" s="1"/>
  <c r="V189" i="1"/>
  <c r="G34" i="1" s="1"/>
  <c r="T187" i="1"/>
  <c r="E32" i="1" s="1"/>
  <c r="U184" i="1"/>
  <c r="F29" i="1" s="1"/>
  <c r="V181" i="1"/>
  <c r="G26" i="1" s="1"/>
  <c r="U176" i="1"/>
  <c r="F21" i="1" s="1"/>
  <c r="V173" i="1"/>
  <c r="G18" i="1" s="1"/>
  <c r="U168" i="1"/>
  <c r="F13" i="1" s="1"/>
  <c r="V165" i="1"/>
  <c r="G10" i="1" s="1"/>
  <c r="Z207" i="1"/>
  <c r="Z183" i="1"/>
  <c r="Z167" i="1"/>
  <c r="T208" i="1"/>
  <c r="E53" i="1" s="1"/>
  <c r="U205" i="1"/>
  <c r="F50" i="1" s="1"/>
  <c r="V202" i="1"/>
  <c r="G47" i="1" s="1"/>
  <c r="T200" i="1"/>
  <c r="E45" i="1" s="1"/>
  <c r="U197" i="1"/>
  <c r="F42" i="1" s="1"/>
  <c r="V194" i="1"/>
  <c r="G39" i="1" s="1"/>
  <c r="T192" i="1"/>
  <c r="E37" i="1" s="1"/>
  <c r="U189" i="1"/>
  <c r="F34" i="1" s="1"/>
  <c r="V186" i="1"/>
  <c r="G31" i="1" s="1"/>
  <c r="T184" i="1"/>
  <c r="E29" i="1" s="1"/>
  <c r="U181" i="1"/>
  <c r="F26" i="1" s="1"/>
  <c r="V178" i="1"/>
  <c r="G23" i="1" s="1"/>
  <c r="T176" i="1"/>
  <c r="E21" i="1" s="1"/>
  <c r="U173" i="1"/>
  <c r="F18" i="1" s="1"/>
  <c r="V170" i="1"/>
  <c r="G15" i="1" s="1"/>
  <c r="T168" i="1"/>
  <c r="E13" i="1" s="1"/>
  <c r="U165" i="1"/>
  <c r="F10" i="1" s="1"/>
  <c r="Z206" i="1"/>
  <c r="Z198" i="1"/>
  <c r="Z190" i="1"/>
  <c r="Z182" i="1"/>
  <c r="Z174" i="1"/>
  <c r="Z166" i="1"/>
  <c r="Z179" i="1"/>
  <c r="Z203" i="1"/>
  <c r="V169" i="1"/>
  <c r="G14" i="1" s="1"/>
  <c r="T175" i="1"/>
  <c r="E20" i="1" s="1"/>
  <c r="U180" i="1"/>
  <c r="F25" i="1" s="1"/>
  <c r="T191" i="1"/>
  <c r="E36" i="1" s="1"/>
  <c r="Z172" i="1"/>
  <c r="Z180" i="1"/>
  <c r="Z188" i="1"/>
  <c r="Z196" i="1"/>
  <c r="Z204" i="1"/>
  <c r="U167" i="1"/>
  <c r="F12" i="1" s="1"/>
  <c r="T170" i="1"/>
  <c r="E15" i="1" s="1"/>
  <c r="V172" i="1"/>
  <c r="G17" i="1" s="1"/>
  <c r="U175" i="1"/>
  <c r="F20" i="1" s="1"/>
  <c r="V180" i="1"/>
  <c r="G25" i="1" s="1"/>
  <c r="U183" i="1"/>
  <c r="F28" i="1" s="1"/>
  <c r="T186" i="1"/>
  <c r="E31" i="1" s="1"/>
  <c r="V188" i="1"/>
  <c r="G33" i="1" s="1"/>
  <c r="U191" i="1"/>
  <c r="F36" i="1" s="1"/>
  <c r="T194" i="1"/>
  <c r="E39" i="1" s="1"/>
  <c r="V196" i="1"/>
  <c r="G41" i="1" s="1"/>
  <c r="U199" i="1"/>
  <c r="F44" i="1" s="1"/>
  <c r="T202" i="1"/>
  <c r="E47" i="1" s="1"/>
  <c r="V204" i="1"/>
  <c r="G49" i="1" s="1"/>
  <c r="U207" i="1"/>
  <c r="F52" i="1" s="1"/>
  <c r="Z195" i="1"/>
  <c r="V185" i="1"/>
  <c r="G30" i="1" s="1"/>
  <c r="Z165" i="1"/>
  <c r="Z173" i="1"/>
  <c r="Z181" i="1"/>
  <c r="Z189" i="1"/>
  <c r="Z197" i="1"/>
  <c r="Z205" i="1"/>
  <c r="T165" i="1"/>
  <c r="E10" i="1" s="1"/>
  <c r="V167" i="1"/>
  <c r="G12" i="1" s="1"/>
  <c r="U170" i="1"/>
  <c r="F15" i="1" s="1"/>
  <c r="T173" i="1"/>
  <c r="E18" i="1" s="1"/>
  <c r="V175" i="1"/>
  <c r="G20" i="1" s="1"/>
  <c r="U178" i="1"/>
  <c r="F23" i="1" s="1"/>
  <c r="T181" i="1"/>
  <c r="E26" i="1" s="1"/>
  <c r="V183" i="1"/>
  <c r="G28" i="1" s="1"/>
  <c r="U186" i="1"/>
  <c r="F31" i="1" s="1"/>
  <c r="T189" i="1"/>
  <c r="E34" i="1" s="1"/>
  <c r="V191" i="1"/>
  <c r="G36" i="1" s="1"/>
  <c r="U194" i="1"/>
  <c r="F39" i="1" s="1"/>
  <c r="T197" i="1"/>
  <c r="E42" i="1" s="1"/>
  <c r="V199" i="1"/>
  <c r="G44" i="1" s="1"/>
  <c r="U202" i="1"/>
  <c r="F47" i="1" s="1"/>
  <c r="T205" i="1"/>
  <c r="E50" i="1" s="1"/>
  <c r="V207" i="1"/>
  <c r="G52" i="1" s="1"/>
  <c r="Q166" i="1"/>
  <c r="Q170" i="1"/>
  <c r="Q176" i="1"/>
  <c r="Q180" i="1"/>
  <c r="Q185" i="1"/>
  <c r="Q192" i="1"/>
  <c r="Q197" i="1"/>
  <c r="Q199" i="1"/>
  <c r="Q203" i="1"/>
  <c r="Q207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Q165" i="1"/>
  <c r="Q168" i="1"/>
  <c r="Q178" i="1"/>
  <c r="Q184" i="1"/>
  <c r="Q188" i="1"/>
  <c r="Q193" i="1"/>
  <c r="Q198" i="1"/>
  <c r="Q202" i="1"/>
  <c r="Q208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Q167" i="1"/>
  <c r="Q177" i="1"/>
  <c r="Q182" i="1"/>
  <c r="Q190" i="1"/>
  <c r="Q194" i="1"/>
  <c r="Q200" i="1"/>
  <c r="Q204" i="1"/>
  <c r="Q209" i="1"/>
  <c r="Q169" i="1"/>
  <c r="Q183" i="1"/>
  <c r="Q186" i="1"/>
  <c r="Q191" i="1"/>
  <c r="Q195" i="1"/>
  <c r="Q201" i="1"/>
  <c r="Q206" i="1"/>
  <c r="Q172" i="1"/>
  <c r="Q187" i="1"/>
  <c r="Q173" i="1"/>
  <c r="Q181" i="1"/>
  <c r="Q189" i="1"/>
  <c r="Q196" i="1"/>
  <c r="Q205" i="1"/>
  <c r="X165" i="1"/>
  <c r="I10" i="1" s="1"/>
  <c r="X166" i="1"/>
  <c r="I11" i="1" s="1"/>
  <c r="X167" i="1"/>
  <c r="I12" i="1" s="1"/>
  <c r="X168" i="1"/>
  <c r="I13" i="1" s="1"/>
  <c r="X169" i="1"/>
  <c r="I14" i="1" s="1"/>
  <c r="X170" i="1"/>
  <c r="I15" i="1" s="1"/>
  <c r="X171" i="1"/>
  <c r="I16" i="1" s="1"/>
  <c r="X172" i="1"/>
  <c r="I17" i="1" s="1"/>
  <c r="X173" i="1"/>
  <c r="I18" i="1" s="1"/>
  <c r="X174" i="1"/>
  <c r="I19" i="1" s="1"/>
  <c r="X175" i="1"/>
  <c r="I20" i="1" s="1"/>
  <c r="X176" i="1"/>
  <c r="I21" i="1" s="1"/>
  <c r="X177" i="1"/>
  <c r="I22" i="1" s="1"/>
  <c r="X178" i="1"/>
  <c r="I23" i="1" s="1"/>
  <c r="X179" i="1"/>
  <c r="I24" i="1" s="1"/>
  <c r="X180" i="1"/>
  <c r="I25" i="1" s="1"/>
  <c r="X181" i="1"/>
  <c r="I26" i="1" s="1"/>
  <c r="X182" i="1"/>
  <c r="I27" i="1" s="1"/>
  <c r="X183" i="1"/>
  <c r="I28" i="1" s="1"/>
  <c r="X184" i="1"/>
  <c r="I29" i="1" s="1"/>
  <c r="X185" i="1"/>
  <c r="I30" i="1" s="1"/>
  <c r="X186" i="1"/>
  <c r="I31" i="1" s="1"/>
  <c r="X187" i="1"/>
  <c r="I32" i="1" s="1"/>
  <c r="X188" i="1"/>
  <c r="I33" i="1" s="1"/>
  <c r="X189" i="1"/>
  <c r="I34" i="1" s="1"/>
  <c r="X190" i="1"/>
  <c r="I35" i="1" s="1"/>
  <c r="X191" i="1"/>
  <c r="I36" i="1" s="1"/>
  <c r="X192" i="1"/>
  <c r="I37" i="1" s="1"/>
  <c r="X193" i="1"/>
  <c r="I38" i="1" s="1"/>
  <c r="X194" i="1"/>
  <c r="I39" i="1" s="1"/>
  <c r="X195" i="1"/>
  <c r="I40" i="1" s="1"/>
  <c r="X196" i="1"/>
  <c r="I41" i="1" s="1"/>
  <c r="X197" i="1"/>
  <c r="I42" i="1" s="1"/>
  <c r="X198" i="1"/>
  <c r="I43" i="1" s="1"/>
  <c r="X199" i="1"/>
  <c r="I44" i="1" s="1"/>
  <c r="X200" i="1"/>
  <c r="I45" i="1" s="1"/>
  <c r="X201" i="1"/>
  <c r="I46" i="1" s="1"/>
  <c r="X202" i="1"/>
  <c r="I47" i="1" s="1"/>
  <c r="X203" i="1"/>
  <c r="I48" i="1" s="1"/>
  <c r="X204" i="1"/>
  <c r="I49" i="1" s="1"/>
  <c r="X205" i="1"/>
  <c r="I50" i="1" s="1"/>
  <c r="X206" i="1"/>
  <c r="I51" i="1" s="1"/>
  <c r="X207" i="1"/>
  <c r="I52" i="1" s="1"/>
  <c r="X208" i="1"/>
  <c r="I53" i="1" s="1"/>
  <c r="X209" i="1"/>
  <c r="I54" i="1" s="1"/>
  <c r="AQ31" i="4"/>
  <c r="AT31" i="4"/>
  <c r="AS31" i="4"/>
  <c r="AP31" i="4"/>
  <c r="AV31" i="4" s="1"/>
  <c r="AX31" i="4" s="1"/>
  <c r="AO31" i="4"/>
  <c r="AR31" i="4" s="1"/>
  <c r="AQ33" i="4"/>
  <c r="AT33" i="4"/>
  <c r="AS33" i="4"/>
  <c r="AP33" i="4"/>
  <c r="AV33" i="4" s="1"/>
  <c r="AO33" i="4"/>
  <c r="AR33" i="4" s="1"/>
  <c r="AJ33" i="4"/>
  <c r="W253" i="1" l="1"/>
  <c r="H98" i="1" s="1"/>
  <c r="K98" i="1"/>
  <c r="A98" i="1" s="1"/>
  <c r="D98" i="1" s="1"/>
  <c r="W252" i="1"/>
  <c r="H97" i="1" s="1"/>
  <c r="K97" i="1"/>
  <c r="A97" i="1" s="1"/>
  <c r="B97" i="1" s="1"/>
  <c r="W251" i="1"/>
  <c r="H96" i="1" s="1"/>
  <c r="K96" i="1"/>
  <c r="A96" i="1" s="1"/>
  <c r="D96" i="1" s="1"/>
  <c r="W250" i="1"/>
  <c r="H95" i="1" s="1"/>
  <c r="K95" i="1"/>
  <c r="A95" i="1" s="1"/>
  <c r="B95" i="1" s="1"/>
  <c r="W246" i="1"/>
  <c r="H91" i="1" s="1"/>
  <c r="K91" i="1"/>
  <c r="A91" i="1" s="1"/>
  <c r="B91" i="1" s="1"/>
  <c r="K92" i="1"/>
  <c r="A92" i="1" s="1"/>
  <c r="D92" i="1" s="1"/>
  <c r="W247" i="1"/>
  <c r="H92" i="1" s="1"/>
  <c r="W248" i="1"/>
  <c r="H93" i="1" s="1"/>
  <c r="K93" i="1"/>
  <c r="A93" i="1" s="1"/>
  <c r="D93" i="1" s="1"/>
  <c r="W249" i="1"/>
  <c r="H94" i="1" s="1"/>
  <c r="K94" i="1"/>
  <c r="A94" i="1" s="1"/>
  <c r="D94" i="1" s="1"/>
  <c r="W245" i="1"/>
  <c r="H90" i="1" s="1"/>
  <c r="K90" i="1"/>
  <c r="A90" i="1" s="1"/>
  <c r="C90" i="1" s="1"/>
  <c r="K89" i="1"/>
  <c r="A89" i="1" s="1"/>
  <c r="C89" i="1" s="1"/>
  <c r="W244" i="1"/>
  <c r="H89" i="1" s="1"/>
  <c r="W240" i="1"/>
  <c r="H85" i="1" s="1"/>
  <c r="K85" i="1"/>
  <c r="A85" i="1" s="1"/>
  <c r="B85" i="1" s="1"/>
  <c r="W242" i="1"/>
  <c r="H87" i="1" s="1"/>
  <c r="K87" i="1"/>
  <c r="A87" i="1" s="1"/>
  <c r="D87" i="1" s="1"/>
  <c r="W239" i="1"/>
  <c r="H84" i="1" s="1"/>
  <c r="K84" i="1"/>
  <c r="A84" i="1" s="1"/>
  <c r="B84" i="1" s="1"/>
  <c r="W241" i="1"/>
  <c r="H86" i="1" s="1"/>
  <c r="K86" i="1"/>
  <c r="A86" i="1" s="1"/>
  <c r="B86" i="1" s="1"/>
  <c r="W243" i="1"/>
  <c r="H88" i="1" s="1"/>
  <c r="K88" i="1"/>
  <c r="A88" i="1" s="1"/>
  <c r="D88" i="1" s="1"/>
  <c r="W236" i="1"/>
  <c r="H81" i="1" s="1"/>
  <c r="K81" i="1"/>
  <c r="A81" i="1" s="1"/>
  <c r="C81" i="1" s="1"/>
  <c r="K82" i="1"/>
  <c r="A82" i="1" s="1"/>
  <c r="C82" i="1" s="1"/>
  <c r="W237" i="1"/>
  <c r="H82" i="1" s="1"/>
  <c r="W233" i="1"/>
  <c r="H78" i="1" s="1"/>
  <c r="K78" i="1"/>
  <c r="A78" i="1" s="1"/>
  <c r="C78" i="1" s="1"/>
  <c r="W234" i="1"/>
  <c r="H79" i="1" s="1"/>
  <c r="K79" i="1"/>
  <c r="A79" i="1" s="1"/>
  <c r="D79" i="1" s="1"/>
  <c r="W235" i="1"/>
  <c r="H80" i="1" s="1"/>
  <c r="K80" i="1"/>
  <c r="A80" i="1" s="1"/>
  <c r="B80" i="1" s="1"/>
  <c r="W238" i="1"/>
  <c r="H83" i="1" s="1"/>
  <c r="K83" i="1"/>
  <c r="A83" i="1" s="1"/>
  <c r="D83" i="1" s="1"/>
  <c r="K73" i="1"/>
  <c r="A73" i="1" s="1"/>
  <c r="B73" i="1" s="1"/>
  <c r="W228" i="1"/>
  <c r="H73" i="1" s="1"/>
  <c r="W229" i="1"/>
  <c r="H74" i="1" s="1"/>
  <c r="K74" i="1"/>
  <c r="A74" i="1" s="1"/>
  <c r="D74" i="1" s="1"/>
  <c r="W230" i="1"/>
  <c r="H75" i="1" s="1"/>
  <c r="K75" i="1"/>
  <c r="A75" i="1" s="1"/>
  <c r="D75" i="1" s="1"/>
  <c r="K76" i="1"/>
  <c r="A76" i="1" s="1"/>
  <c r="C76" i="1" s="1"/>
  <c r="W231" i="1"/>
  <c r="H76" i="1" s="1"/>
  <c r="W232" i="1"/>
  <c r="H77" i="1" s="1"/>
  <c r="K77" i="1"/>
  <c r="A77" i="1" s="1"/>
  <c r="D77" i="1" s="1"/>
  <c r="W222" i="1"/>
  <c r="H67" i="1" s="1"/>
  <c r="K67" i="1"/>
  <c r="A67" i="1" s="1"/>
  <c r="D67" i="1" s="1"/>
  <c r="W223" i="1"/>
  <c r="H68" i="1" s="1"/>
  <c r="K68" i="1"/>
  <c r="A68" i="1" s="1"/>
  <c r="D68" i="1" s="1"/>
  <c r="W224" i="1"/>
  <c r="H69" i="1" s="1"/>
  <c r="K69" i="1"/>
  <c r="A69" i="1" s="1"/>
  <c r="C69" i="1" s="1"/>
  <c r="W225" i="1"/>
  <c r="H70" i="1" s="1"/>
  <c r="K70" i="1"/>
  <c r="A70" i="1" s="1"/>
  <c r="D70" i="1" s="1"/>
  <c r="W226" i="1"/>
  <c r="H71" i="1" s="1"/>
  <c r="K71" i="1"/>
  <c r="A71" i="1" s="1"/>
  <c r="D71" i="1" s="1"/>
  <c r="W227" i="1"/>
  <c r="H72" i="1" s="1"/>
  <c r="K72" i="1"/>
  <c r="A72" i="1" s="1"/>
  <c r="B72" i="1" s="1"/>
  <c r="W216" i="1"/>
  <c r="H61" i="1" s="1"/>
  <c r="K61" i="1"/>
  <c r="A61" i="1" s="1"/>
  <c r="C61" i="1" s="1"/>
  <c r="W217" i="1"/>
  <c r="H62" i="1" s="1"/>
  <c r="K62" i="1"/>
  <c r="A62" i="1" s="1"/>
  <c r="C62" i="1" s="1"/>
  <c r="W218" i="1"/>
  <c r="H63" i="1" s="1"/>
  <c r="K63" i="1"/>
  <c r="A63" i="1" s="1"/>
  <c r="D63" i="1" s="1"/>
  <c r="W219" i="1"/>
  <c r="H64" i="1" s="1"/>
  <c r="K64" i="1"/>
  <c r="A64" i="1" s="1"/>
  <c r="B64" i="1" s="1"/>
  <c r="W220" i="1"/>
  <c r="H65" i="1" s="1"/>
  <c r="K65" i="1"/>
  <c r="A65" i="1" s="1"/>
  <c r="D65" i="1" s="1"/>
  <c r="K66" i="1"/>
  <c r="A66" i="1" s="1"/>
  <c r="D66" i="1" s="1"/>
  <c r="W221" i="1"/>
  <c r="H66" i="1" s="1"/>
  <c r="K55" i="1"/>
  <c r="A55" i="1" s="1"/>
  <c r="B55" i="1" s="1"/>
  <c r="W210" i="1"/>
  <c r="H55" i="1" s="1"/>
  <c r="W211" i="1"/>
  <c r="H56" i="1" s="1"/>
  <c r="K56" i="1"/>
  <c r="A56" i="1" s="1"/>
  <c r="B56" i="1" s="1"/>
  <c r="K57" i="1"/>
  <c r="A57" i="1" s="1"/>
  <c r="B57" i="1" s="1"/>
  <c r="W212" i="1"/>
  <c r="H57" i="1" s="1"/>
  <c r="K58" i="1"/>
  <c r="A58" i="1" s="1"/>
  <c r="B58" i="1" s="1"/>
  <c r="W213" i="1"/>
  <c r="H58" i="1" s="1"/>
  <c r="W214" i="1"/>
  <c r="H59" i="1" s="1"/>
  <c r="K59" i="1"/>
  <c r="A59" i="1" s="1"/>
  <c r="D59" i="1" s="1"/>
  <c r="K60" i="1"/>
  <c r="A60" i="1" s="1"/>
  <c r="B60" i="1" s="1"/>
  <c r="W215" i="1"/>
  <c r="H60" i="1" s="1"/>
  <c r="J9" i="1"/>
  <c r="AJ164" i="1" s="1" a="1"/>
  <c r="T164" i="1"/>
  <c r="E9" i="1" s="1"/>
  <c r="S164" i="1"/>
  <c r="R164" i="1"/>
  <c r="Q164" i="1"/>
  <c r="W205" i="1"/>
  <c r="H50" i="1" s="1"/>
  <c r="K50" i="1"/>
  <c r="A50" i="1" s="1"/>
  <c r="C50" i="1" s="1"/>
  <c r="W177" i="1"/>
  <c r="H22" i="1" s="1"/>
  <c r="K22" i="1"/>
  <c r="A22" i="1" s="1"/>
  <c r="B22" i="1" s="1"/>
  <c r="W197" i="1"/>
  <c r="H42" i="1" s="1"/>
  <c r="K42" i="1"/>
  <c r="A42" i="1" s="1"/>
  <c r="B42" i="1" s="1"/>
  <c r="W174" i="1"/>
  <c r="H19" i="1" s="1"/>
  <c r="K19" i="1"/>
  <c r="A19" i="1" s="1"/>
  <c r="D19" i="1" s="1"/>
  <c r="W185" i="1"/>
  <c r="H30" i="1" s="1"/>
  <c r="K30" i="1"/>
  <c r="A30" i="1" s="1"/>
  <c r="D30" i="1" s="1"/>
  <c r="W192" i="1"/>
  <c r="H37" i="1" s="1"/>
  <c r="K37" i="1"/>
  <c r="A37" i="1" s="1"/>
  <c r="C37" i="1" s="1"/>
  <c r="W193" i="1"/>
  <c r="H38" i="1" s="1"/>
  <c r="K38" i="1"/>
  <c r="A38" i="1" s="1"/>
  <c r="C38" i="1" s="1"/>
  <c r="K15" i="1"/>
  <c r="A15" i="1" s="1"/>
  <c r="B15" i="1" s="1"/>
  <c r="W170" i="1"/>
  <c r="H15" i="1" s="1"/>
  <c r="W181" i="1"/>
  <c r="H26" i="1" s="1"/>
  <c r="K26" i="1"/>
  <c r="A26" i="1" s="1"/>
  <c r="D26" i="1" s="1"/>
  <c r="W190" i="1"/>
  <c r="H35" i="1" s="1"/>
  <c r="K35" i="1"/>
  <c r="A35" i="1" s="1"/>
  <c r="D35" i="1" s="1"/>
  <c r="W167" i="1"/>
  <c r="H12" i="1" s="1"/>
  <c r="K12" i="1"/>
  <c r="A12" i="1" s="1"/>
  <c r="D12" i="1" s="1"/>
  <c r="H20" i="1"/>
  <c r="K20" i="1"/>
  <c r="A20" i="1" s="1"/>
  <c r="C20" i="1" s="1"/>
  <c r="W201" i="1"/>
  <c r="H46" i="1" s="1"/>
  <c r="K46" i="1"/>
  <c r="A46" i="1" s="1"/>
  <c r="C46" i="1" s="1"/>
  <c r="K23" i="1"/>
  <c r="A23" i="1" s="1"/>
  <c r="B23" i="1" s="1"/>
  <c r="W178" i="1"/>
  <c r="H23" i="1" s="1"/>
  <c r="K16" i="1"/>
  <c r="A16" i="1" s="1"/>
  <c r="D16" i="1" s="1"/>
  <c r="W171" i="1"/>
  <c r="H16" i="1" s="1"/>
  <c r="W191" i="1"/>
  <c r="H36" i="1" s="1"/>
  <c r="K36" i="1"/>
  <c r="A36" i="1" s="1"/>
  <c r="D36" i="1" s="1"/>
  <c r="W173" i="1"/>
  <c r="H18" i="1" s="1"/>
  <c r="K18" i="1"/>
  <c r="A18" i="1" s="1"/>
  <c r="D18" i="1" s="1"/>
  <c r="K49" i="1"/>
  <c r="A49" i="1" s="1"/>
  <c r="D49" i="1" s="1"/>
  <c r="W204" i="1"/>
  <c r="H49" i="1" s="1"/>
  <c r="W198" i="1"/>
  <c r="H43" i="1" s="1"/>
  <c r="K43" i="1"/>
  <c r="A43" i="1" s="1"/>
  <c r="C43" i="1" s="1"/>
  <c r="W183" i="1"/>
  <c r="H28" i="1" s="1"/>
  <c r="K28" i="1"/>
  <c r="A28" i="1" s="1"/>
  <c r="B28" i="1" s="1"/>
  <c r="W168" i="1"/>
  <c r="H13" i="1" s="1"/>
  <c r="K13" i="1"/>
  <c r="A13" i="1" s="1"/>
  <c r="C13" i="1" s="1"/>
  <c r="K54" i="1"/>
  <c r="A54" i="1" s="1"/>
  <c r="C54" i="1" s="1"/>
  <c r="W209" i="1"/>
  <c r="H54" i="1" s="1"/>
  <c r="K31" i="1"/>
  <c r="A31" i="1" s="1"/>
  <c r="B31" i="1" s="1"/>
  <c r="W186" i="1"/>
  <c r="H31" i="1" s="1"/>
  <c r="K32" i="1"/>
  <c r="A32" i="1" s="1"/>
  <c r="B32" i="1" s="1"/>
  <c r="W187" i="1"/>
  <c r="H32" i="1" s="1"/>
  <c r="W189" i="1"/>
  <c r="H34" i="1" s="1"/>
  <c r="K34" i="1"/>
  <c r="A34" i="1" s="1"/>
  <c r="C34" i="1" s="1"/>
  <c r="W182" i="1"/>
  <c r="H27" i="1" s="1"/>
  <c r="K27" i="1"/>
  <c r="A27" i="1" s="1"/>
  <c r="B27" i="1" s="1"/>
  <c r="W165" i="1"/>
  <c r="H10" i="1" s="1"/>
  <c r="K10" i="1"/>
  <c r="A10" i="1" s="1"/>
  <c r="B10" i="1" s="1"/>
  <c r="K41" i="1"/>
  <c r="A41" i="1" s="1"/>
  <c r="D41" i="1" s="1"/>
  <c r="W196" i="1"/>
  <c r="H41" i="1" s="1"/>
  <c r="W206" i="1"/>
  <c r="H51" i="1" s="1"/>
  <c r="K51" i="1"/>
  <c r="A51" i="1" s="1"/>
  <c r="B51" i="1" s="1"/>
  <c r="K52" i="1"/>
  <c r="A52" i="1" s="1"/>
  <c r="D52" i="1" s="1"/>
  <c r="W207" i="1"/>
  <c r="H52" i="1" s="1"/>
  <c r="W184" i="1"/>
  <c r="H29" i="1" s="1"/>
  <c r="K29" i="1"/>
  <c r="A29" i="1" s="1"/>
  <c r="B29" i="1" s="1"/>
  <c r="W199" i="1"/>
  <c r="H44" i="1" s="1"/>
  <c r="K44" i="1"/>
  <c r="A44" i="1" s="1"/>
  <c r="D44" i="1" s="1"/>
  <c r="K39" i="1"/>
  <c r="A39" i="1" s="1"/>
  <c r="B39" i="1" s="1"/>
  <c r="W194" i="1"/>
  <c r="H39" i="1" s="1"/>
  <c r="W172" i="1"/>
  <c r="H17" i="1" s="1"/>
  <c r="K17" i="1"/>
  <c r="A17" i="1" s="1"/>
  <c r="D17" i="1" s="1"/>
  <c r="K33" i="1"/>
  <c r="A33" i="1" s="1"/>
  <c r="D33" i="1" s="1"/>
  <c r="W188" i="1"/>
  <c r="H33" i="1" s="1"/>
  <c r="K48" i="1"/>
  <c r="A48" i="1" s="1"/>
  <c r="D48" i="1" s="1"/>
  <c r="W203" i="1"/>
  <c r="H48" i="1" s="1"/>
  <c r="W200" i="1"/>
  <c r="H45" i="1" s="1"/>
  <c r="K45" i="1"/>
  <c r="A45" i="1" s="1"/>
  <c r="B45" i="1" s="1"/>
  <c r="W176" i="1"/>
  <c r="H21" i="1" s="1"/>
  <c r="K21" i="1"/>
  <c r="A21" i="1" s="1"/>
  <c r="B21" i="1" s="1"/>
  <c r="K47" i="1"/>
  <c r="A47" i="1" s="1"/>
  <c r="B47" i="1" s="1"/>
  <c r="W202" i="1"/>
  <c r="H47" i="1" s="1"/>
  <c r="W166" i="1"/>
  <c r="H11" i="1" s="1"/>
  <c r="K11" i="1"/>
  <c r="A11" i="1" s="1"/>
  <c r="B11" i="1" s="1"/>
  <c r="K40" i="1"/>
  <c r="A40" i="1" s="1"/>
  <c r="B40" i="1" s="1"/>
  <c r="W195" i="1"/>
  <c r="H40" i="1" s="1"/>
  <c r="W180" i="1"/>
  <c r="H25" i="1" s="1"/>
  <c r="K25" i="1"/>
  <c r="A25" i="1" s="1"/>
  <c r="D25" i="1" s="1"/>
  <c r="K24" i="1"/>
  <c r="A24" i="1" s="1"/>
  <c r="B24" i="1" s="1"/>
  <c r="W179" i="1"/>
  <c r="H24" i="1" s="1"/>
  <c r="W208" i="1"/>
  <c r="H53" i="1" s="1"/>
  <c r="K53" i="1"/>
  <c r="A53" i="1" s="1"/>
  <c r="D53" i="1" s="1"/>
  <c r="W169" i="1"/>
  <c r="H14" i="1" s="1"/>
  <c r="K14" i="1"/>
  <c r="A14" i="1" s="1"/>
  <c r="B14" i="1" s="1"/>
  <c r="X164" i="1"/>
  <c r="I9" i="1" s="1"/>
  <c r="V164" i="1"/>
  <c r="G9" i="1" s="1"/>
  <c r="Z164" i="1"/>
  <c r="U164" i="1"/>
  <c r="F9" i="1" s="1"/>
  <c r="AU31" i="4"/>
  <c r="AW31" i="4" s="1"/>
  <c r="AI31" i="4"/>
  <c r="AX33" i="4"/>
  <c r="AI33" i="4"/>
  <c r="AU33" i="4"/>
  <c r="AW33" i="4" s="1"/>
  <c r="C98" i="1" l="1"/>
  <c r="B98" i="1"/>
  <c r="D97" i="1"/>
  <c r="C97" i="1"/>
  <c r="B96" i="1"/>
  <c r="C96" i="1"/>
  <c r="D95" i="1"/>
  <c r="C95" i="1"/>
  <c r="AJ164" i="1"/>
  <c r="AF164" i="1" s="1" a="1"/>
  <c r="AF164" i="1" s="1"/>
  <c r="C94" i="1"/>
  <c r="D91" i="1"/>
  <c r="D84" i="1"/>
  <c r="B81" i="1"/>
  <c r="B92" i="1"/>
  <c r="C92" i="1"/>
  <c r="C93" i="1"/>
  <c r="C91" i="1"/>
  <c r="B94" i="1"/>
  <c r="B93" i="1"/>
  <c r="D89" i="1"/>
  <c r="C85" i="1"/>
  <c r="D90" i="1"/>
  <c r="B90" i="1"/>
  <c r="D81" i="1"/>
  <c r="B89" i="1"/>
  <c r="C87" i="1"/>
  <c r="B88" i="1"/>
  <c r="B87" i="1"/>
  <c r="C84" i="1"/>
  <c r="C88" i="1"/>
  <c r="C86" i="1"/>
  <c r="B82" i="1"/>
  <c r="D86" i="1"/>
  <c r="D85" i="1"/>
  <c r="C64" i="1"/>
  <c r="C80" i="1"/>
  <c r="B63" i="1"/>
  <c r="D80" i="1"/>
  <c r="D82" i="1"/>
  <c r="D78" i="1"/>
  <c r="B78" i="1"/>
  <c r="C77" i="1"/>
  <c r="C79" i="1"/>
  <c r="B83" i="1"/>
  <c r="B79" i="1"/>
  <c r="D57" i="1"/>
  <c r="B61" i="1"/>
  <c r="B76" i="1"/>
  <c r="C74" i="1"/>
  <c r="C83" i="1"/>
  <c r="B71" i="1"/>
  <c r="C73" i="1"/>
  <c r="D76" i="1"/>
  <c r="B74" i="1"/>
  <c r="B75" i="1"/>
  <c r="D58" i="1"/>
  <c r="C65" i="1"/>
  <c r="C71" i="1"/>
  <c r="B77" i="1"/>
  <c r="D73" i="1"/>
  <c r="C60" i="1"/>
  <c r="C55" i="1"/>
  <c r="C67" i="1"/>
  <c r="C75" i="1"/>
  <c r="C72" i="1"/>
  <c r="D72" i="1"/>
  <c r="B62" i="1"/>
  <c r="D60" i="1"/>
  <c r="D62" i="1"/>
  <c r="D69" i="1"/>
  <c r="B68" i="1"/>
  <c r="C68" i="1"/>
  <c r="B67" i="1"/>
  <c r="C70" i="1"/>
  <c r="C63" i="1"/>
  <c r="B70" i="1"/>
  <c r="B69" i="1"/>
  <c r="C66" i="1"/>
  <c r="C57" i="1"/>
  <c r="B65" i="1"/>
  <c r="C58" i="1"/>
  <c r="C56" i="1"/>
  <c r="D64" i="1"/>
  <c r="D61" i="1"/>
  <c r="B66" i="1"/>
  <c r="D56" i="1"/>
  <c r="B59" i="1"/>
  <c r="D55" i="1"/>
  <c r="C59" i="1"/>
  <c r="D20" i="1"/>
  <c r="B54" i="1"/>
  <c r="C28" i="1"/>
  <c r="B53" i="1"/>
  <c r="D38" i="1"/>
  <c r="B36" i="1"/>
  <c r="C53" i="1"/>
  <c r="C16" i="1"/>
  <c r="B48" i="1"/>
  <c r="C10" i="1"/>
  <c r="B50" i="1"/>
  <c r="D27" i="1"/>
  <c r="C18" i="1"/>
  <c r="D28" i="1"/>
  <c r="B12" i="1"/>
  <c r="B38" i="1"/>
  <c r="B46" i="1"/>
  <c r="C36" i="1"/>
  <c r="D46" i="1"/>
  <c r="B16" i="1"/>
  <c r="D15" i="1"/>
  <c r="C17" i="1"/>
  <c r="C14" i="1"/>
  <c r="B13" i="1"/>
  <c r="C24" i="1"/>
  <c r="D42" i="1"/>
  <c r="C51" i="1"/>
  <c r="D34" i="1"/>
  <c r="C26" i="1"/>
  <c r="B37" i="1"/>
  <c r="D13" i="1"/>
  <c r="B34" i="1"/>
  <c r="C44" i="1"/>
  <c r="D54" i="1"/>
  <c r="B44" i="1"/>
  <c r="D23" i="1"/>
  <c r="C49" i="1"/>
  <c r="C22" i="1"/>
  <c r="D24" i="1"/>
  <c r="B52" i="1"/>
  <c r="B35" i="1"/>
  <c r="C32" i="1"/>
  <c r="D50" i="1"/>
  <c r="D51" i="1"/>
  <c r="C11" i="1"/>
  <c r="D21" i="1"/>
  <c r="D11" i="1"/>
  <c r="C52" i="1"/>
  <c r="D31" i="1"/>
  <c r="D43" i="1"/>
  <c r="C30" i="1"/>
  <c r="D32" i="1"/>
  <c r="C15" i="1"/>
  <c r="C40" i="1"/>
  <c r="C42" i="1"/>
  <c r="C19" i="1"/>
  <c r="D29" i="1"/>
  <c r="B20" i="1"/>
  <c r="B43" i="1"/>
  <c r="B41" i="1"/>
  <c r="C21" i="1"/>
  <c r="D39" i="1"/>
  <c r="B18" i="1"/>
  <c r="D40" i="1"/>
  <c r="C23" i="1"/>
  <c r="B17" i="1"/>
  <c r="C48" i="1"/>
  <c r="B49" i="1"/>
  <c r="C27" i="1"/>
  <c r="D37" i="1"/>
  <c r="D14" i="1"/>
  <c r="B25" i="1"/>
  <c r="C29" i="1"/>
  <c r="D47" i="1"/>
  <c r="B19" i="1"/>
  <c r="C31" i="1"/>
  <c r="C25" i="1"/>
  <c r="D10" i="1"/>
  <c r="C33" i="1"/>
  <c r="B33" i="1"/>
  <c r="C35" i="1"/>
  <c r="D45" i="1"/>
  <c r="C12" i="1"/>
  <c r="D22" i="1"/>
  <c r="C41" i="1"/>
  <c r="C39" i="1"/>
  <c r="B30" i="1"/>
  <c r="B26" i="1"/>
  <c r="C45" i="1"/>
  <c r="C47" i="1"/>
  <c r="W164" i="1"/>
  <c r="H9" i="1" s="1"/>
  <c r="K9" i="1"/>
  <c r="A9" i="1" s="1"/>
  <c r="B9" i="1" s="1"/>
  <c r="AT34" i="4"/>
  <c r="AS34" i="4"/>
  <c r="AP34" i="4"/>
  <c r="AV34" i="4" s="1"/>
  <c r="AX34" i="4" s="1"/>
  <c r="AO34" i="4"/>
  <c r="AR34" i="4" s="1"/>
  <c r="AJ34" i="4"/>
  <c r="AE164" i="1" l="1" a="1"/>
  <c r="AE164" i="1" s="1"/>
  <c r="AQ164" i="1" a="1"/>
  <c r="AQ164" i="1" s="1"/>
  <c r="AI164" i="1" a="1"/>
  <c r="AI164" i="1" s="1"/>
  <c r="AJ160" i="1"/>
  <c r="AH164" i="1" a="1"/>
  <c r="D9" i="1"/>
  <c r="C9" i="1"/>
  <c r="AQ34" i="4"/>
  <c r="AI34" i="4"/>
  <c r="AU34" i="4"/>
  <c r="AW34" i="4" s="1"/>
  <c r="AH164" i="1" l="1"/>
  <c r="AR164" i="1" a="1"/>
  <c r="AR164" i="1" s="1"/>
  <c r="AG164" i="1" a="1"/>
  <c r="AG164" i="1" s="1"/>
  <c r="AV164" i="1" s="1" a="1"/>
  <c r="AV164" i="1" s="1"/>
  <c r="AJ29" i="4"/>
  <c r="AQ29" i="4"/>
  <c r="AT29" i="4"/>
  <c r="AS29" i="4"/>
  <c r="AP29" i="4"/>
  <c r="AV29" i="4" s="1"/>
  <c r="AX29" i="4" s="1"/>
  <c r="AO29" i="4"/>
  <c r="AR29" i="4" s="1"/>
  <c r="AK164" i="1" l="1" a="1"/>
  <c r="AK164" i="1" s="1"/>
  <c r="AC164" i="1" a="1"/>
  <c r="AC164" i="1" s="1"/>
  <c r="AD164" i="1" s="1" a="1"/>
  <c r="AD164" i="1" s="1"/>
  <c r="AU29" i="4"/>
  <c r="AW29" i="4" s="1"/>
  <c r="AI29" i="4"/>
  <c r="AL164" i="1" l="1" a="1"/>
  <c r="AL164" i="1" s="1"/>
  <c r="AJ36" i="4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D14" i="1" a="1"/>
  <c r="JD14" i="1" s="1"/>
  <c r="JD13" i="1" a="1"/>
  <c r="JD13" i="1" s="1"/>
  <c r="JD28" i="1" a="1"/>
  <c r="JD28" i="1" s="1"/>
  <c r="JD27" i="1" a="1"/>
  <c r="JD27" i="1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AJ35" i="4"/>
  <c r="AJ32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6" i="4"/>
  <c r="JB25" i="7" l="1" a="1"/>
  <c r="JB25" i="7" s="1"/>
  <c r="BC14" i="4" a="1"/>
  <c r="BC14" i="4" s="1"/>
  <c r="AP15" i="4"/>
  <c r="AP14" i="4"/>
  <c r="AV15" i="4" l="1"/>
  <c r="AV14" i="4"/>
  <c r="AU15" i="4"/>
  <c r="AU14" i="4"/>
  <c r="AT36" i="4"/>
  <c r="AT35" i="4"/>
  <c r="AT32" i="4"/>
  <c r="AT30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6" i="4"/>
  <c r="AS35" i="4"/>
  <c r="AS32" i="4"/>
  <c r="AS30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U36" i="4"/>
  <c r="AP35" i="4"/>
  <c r="AU35" i="4" s="1"/>
  <c r="AP32" i="4"/>
  <c r="AP30" i="4"/>
  <c r="AP28" i="4"/>
  <c r="AP27" i="4"/>
  <c r="AP26" i="4"/>
  <c r="AP25" i="4"/>
  <c r="AP24" i="4"/>
  <c r="AP23" i="4"/>
  <c r="AP22" i="4"/>
  <c r="AU22" i="4" s="1"/>
  <c r="AP21" i="4"/>
  <c r="AV21" i="4" s="1"/>
  <c r="AP20" i="4"/>
  <c r="AP19" i="4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AQ14" i="4" s="1"/>
  <c r="AI14" i="4" s="1"/>
  <c r="AI19" i="4" l="1"/>
  <c r="AI27" i="4"/>
  <c r="JE25" i="7" a="1"/>
  <c r="JE25" i="7" s="1"/>
  <c r="JC25" i="7" a="1"/>
  <c r="JC25" i="7" s="1"/>
  <c r="JD25" i="7" a="1"/>
  <c r="JD25" i="7" s="1"/>
  <c r="AU25" i="4"/>
  <c r="AW25" i="4" s="1"/>
  <c r="AI25" i="4"/>
  <c r="AU18" i="4"/>
  <c r="AI18" i="4"/>
  <c r="AU26" i="4"/>
  <c r="AW26" i="4" s="1"/>
  <c r="AI26" i="4"/>
  <c r="AI20" i="4"/>
  <c r="AV28" i="4"/>
  <c r="AU21" i="4"/>
  <c r="AW21" i="4" s="1"/>
  <c r="AI21" i="4"/>
  <c r="AV25" i="4"/>
  <c r="AU17" i="4"/>
  <c r="AW17" i="4" s="1"/>
  <c r="AI17" i="4"/>
  <c r="AI22" i="4"/>
  <c r="AU23" i="4"/>
  <c r="AW23" i="4" s="1"/>
  <c r="AI23" i="4"/>
  <c r="AU30" i="4"/>
  <c r="AU16" i="4"/>
  <c r="AW16" i="4" s="1"/>
  <c r="AI16" i="4"/>
  <c r="AU32" i="4"/>
  <c r="AU24" i="4"/>
  <c r="AW24" i="4" s="1"/>
  <c r="AI24" i="4"/>
  <c r="AX24" i="4"/>
  <c r="AV27" i="4"/>
  <c r="AX27" i="4" s="1"/>
  <c r="AV30" i="4"/>
  <c r="AV26" i="4"/>
  <c r="AX26" i="4" s="1"/>
  <c r="AX18" i="4"/>
  <c r="AV32" i="4"/>
  <c r="AX19" i="4"/>
  <c r="AV35" i="4"/>
  <c r="AU19" i="4"/>
  <c r="AW19" i="4" s="1"/>
  <c r="AU27" i="4"/>
  <c r="AW27" i="4" s="1"/>
  <c r="AV16" i="4"/>
  <c r="AX16" i="4" s="1"/>
  <c r="AX20" i="4"/>
  <c r="AV36" i="4"/>
  <c r="AU20" i="4"/>
  <c r="AW20" i="4" s="1"/>
  <c r="AU28" i="4"/>
  <c r="AV17" i="4"/>
  <c r="AX17" i="4" s="1"/>
  <c r="AX22" i="4"/>
  <c r="AW36" i="4"/>
  <c r="AX14" i="4"/>
  <c r="AW14" i="4"/>
  <c r="AX23" i="4"/>
  <c r="AX15" i="4"/>
  <c r="AX25" i="4"/>
  <c r="AX21" i="4"/>
  <c r="AW15" i="4"/>
  <c r="AW18" i="4"/>
  <c r="AW22" i="4"/>
  <c r="AS6" i="1" l="1"/>
  <c r="AS5" i="7"/>
  <c r="AS6" i="7" s="1"/>
  <c r="C1" i="7"/>
  <c r="C1" i="1" l="1"/>
  <c r="AO36" i="4" l="1"/>
  <c r="AQ36" i="4" s="1"/>
  <c r="AO35" i="4"/>
  <c r="AO32" i="4"/>
  <c r="AO30" i="4"/>
  <c r="AO28" i="4"/>
  <c r="AQ28" i="4" l="1"/>
  <c r="AI28" i="4" s="1"/>
  <c r="AR28" i="4"/>
  <c r="AR30" i="4"/>
  <c r="AQ30" i="4"/>
  <c r="AI30" i="4" s="1"/>
  <c r="AQ32" i="4"/>
  <c r="AI32" i="4" s="1"/>
  <c r="AR32" i="4"/>
  <c r="AQ35" i="4"/>
  <c r="AI35" i="4" s="1"/>
  <c r="AR35" i="4"/>
  <c r="AI36" i="4"/>
  <c r="AR36" i="4"/>
  <c r="AX32" i="4"/>
  <c r="AX36" i="4"/>
  <c r="AX30" i="4"/>
  <c r="AW30" i="4"/>
  <c r="AX28" i="4"/>
  <c r="AW28" i="4"/>
  <c r="AX35" i="4"/>
  <c r="AW35" i="4"/>
  <c r="AW32" i="4"/>
  <c r="L5" i="1" l="1" a="1"/>
  <c r="L5" i="1" s="1"/>
  <c r="L2" i="1" a="1"/>
  <c r="L2" i="1" s="1"/>
  <c r="L6" i="1" a="1"/>
  <c r="L6" i="1" s="1"/>
  <c r="Q8" i="7"/>
  <c r="M150" i="1"/>
  <c r="AT150" i="1" s="1"/>
  <c r="M149" i="1"/>
  <c r="AT149" i="1" s="1"/>
  <c r="M148" i="1"/>
  <c r="AT148" i="1" s="1"/>
  <c r="M147" i="1"/>
  <c r="AT147" i="1" s="1"/>
  <c r="M146" i="1"/>
  <c r="AT146" i="1" s="1"/>
  <c r="M145" i="1"/>
  <c r="AT145" i="1" s="1"/>
  <c r="M144" i="1"/>
  <c r="AT144" i="1" s="1"/>
  <c r="M143" i="1"/>
  <c r="AT143" i="1" s="1"/>
  <c r="M142" i="1"/>
  <c r="AT142" i="1" s="1"/>
  <c r="M141" i="1"/>
  <c r="AT141" i="1" s="1"/>
  <c r="M140" i="1"/>
  <c r="AT140" i="1" s="1"/>
  <c r="M139" i="1"/>
  <c r="AT139" i="1" s="1"/>
  <c r="M138" i="1"/>
  <c r="AT138" i="1" s="1"/>
  <c r="M137" i="1"/>
  <c r="AT137" i="1" s="1"/>
  <c r="M136" i="1"/>
  <c r="AT136" i="1" s="1"/>
  <c r="M135" i="1"/>
  <c r="AT135" i="1" s="1"/>
  <c r="M134" i="1"/>
  <c r="AT134" i="1" s="1"/>
  <c r="M133" i="1"/>
  <c r="AT133" i="1" s="1"/>
  <c r="M132" i="1"/>
  <c r="AT132" i="1" s="1"/>
  <c r="M131" i="1"/>
  <c r="AT131" i="1" s="1"/>
  <c r="M130" i="1"/>
  <c r="AT130" i="1" s="1"/>
  <c r="M129" i="1"/>
  <c r="AT129" i="1" s="1"/>
  <c r="M128" i="1"/>
  <c r="AT128" i="1" s="1"/>
  <c r="M127" i="1"/>
  <c r="AT127" i="1" s="1"/>
  <c r="M126" i="1"/>
  <c r="AT126" i="1" s="1"/>
  <c r="M125" i="1"/>
  <c r="AT125" i="1" s="1"/>
  <c r="M124" i="1"/>
  <c r="AT124" i="1" s="1"/>
  <c r="M123" i="1"/>
  <c r="AT123" i="1" s="1"/>
  <c r="M122" i="1"/>
  <c r="AT122" i="1" s="1"/>
  <c r="M121" i="1"/>
  <c r="AT121" i="1" s="1"/>
  <c r="M120" i="1"/>
  <c r="AT120" i="1" s="1"/>
  <c r="M119" i="1"/>
  <c r="AT119" i="1" s="1"/>
  <c r="M118" i="1"/>
  <c r="AT118" i="1" s="1"/>
  <c r="M117" i="1"/>
  <c r="AT117" i="1" s="1"/>
  <c r="M116" i="1"/>
  <c r="AT116" i="1" s="1"/>
  <c r="M115" i="1"/>
  <c r="AT115" i="1" s="1"/>
  <c r="M114" i="1"/>
  <c r="AT114" i="1" s="1"/>
  <c r="M113" i="1"/>
  <c r="AT113" i="1" s="1"/>
  <c r="M112" i="1"/>
  <c r="AT112" i="1" s="1"/>
  <c r="M111" i="1"/>
  <c r="AT111" i="1" s="1"/>
  <c r="M110" i="1"/>
  <c r="AT110" i="1" s="1"/>
  <c r="M109" i="1"/>
  <c r="AT109" i="1" s="1"/>
  <c r="M108" i="1"/>
  <c r="AT108" i="1" s="1"/>
  <c r="M107" i="1"/>
  <c r="AT107" i="1" s="1"/>
  <c r="M106" i="1"/>
  <c r="AT106" i="1" s="1"/>
  <c r="M105" i="1"/>
  <c r="AT105" i="1" s="1"/>
  <c r="M104" i="1"/>
  <c r="AT104" i="1" s="1"/>
  <c r="M103" i="1"/>
  <c r="AT103" i="1" s="1"/>
  <c r="M102" i="1"/>
  <c r="M101" i="1"/>
  <c r="M100" i="1"/>
  <c r="M99" i="1"/>
  <c r="M98" i="1"/>
  <c r="M97" i="1"/>
  <c r="M96" i="1"/>
  <c r="M95" i="1"/>
  <c r="M94" i="1"/>
  <c r="M93" i="1"/>
  <c r="M92" i="1"/>
  <c r="M91" i="1"/>
  <c r="M90" i="1"/>
  <c r="M89" i="1"/>
  <c r="M88" i="1"/>
  <c r="M87" i="1"/>
  <c r="M86" i="1"/>
  <c r="M85" i="1"/>
  <c r="M84" i="1"/>
  <c r="M83" i="1"/>
  <c r="M82" i="1"/>
  <c r="M81" i="1"/>
  <c r="M80" i="1"/>
  <c r="M79" i="1"/>
  <c r="M78" i="1"/>
  <c r="M77" i="1"/>
  <c r="M76" i="1"/>
  <c r="M75" i="1"/>
  <c r="M74" i="1"/>
  <c r="M73" i="1"/>
  <c r="M72" i="1"/>
  <c r="M71" i="1"/>
  <c r="M70" i="1"/>
  <c r="M69" i="1"/>
  <c r="M68" i="1"/>
  <c r="M67" i="1"/>
  <c r="M66" i="1"/>
  <c r="M65" i="1"/>
  <c r="M64" i="1"/>
  <c r="M63" i="1"/>
  <c r="M62" i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AW46" i="1" s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4" i="1"/>
  <c r="M13" i="1"/>
  <c r="M12" i="1"/>
  <c r="M11" i="1"/>
  <c r="M10" i="1"/>
  <c r="Z10" i="1" s="1"/>
  <c r="M9" i="1"/>
  <c r="M1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N304" i="7"/>
  <c r="N299" i="7"/>
  <c r="M8" i="1" l="1" a="1"/>
  <c r="M8" i="1" s="1"/>
  <c r="M1" i="1"/>
  <c r="AX24" i="1"/>
  <c r="AY24" i="1"/>
  <c r="AW24" i="1"/>
  <c r="AY88" i="1"/>
  <c r="AX88" i="1"/>
  <c r="AW88" i="1"/>
  <c r="AY25" i="1"/>
  <c r="AX25" i="1"/>
  <c r="AW25" i="1"/>
  <c r="AY65" i="1"/>
  <c r="AX65" i="1"/>
  <c r="AW65" i="1"/>
  <c r="AY97" i="1"/>
  <c r="AX97" i="1"/>
  <c r="AW97" i="1"/>
  <c r="AY129" i="1"/>
  <c r="AX129" i="1"/>
  <c r="AW129" i="1"/>
  <c r="AW26" i="1"/>
  <c r="AY26" i="1"/>
  <c r="AX26" i="1"/>
  <c r="AW58" i="1"/>
  <c r="AY58" i="1"/>
  <c r="AX58" i="1"/>
  <c r="AY106" i="1"/>
  <c r="AW106" i="1"/>
  <c r="AX106" i="1"/>
  <c r="AY130" i="1"/>
  <c r="AX130" i="1"/>
  <c r="AW130" i="1"/>
  <c r="AY43" i="1"/>
  <c r="AX43" i="1"/>
  <c r="AW43" i="1"/>
  <c r="AY75" i="1"/>
  <c r="AX75" i="1"/>
  <c r="AW75" i="1"/>
  <c r="AY107" i="1"/>
  <c r="AX107" i="1"/>
  <c r="AW107" i="1"/>
  <c r="AY131" i="1"/>
  <c r="AX131" i="1"/>
  <c r="AW131" i="1"/>
  <c r="AY147" i="1"/>
  <c r="AX147" i="1"/>
  <c r="AW147" i="1"/>
  <c r="AY11" i="1"/>
  <c r="AX11" i="1"/>
  <c r="AW11" i="1"/>
  <c r="AX20" i="1"/>
  <c r="AW20" i="1"/>
  <c r="AY20" i="1"/>
  <c r="AX28" i="1"/>
  <c r="AW28" i="1"/>
  <c r="AY28" i="1"/>
  <c r="AX36" i="1"/>
  <c r="AW36" i="1"/>
  <c r="AY36" i="1"/>
  <c r="AX44" i="1"/>
  <c r="AW44" i="1"/>
  <c r="AY44" i="1"/>
  <c r="AX52" i="1"/>
  <c r="AW52" i="1"/>
  <c r="AY52" i="1"/>
  <c r="AX60" i="1"/>
  <c r="AW60" i="1"/>
  <c r="AY60" i="1"/>
  <c r="AX68" i="1"/>
  <c r="AW68" i="1"/>
  <c r="AY68" i="1"/>
  <c r="AX76" i="1"/>
  <c r="AW76" i="1"/>
  <c r="AY76" i="1"/>
  <c r="AX84" i="1"/>
  <c r="AW84" i="1"/>
  <c r="AY84" i="1"/>
  <c r="AX92" i="1"/>
  <c r="AW92" i="1"/>
  <c r="AY92" i="1"/>
  <c r="AX100" i="1"/>
  <c r="AW100" i="1"/>
  <c r="AY100" i="1"/>
  <c r="AX108" i="1"/>
  <c r="AW108" i="1"/>
  <c r="AY108" i="1"/>
  <c r="AX116" i="1"/>
  <c r="AW116" i="1"/>
  <c r="AY116" i="1"/>
  <c r="AX124" i="1"/>
  <c r="AW124" i="1"/>
  <c r="AY124" i="1"/>
  <c r="AX132" i="1"/>
  <c r="AW132" i="1"/>
  <c r="AY132" i="1"/>
  <c r="AX140" i="1"/>
  <c r="AW140" i="1"/>
  <c r="AY140" i="1"/>
  <c r="AX148" i="1"/>
  <c r="AW148" i="1"/>
  <c r="AY148" i="1"/>
  <c r="AX32" i="1"/>
  <c r="AY32" i="1"/>
  <c r="AW32" i="1"/>
  <c r="AY72" i="1"/>
  <c r="AX72" i="1"/>
  <c r="AW72" i="1"/>
  <c r="AY17" i="1"/>
  <c r="AX17" i="1"/>
  <c r="AW17" i="1"/>
  <c r="AY57" i="1"/>
  <c r="AX57" i="1"/>
  <c r="AW57" i="1"/>
  <c r="AY73" i="1"/>
  <c r="AX73" i="1"/>
  <c r="AW73" i="1"/>
  <c r="AY121" i="1"/>
  <c r="AX121" i="1"/>
  <c r="AW121" i="1"/>
  <c r="AW9" i="1"/>
  <c r="AY9" i="1"/>
  <c r="AX9" i="1"/>
  <c r="AW42" i="1"/>
  <c r="AY42" i="1"/>
  <c r="AX42" i="1"/>
  <c r="AW66" i="1"/>
  <c r="AY66" i="1"/>
  <c r="AX66" i="1"/>
  <c r="AY98" i="1"/>
  <c r="AW98" i="1"/>
  <c r="AX98" i="1"/>
  <c r="AY146" i="1"/>
  <c r="AW146" i="1"/>
  <c r="AX146" i="1"/>
  <c r="AY35" i="1"/>
  <c r="AX35" i="1"/>
  <c r="AW35" i="1"/>
  <c r="AY67" i="1"/>
  <c r="AX67" i="1"/>
  <c r="AW67" i="1"/>
  <c r="AY91" i="1"/>
  <c r="AX91" i="1"/>
  <c r="AW91" i="1"/>
  <c r="AY99" i="1"/>
  <c r="AX99" i="1"/>
  <c r="AW99" i="1"/>
  <c r="AY139" i="1"/>
  <c r="AX139" i="1"/>
  <c r="AW139" i="1"/>
  <c r="AX12" i="1"/>
  <c r="AW12" i="1"/>
  <c r="AY12" i="1"/>
  <c r="AY45" i="1"/>
  <c r="AX45" i="1"/>
  <c r="AW45" i="1"/>
  <c r="AY69" i="1"/>
  <c r="AX69" i="1"/>
  <c r="AW69" i="1"/>
  <c r="AY77" i="1"/>
  <c r="AX77" i="1"/>
  <c r="AW77" i="1"/>
  <c r="AY93" i="1"/>
  <c r="AX93" i="1"/>
  <c r="AW93" i="1"/>
  <c r="AY117" i="1"/>
  <c r="AX117" i="1"/>
  <c r="AW117" i="1"/>
  <c r="AY125" i="1"/>
  <c r="AX125" i="1"/>
  <c r="AW125" i="1"/>
  <c r="AY133" i="1"/>
  <c r="AX133" i="1"/>
  <c r="AW133" i="1"/>
  <c r="AY141" i="1"/>
  <c r="AX141" i="1"/>
  <c r="AW141" i="1"/>
  <c r="AY149" i="1"/>
  <c r="AX149" i="1"/>
  <c r="AW149" i="1"/>
  <c r="AY48" i="1"/>
  <c r="AX48" i="1"/>
  <c r="AW48" i="1"/>
  <c r="AW15" i="1"/>
  <c r="AX15" i="1"/>
  <c r="AY15" i="1"/>
  <c r="AY49" i="1"/>
  <c r="AX49" i="1"/>
  <c r="AW49" i="1"/>
  <c r="AY105" i="1"/>
  <c r="AX105" i="1"/>
  <c r="AW105" i="1"/>
  <c r="AY34" i="1"/>
  <c r="AW34" i="1"/>
  <c r="AX34" i="1"/>
  <c r="AW82" i="1"/>
  <c r="AY82" i="1"/>
  <c r="AX82" i="1"/>
  <c r="AY114" i="1"/>
  <c r="AX114" i="1"/>
  <c r="AW114" i="1"/>
  <c r="AY122" i="1"/>
  <c r="AW122" i="1"/>
  <c r="AX122" i="1"/>
  <c r="AY19" i="1"/>
  <c r="AW19" i="1"/>
  <c r="AX19" i="1"/>
  <c r="AY51" i="1"/>
  <c r="AX51" i="1"/>
  <c r="AW51" i="1"/>
  <c r="AY83" i="1"/>
  <c r="AX83" i="1"/>
  <c r="AW83" i="1"/>
  <c r="AY123" i="1"/>
  <c r="AX123" i="1"/>
  <c r="AW123" i="1"/>
  <c r="AY21" i="1"/>
  <c r="AX21" i="1"/>
  <c r="AW21" i="1"/>
  <c r="AY37" i="1"/>
  <c r="AX37" i="1"/>
  <c r="AW37" i="1"/>
  <c r="AY61" i="1"/>
  <c r="AX61" i="1"/>
  <c r="AW61" i="1"/>
  <c r="AY85" i="1"/>
  <c r="AX85" i="1"/>
  <c r="AW85" i="1"/>
  <c r="AY101" i="1"/>
  <c r="AX101" i="1"/>
  <c r="AW101" i="1"/>
  <c r="AY13" i="1"/>
  <c r="AX13" i="1"/>
  <c r="AW13" i="1"/>
  <c r="AY22" i="1"/>
  <c r="AX22" i="1"/>
  <c r="AW22" i="1"/>
  <c r="AY30" i="1"/>
  <c r="AX30" i="1"/>
  <c r="AW30" i="1"/>
  <c r="AY38" i="1"/>
  <c r="AX38" i="1"/>
  <c r="AW38" i="1"/>
  <c r="AY46" i="1"/>
  <c r="AX46" i="1"/>
  <c r="AY54" i="1"/>
  <c r="AX54" i="1"/>
  <c r="AW54" i="1"/>
  <c r="AY62" i="1"/>
  <c r="AX62" i="1"/>
  <c r="AW62" i="1"/>
  <c r="AY70" i="1"/>
  <c r="AX70" i="1"/>
  <c r="AW70" i="1"/>
  <c r="AY78" i="1"/>
  <c r="AX78" i="1"/>
  <c r="AW78" i="1"/>
  <c r="AY86" i="1"/>
  <c r="AX86" i="1"/>
  <c r="AW86" i="1"/>
  <c r="AY94" i="1"/>
  <c r="AX94" i="1"/>
  <c r="AW94" i="1"/>
  <c r="AY102" i="1"/>
  <c r="AX102" i="1"/>
  <c r="AW102" i="1"/>
  <c r="AY110" i="1"/>
  <c r="AX110" i="1"/>
  <c r="AW110" i="1"/>
  <c r="AY118" i="1"/>
  <c r="AX118" i="1"/>
  <c r="AW118" i="1"/>
  <c r="AY126" i="1"/>
  <c r="AX126" i="1"/>
  <c r="AW126" i="1"/>
  <c r="AY134" i="1"/>
  <c r="AX134" i="1"/>
  <c r="AW134" i="1"/>
  <c r="AY142" i="1"/>
  <c r="AX142" i="1"/>
  <c r="AW142" i="1"/>
  <c r="AY150" i="1"/>
  <c r="AX150" i="1"/>
  <c r="AW150" i="1"/>
  <c r="AY80" i="1"/>
  <c r="AX80" i="1"/>
  <c r="AW80" i="1"/>
  <c r="AY33" i="1"/>
  <c r="AX33" i="1"/>
  <c r="AW33" i="1"/>
  <c r="AY81" i="1"/>
  <c r="AX81" i="1"/>
  <c r="AW81" i="1"/>
  <c r="AY137" i="1"/>
  <c r="AX137" i="1"/>
  <c r="AW137" i="1"/>
  <c r="AW18" i="1"/>
  <c r="AY18" i="1"/>
  <c r="AX18" i="1"/>
  <c r="AW50" i="1"/>
  <c r="AY50" i="1"/>
  <c r="AX50" i="1"/>
  <c r="AY74" i="1"/>
  <c r="AX74" i="1"/>
  <c r="AW74" i="1"/>
  <c r="AY90" i="1"/>
  <c r="AW90" i="1"/>
  <c r="AX90" i="1"/>
  <c r="AY138" i="1"/>
  <c r="AW138" i="1"/>
  <c r="AX138" i="1"/>
  <c r="AY27" i="1"/>
  <c r="AX27" i="1"/>
  <c r="AW27" i="1"/>
  <c r="AY59" i="1"/>
  <c r="AX59" i="1"/>
  <c r="AW59" i="1"/>
  <c r="AY115" i="1"/>
  <c r="AX115" i="1"/>
  <c r="AW115" i="1"/>
  <c r="AY29" i="1"/>
  <c r="AX29" i="1"/>
  <c r="AW29" i="1"/>
  <c r="AY53" i="1"/>
  <c r="AX53" i="1"/>
  <c r="AW53" i="1"/>
  <c r="AY109" i="1"/>
  <c r="AX109" i="1"/>
  <c r="AW109" i="1"/>
  <c r="AY14" i="1"/>
  <c r="AX14" i="1"/>
  <c r="AW14" i="1"/>
  <c r="AW23" i="1"/>
  <c r="AX23" i="1"/>
  <c r="AY23" i="1"/>
  <c r="AW31" i="1"/>
  <c r="AX31" i="1"/>
  <c r="AY31" i="1"/>
  <c r="AW39" i="1"/>
  <c r="AX39" i="1"/>
  <c r="AY39" i="1"/>
  <c r="II47" i="1"/>
  <c r="AW47" i="1"/>
  <c r="AY47" i="1"/>
  <c r="AX47" i="1"/>
  <c r="AW55" i="1"/>
  <c r="AX55" i="1"/>
  <c r="AY55" i="1"/>
  <c r="AW63" i="1"/>
  <c r="AX63" i="1"/>
  <c r="AY63" i="1"/>
  <c r="AW71" i="1"/>
  <c r="AX71" i="1"/>
  <c r="AY71" i="1"/>
  <c r="AW79" i="1"/>
  <c r="AX79" i="1"/>
  <c r="AY79" i="1"/>
  <c r="AW87" i="1"/>
  <c r="AY87" i="1"/>
  <c r="AX87" i="1"/>
  <c r="AW95" i="1"/>
  <c r="AY95" i="1"/>
  <c r="AX95" i="1"/>
  <c r="AW103" i="1"/>
  <c r="AY103" i="1"/>
  <c r="AX103" i="1"/>
  <c r="AW111" i="1"/>
  <c r="AX111" i="1"/>
  <c r="AY111" i="1"/>
  <c r="AW119" i="1"/>
  <c r="AY119" i="1"/>
  <c r="AX119" i="1"/>
  <c r="AW127" i="1"/>
  <c r="AX127" i="1"/>
  <c r="AY127" i="1"/>
  <c r="AW135" i="1"/>
  <c r="AY135" i="1"/>
  <c r="AX135" i="1"/>
  <c r="AW143" i="1"/>
  <c r="AX143" i="1"/>
  <c r="AY143" i="1"/>
  <c r="AX40" i="1"/>
  <c r="AY40" i="1"/>
  <c r="AW40" i="1"/>
  <c r="AY56" i="1"/>
  <c r="AX56" i="1"/>
  <c r="AW56" i="1"/>
  <c r="AY96" i="1"/>
  <c r="AX96" i="1"/>
  <c r="AW96" i="1"/>
  <c r="AY104" i="1"/>
  <c r="AX104" i="1"/>
  <c r="AW104" i="1"/>
  <c r="AY112" i="1"/>
  <c r="AX112" i="1"/>
  <c r="AW112" i="1"/>
  <c r="AY120" i="1"/>
  <c r="AX120" i="1"/>
  <c r="AW120" i="1"/>
  <c r="AY128" i="1"/>
  <c r="AX128" i="1"/>
  <c r="AW128" i="1"/>
  <c r="AY136" i="1"/>
  <c r="AX136" i="1"/>
  <c r="AW136" i="1"/>
  <c r="AY144" i="1"/>
  <c r="AX144" i="1"/>
  <c r="AW144" i="1"/>
  <c r="AY16" i="1"/>
  <c r="AX16" i="1"/>
  <c r="AW16" i="1"/>
  <c r="AY64" i="1"/>
  <c r="AX64" i="1"/>
  <c r="AW64" i="1"/>
  <c r="AY41" i="1"/>
  <c r="AX41" i="1"/>
  <c r="AW41" i="1"/>
  <c r="AY89" i="1"/>
  <c r="AX89" i="1"/>
  <c r="AW89" i="1"/>
  <c r="AY113" i="1"/>
  <c r="AX113" i="1"/>
  <c r="AW113" i="1"/>
  <c r="AY145" i="1"/>
  <c r="AX145" i="1"/>
  <c r="AW145" i="1"/>
  <c r="II9" i="1"/>
  <c r="II42" i="1"/>
  <c r="II82" i="1"/>
  <c r="II122" i="1"/>
  <c r="II27" i="1"/>
  <c r="II59" i="1"/>
  <c r="II91" i="1"/>
  <c r="II115" i="1"/>
  <c r="II147" i="1"/>
  <c r="II11" i="1"/>
  <c r="II20" i="1"/>
  <c r="II28" i="1"/>
  <c r="II36" i="1"/>
  <c r="II44" i="1"/>
  <c r="II52" i="1"/>
  <c r="II60" i="1"/>
  <c r="II68" i="1"/>
  <c r="II76" i="1"/>
  <c r="II84" i="1"/>
  <c r="II92" i="1"/>
  <c r="II100" i="1"/>
  <c r="II108" i="1"/>
  <c r="II116" i="1"/>
  <c r="II124" i="1"/>
  <c r="II132" i="1"/>
  <c r="II140" i="1"/>
  <c r="II148" i="1"/>
  <c r="II25" i="1"/>
  <c r="II34" i="1"/>
  <c r="II58" i="1"/>
  <c r="II90" i="1"/>
  <c r="II114" i="1"/>
  <c r="II138" i="1"/>
  <c r="II10" i="1"/>
  <c r="AY10" i="1"/>
  <c r="AX10" i="1"/>
  <c r="AW10" i="1"/>
  <c r="II43" i="1"/>
  <c r="II67" i="1"/>
  <c r="II99" i="1"/>
  <c r="II131" i="1"/>
  <c r="II12" i="1"/>
  <c r="II21" i="1"/>
  <c r="II29" i="1"/>
  <c r="II37" i="1"/>
  <c r="II45" i="1"/>
  <c r="II53" i="1"/>
  <c r="II61" i="1"/>
  <c r="II69" i="1"/>
  <c r="II77" i="1"/>
  <c r="II85" i="1"/>
  <c r="II93" i="1"/>
  <c r="II101" i="1"/>
  <c r="II109" i="1"/>
  <c r="II117" i="1"/>
  <c r="II125" i="1"/>
  <c r="II133" i="1"/>
  <c r="II141" i="1"/>
  <c r="II149" i="1"/>
  <c r="II17" i="1"/>
  <c r="II26" i="1"/>
  <c r="II66" i="1"/>
  <c r="II98" i="1"/>
  <c r="II146" i="1"/>
  <c r="II19" i="1"/>
  <c r="II51" i="1"/>
  <c r="II83" i="1"/>
  <c r="II107" i="1"/>
  <c r="II139" i="1"/>
  <c r="II13" i="1"/>
  <c r="II22" i="1"/>
  <c r="II30" i="1"/>
  <c r="II38" i="1"/>
  <c r="II46" i="1"/>
  <c r="II54" i="1"/>
  <c r="II62" i="1"/>
  <c r="II70" i="1"/>
  <c r="II78" i="1"/>
  <c r="II86" i="1"/>
  <c r="II94" i="1"/>
  <c r="II102" i="1"/>
  <c r="II110" i="1"/>
  <c r="II118" i="1"/>
  <c r="II126" i="1"/>
  <c r="II134" i="1"/>
  <c r="II142" i="1"/>
  <c r="II150" i="1"/>
  <c r="II18" i="1"/>
  <c r="II50" i="1"/>
  <c r="II74" i="1"/>
  <c r="II106" i="1"/>
  <c r="II130" i="1"/>
  <c r="II35" i="1"/>
  <c r="II75" i="1"/>
  <c r="II123" i="1"/>
  <c r="II14" i="1"/>
  <c r="II23" i="1"/>
  <c r="II31" i="1"/>
  <c r="II39" i="1"/>
  <c r="II55" i="1"/>
  <c r="II63" i="1"/>
  <c r="II71" i="1"/>
  <c r="II79" i="1"/>
  <c r="II87" i="1"/>
  <c r="II95" i="1"/>
  <c r="II103" i="1"/>
  <c r="II111" i="1"/>
  <c r="II119" i="1"/>
  <c r="II127" i="1"/>
  <c r="II135" i="1"/>
  <c r="II143" i="1"/>
  <c r="II16" i="1"/>
  <c r="II24" i="1"/>
  <c r="II32" i="1"/>
  <c r="II40" i="1"/>
  <c r="II48" i="1"/>
  <c r="II56" i="1"/>
  <c r="II64" i="1"/>
  <c r="II72" i="1"/>
  <c r="II80" i="1"/>
  <c r="II88" i="1"/>
  <c r="II96" i="1"/>
  <c r="II104" i="1"/>
  <c r="II112" i="1"/>
  <c r="II120" i="1"/>
  <c r="II128" i="1"/>
  <c r="II136" i="1"/>
  <c r="II144" i="1"/>
  <c r="II15" i="1"/>
  <c r="II33" i="1"/>
  <c r="II41" i="1"/>
  <c r="II49" i="1"/>
  <c r="II57" i="1"/>
  <c r="II65" i="1"/>
  <c r="II73" i="1"/>
  <c r="II81" i="1"/>
  <c r="II89" i="1"/>
  <c r="II97" i="1"/>
  <c r="II105" i="1"/>
  <c r="II113" i="1"/>
  <c r="II121" i="1"/>
  <c r="II129" i="1"/>
  <c r="II137" i="1"/>
  <c r="II145" i="1"/>
  <c r="IJ16" i="1" a="1"/>
  <c r="IJ16" i="1" s="1"/>
  <c r="IJ61" i="1" a="1"/>
  <c r="IJ61" i="1" s="1"/>
  <c r="O16" i="1"/>
  <c r="N16" i="1"/>
  <c r="IJ12" i="1" a="1"/>
  <c r="IJ12" i="1" s="1"/>
  <c r="IJ117" i="1" a="1"/>
  <c r="IJ117" i="1" s="1"/>
  <c r="IJ13" i="1" a="1"/>
  <c r="IJ13" i="1" s="1"/>
  <c r="Z13" i="1"/>
  <c r="IJ30" i="1" a="1"/>
  <c r="IJ30" i="1" s="1"/>
  <c r="IJ38" i="1" a="1"/>
  <c r="IJ38" i="1" s="1"/>
  <c r="IJ78" i="1" a="1"/>
  <c r="IJ78" i="1" s="1"/>
  <c r="IJ86" i="1" a="1"/>
  <c r="IJ86" i="1" s="1"/>
  <c r="IJ94" i="1" a="1"/>
  <c r="IJ94" i="1" s="1"/>
  <c r="IJ118" i="1" a="1"/>
  <c r="IJ118" i="1" s="1"/>
  <c r="IJ134" i="1" a="1"/>
  <c r="IJ134" i="1" s="1"/>
  <c r="IJ142" i="1" a="1"/>
  <c r="IJ142" i="1" s="1"/>
  <c r="IJ150" i="1" a="1"/>
  <c r="IJ150" i="1" s="1"/>
  <c r="IJ83" i="1" a="1"/>
  <c r="IJ83" i="1" s="1"/>
  <c r="IJ93" i="1" a="1"/>
  <c r="IJ93" i="1" s="1"/>
  <c r="IJ141" i="1" a="1"/>
  <c r="IJ141" i="1" s="1"/>
  <c r="IJ14" i="1" a="1"/>
  <c r="IJ14" i="1" s="1"/>
  <c r="IJ23" i="1" a="1"/>
  <c r="IJ23" i="1" s="1"/>
  <c r="IJ31" i="1" a="1"/>
  <c r="IJ31" i="1" s="1"/>
  <c r="IJ39" i="1" a="1"/>
  <c r="IJ39" i="1" s="1"/>
  <c r="IJ63" i="1" a="1"/>
  <c r="IJ63" i="1" s="1"/>
  <c r="IJ79" i="1" a="1"/>
  <c r="IJ79" i="1" s="1"/>
  <c r="IJ87" i="1" a="1"/>
  <c r="IJ87" i="1" s="1"/>
  <c r="IJ95" i="1" a="1"/>
  <c r="IJ95" i="1" s="1"/>
  <c r="IJ127" i="1" a="1"/>
  <c r="IJ127" i="1" s="1"/>
  <c r="IJ135" i="1" a="1"/>
  <c r="IJ135" i="1" s="1"/>
  <c r="IJ143" i="1" a="1"/>
  <c r="IJ143" i="1" s="1"/>
  <c r="IJ29" i="1" a="1"/>
  <c r="IJ29" i="1" s="1"/>
  <c r="IJ85" i="1" a="1"/>
  <c r="IJ85" i="1" s="1"/>
  <c r="IJ133" i="1" a="1"/>
  <c r="IJ133" i="1" s="1"/>
  <c r="IJ24" i="1" a="1"/>
  <c r="IJ24" i="1" s="1"/>
  <c r="IJ32" i="1" a="1"/>
  <c r="IJ32" i="1" s="1"/>
  <c r="IJ40" i="1" a="1"/>
  <c r="IJ40" i="1" s="1"/>
  <c r="IJ64" i="1" a="1"/>
  <c r="IJ64" i="1" s="1"/>
  <c r="IJ80" i="1" a="1"/>
  <c r="IJ80" i="1" s="1"/>
  <c r="IJ88" i="1" a="1"/>
  <c r="IJ88" i="1" s="1"/>
  <c r="IJ96" i="1" a="1"/>
  <c r="IJ96" i="1" s="1"/>
  <c r="IJ128" i="1" a="1"/>
  <c r="IJ128" i="1" s="1"/>
  <c r="IJ136" i="1" a="1"/>
  <c r="IJ136" i="1" s="1"/>
  <c r="IJ144" i="1" a="1"/>
  <c r="IJ144" i="1" s="1"/>
  <c r="IJ67" i="1" a="1"/>
  <c r="IJ67" i="1" s="1"/>
  <c r="IJ149" i="1" a="1"/>
  <c r="IJ149" i="1" s="1"/>
  <c r="IJ15" i="1" a="1"/>
  <c r="IJ15" i="1" s="1"/>
  <c r="IJ25" i="1" a="1"/>
  <c r="IJ25" i="1" s="1"/>
  <c r="IJ33" i="1" a="1"/>
  <c r="IJ33" i="1" s="1"/>
  <c r="IJ41" i="1" a="1"/>
  <c r="IJ41" i="1" s="1"/>
  <c r="IJ65" i="1" a="1"/>
  <c r="IJ65" i="1" s="1"/>
  <c r="IJ81" i="1" a="1"/>
  <c r="IJ81" i="1" s="1"/>
  <c r="IJ97" i="1" a="1"/>
  <c r="IJ97" i="1" s="1"/>
  <c r="IJ129" i="1" a="1"/>
  <c r="IJ129" i="1" s="1"/>
  <c r="IJ137" i="1" a="1"/>
  <c r="IJ137" i="1" s="1"/>
  <c r="IJ145" i="1" a="1"/>
  <c r="IJ145" i="1" s="1"/>
  <c r="IJ10" i="1" a="1"/>
  <c r="IJ10" i="1" s="1"/>
  <c r="AA10" i="1"/>
  <c r="AB10" i="1"/>
  <c r="IJ35" i="1" a="1"/>
  <c r="IJ35" i="1" s="1"/>
  <c r="IJ37" i="1" a="1"/>
  <c r="IJ37" i="1" s="1"/>
  <c r="IJ9" i="1" a="1"/>
  <c r="IJ9" i="1" s="1"/>
  <c r="IK9" i="1" s="1" a="1"/>
  <c r="IK9" i="1" s="1"/>
  <c r="IJ26" i="1" a="1"/>
  <c r="IJ26" i="1" s="1"/>
  <c r="IJ34" i="1" a="1"/>
  <c r="IJ34" i="1" s="1"/>
  <c r="IJ42" i="1" a="1"/>
  <c r="IJ42" i="1" s="1"/>
  <c r="IJ66" i="1" a="1"/>
  <c r="IJ66" i="1" s="1"/>
  <c r="IJ82" i="1" a="1"/>
  <c r="IJ82" i="1" s="1"/>
  <c r="IJ98" i="1" a="1"/>
  <c r="IJ98" i="1" s="1"/>
  <c r="IJ114" i="1" a="1"/>
  <c r="IJ114" i="1" s="1"/>
  <c r="IJ130" i="1" a="1"/>
  <c r="IJ130" i="1" s="1"/>
  <c r="IJ138" i="1" a="1"/>
  <c r="IJ138" i="1" s="1"/>
  <c r="IJ146" i="1" a="1"/>
  <c r="IJ146" i="1" s="1"/>
  <c r="IJ27" i="1" a="1"/>
  <c r="IJ27" i="1" s="1"/>
  <c r="IJ99" i="1" a="1"/>
  <c r="IJ99" i="1" s="1"/>
  <c r="IJ115" i="1" a="1"/>
  <c r="IJ115" i="1" s="1"/>
  <c r="IJ131" i="1" a="1"/>
  <c r="IJ131" i="1" s="1"/>
  <c r="IJ139" i="1" a="1"/>
  <c r="IJ139" i="1" s="1"/>
  <c r="IJ147" i="1" a="1"/>
  <c r="IJ147" i="1" s="1"/>
  <c r="IJ11" i="1" a="1"/>
  <c r="IJ11" i="1" s="1"/>
  <c r="IJ28" i="1" a="1"/>
  <c r="IJ28" i="1" s="1"/>
  <c r="IJ36" i="1" a="1"/>
  <c r="IJ36" i="1" s="1"/>
  <c r="IJ84" i="1" a="1"/>
  <c r="IJ84" i="1" s="1"/>
  <c r="IJ92" i="1" a="1"/>
  <c r="IJ92" i="1" s="1"/>
  <c r="IJ100" i="1" a="1"/>
  <c r="IJ100" i="1" s="1"/>
  <c r="IJ116" i="1" a="1"/>
  <c r="IJ116" i="1" s="1"/>
  <c r="IJ132" i="1" a="1"/>
  <c r="IJ132" i="1" s="1"/>
  <c r="IJ140" i="1" a="1"/>
  <c r="IJ140" i="1" s="1"/>
  <c r="IJ148" i="1" a="1"/>
  <c r="IJ148" i="1" s="1"/>
  <c r="IJ101" i="1" a="1"/>
  <c r="IJ101" i="1" s="1"/>
  <c r="IJ102" i="1" a="1"/>
  <c r="IJ102" i="1" s="1"/>
  <c r="IJ69" i="1" a="1"/>
  <c r="IJ69" i="1" s="1"/>
  <c r="IJ68" i="1" a="1"/>
  <c r="IJ68" i="1" s="1"/>
  <c r="IJ70" i="1" a="1"/>
  <c r="IJ70" i="1" s="1"/>
  <c r="IJ103" i="1" a="1"/>
  <c r="IJ103" i="1" s="1"/>
  <c r="IJ104" i="1" a="1"/>
  <c r="IJ104" i="1" s="1"/>
  <c r="IJ71" i="1" a="1"/>
  <c r="IJ71" i="1" s="1"/>
  <c r="IJ105" i="1" a="1"/>
  <c r="IJ105" i="1" s="1"/>
  <c r="IJ106" i="1" a="1"/>
  <c r="IJ106" i="1" s="1"/>
  <c r="IJ111" i="1" a="1"/>
  <c r="IJ111" i="1" s="1"/>
  <c r="IJ72" i="1" a="1"/>
  <c r="IJ72" i="1" s="1"/>
  <c r="IJ113" i="1" a="1"/>
  <c r="IJ113" i="1" s="1"/>
  <c r="IJ89" i="1" a="1"/>
  <c r="IJ89" i="1" s="1"/>
  <c r="IJ107" i="1" a="1"/>
  <c r="IJ107" i="1" s="1"/>
  <c r="IJ110" i="1" a="1"/>
  <c r="IJ110" i="1" s="1"/>
  <c r="IJ112" i="1" a="1"/>
  <c r="IJ112" i="1" s="1"/>
  <c r="IJ108" i="1" a="1"/>
  <c r="IJ108" i="1" s="1"/>
  <c r="IJ109" i="1" a="1"/>
  <c r="IJ109" i="1" s="1"/>
  <c r="IJ90" i="1" a="1"/>
  <c r="IJ90" i="1" s="1"/>
  <c r="IJ91" i="1" a="1"/>
  <c r="IJ91" i="1" s="1"/>
  <c r="IJ74" i="1" a="1"/>
  <c r="IJ74" i="1" s="1"/>
  <c r="IJ75" i="1" a="1"/>
  <c r="IJ75" i="1" s="1"/>
  <c r="IJ77" i="1" a="1"/>
  <c r="IJ77" i="1" s="1"/>
  <c r="IJ76" i="1" a="1"/>
  <c r="IJ76" i="1" s="1"/>
  <c r="IJ73" i="1" a="1"/>
  <c r="IJ73" i="1" s="1"/>
  <c r="IJ125" i="1" a="1"/>
  <c r="IJ125" i="1" s="1"/>
  <c r="IJ126" i="1" a="1"/>
  <c r="IJ126" i="1" s="1"/>
  <c r="IJ124" i="1" a="1"/>
  <c r="IJ124" i="1" s="1"/>
  <c r="IJ119" i="1" a="1"/>
  <c r="IJ119" i="1" s="1"/>
  <c r="IJ120" i="1" a="1"/>
  <c r="IJ120" i="1" s="1"/>
  <c r="IJ121" i="1" a="1"/>
  <c r="IJ121" i="1" s="1"/>
  <c r="IJ122" i="1" a="1"/>
  <c r="IJ122" i="1" s="1"/>
  <c r="IJ123" i="1" a="1"/>
  <c r="IJ123" i="1" s="1"/>
  <c r="IJ44" i="1" a="1"/>
  <c r="IJ44" i="1" s="1"/>
  <c r="IJ21" i="1" a="1"/>
  <c r="IJ21" i="1" s="1"/>
  <c r="IK21" i="1" s="1" a="1"/>
  <c r="IK21" i="1" s="1"/>
  <c r="IJ45" i="1" a="1"/>
  <c r="IJ45" i="1" s="1"/>
  <c r="IJ53" i="1" a="1"/>
  <c r="IJ53" i="1" s="1"/>
  <c r="IJ22" i="1" a="1"/>
  <c r="IJ22" i="1" s="1"/>
  <c r="IJ46" i="1" a="1"/>
  <c r="IJ46" i="1" s="1"/>
  <c r="IJ54" i="1" a="1"/>
  <c r="IJ54" i="1" s="1"/>
  <c r="IJ62" i="1" a="1"/>
  <c r="IJ62" i="1" s="1"/>
  <c r="IJ52" i="1" a="1"/>
  <c r="IJ52" i="1" s="1"/>
  <c r="IJ60" i="1" a="1"/>
  <c r="IJ60" i="1" s="1"/>
  <c r="IJ47" i="1" a="1"/>
  <c r="IJ47" i="1" s="1"/>
  <c r="IJ55" i="1" a="1"/>
  <c r="IJ55" i="1" s="1"/>
  <c r="IJ48" i="1" a="1"/>
  <c r="IJ48" i="1" s="1"/>
  <c r="IJ56" i="1" a="1"/>
  <c r="IJ56" i="1" s="1"/>
  <c r="IJ20" i="1" a="1"/>
  <c r="IJ20" i="1" s="1"/>
  <c r="IJ17" i="1" a="1"/>
  <c r="IJ17" i="1" s="1"/>
  <c r="IJ49" i="1" a="1"/>
  <c r="IJ49" i="1" s="1"/>
  <c r="IJ57" i="1" a="1"/>
  <c r="IJ57" i="1" s="1"/>
  <c r="IJ18" i="1" a="1"/>
  <c r="IJ18" i="1" s="1"/>
  <c r="IJ50" i="1" a="1"/>
  <c r="IJ50" i="1" s="1"/>
  <c r="IJ58" i="1" a="1"/>
  <c r="IJ58" i="1" s="1"/>
  <c r="IJ19" i="1" a="1"/>
  <c r="IJ19" i="1" s="1"/>
  <c r="IJ43" i="1" a="1"/>
  <c r="IJ43" i="1" s="1"/>
  <c r="IJ51" i="1" a="1"/>
  <c r="IJ51" i="1" s="1"/>
  <c r="IJ59" i="1" a="1"/>
  <c r="IJ59" i="1" s="1"/>
  <c r="IK59" i="1" s="1" a="1"/>
  <c r="IK59" i="1" s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N149" i="1"/>
  <c r="P147" i="1"/>
  <c r="O144" i="1"/>
  <c r="Z143" i="1"/>
  <c r="P140" i="1"/>
  <c r="N291" i="7"/>
  <c r="DM2" i="7"/>
  <c r="DN2" i="7" s="1"/>
  <c r="IM21" i="1" l="1"/>
  <c r="IM59" i="1"/>
  <c r="IM9" i="1"/>
  <c r="IR9" i="1"/>
  <c r="IK103" i="1" a="1"/>
  <c r="IK103" i="1" s="1"/>
  <c r="IK29" i="1" a="1"/>
  <c r="IK29" i="1" s="1"/>
  <c r="IK18" i="1" a="1"/>
  <c r="IK18" i="1" s="1"/>
  <c r="IK47" i="1" a="1"/>
  <c r="IK47" i="1" s="1"/>
  <c r="IK45" i="1" a="1"/>
  <c r="IK45" i="1" s="1"/>
  <c r="IK124" i="1" a="1"/>
  <c r="IK124" i="1" s="1"/>
  <c r="IK91" i="1" a="1"/>
  <c r="IK91" i="1" s="1"/>
  <c r="IK113" i="1" a="1"/>
  <c r="IK113" i="1" s="1"/>
  <c r="IM113" i="1" s="1"/>
  <c r="IK70" i="1" a="1"/>
  <c r="IK70" i="1" s="1"/>
  <c r="IK116" i="1" a="1"/>
  <c r="IK116" i="1" s="1"/>
  <c r="IK139" i="1" a="1"/>
  <c r="IK139" i="1" s="1"/>
  <c r="IK114" i="1" a="1"/>
  <c r="IK114" i="1" s="1"/>
  <c r="IK137" i="1" a="1"/>
  <c r="IK137" i="1" s="1"/>
  <c r="IK15" i="1" a="1"/>
  <c r="IK15" i="1" s="1"/>
  <c r="IK80" i="1" a="1"/>
  <c r="IK80" i="1" s="1"/>
  <c r="IK143" i="1" a="1"/>
  <c r="IK143" i="1" s="1"/>
  <c r="IM143" i="1" s="1"/>
  <c r="IK31" i="1" a="1"/>
  <c r="IK31" i="1" s="1"/>
  <c r="IK134" i="1" a="1"/>
  <c r="IK134" i="1" s="1"/>
  <c r="IK13" i="1" a="1"/>
  <c r="IK13" i="1" s="1"/>
  <c r="IK55" i="1" a="1"/>
  <c r="IK55" i="1" s="1"/>
  <c r="IK89" i="1" a="1"/>
  <c r="IK89" i="1" s="1"/>
  <c r="IK142" i="1" a="1"/>
  <c r="IK142" i="1" s="1"/>
  <c r="IK57" i="1" a="1"/>
  <c r="IK57" i="1" s="1"/>
  <c r="IK126" i="1" a="1"/>
  <c r="IK126" i="1" s="1"/>
  <c r="IM126" i="1" s="1"/>
  <c r="IK90" i="1" a="1"/>
  <c r="IK90" i="1" s="1"/>
  <c r="IK72" i="1" a="1"/>
  <c r="IK72" i="1" s="1"/>
  <c r="IK68" i="1" a="1"/>
  <c r="IK68" i="1" s="1"/>
  <c r="IK100" i="1" a="1"/>
  <c r="IK100" i="1" s="1"/>
  <c r="IK131" i="1" a="1"/>
  <c r="IK131" i="1" s="1"/>
  <c r="IK98" i="1" a="1"/>
  <c r="IK98" i="1" s="1"/>
  <c r="IK37" i="1" a="1"/>
  <c r="IK37" i="1" s="1"/>
  <c r="IK129" i="1" a="1"/>
  <c r="IK129" i="1" s="1"/>
  <c r="IM129" i="1" s="1"/>
  <c r="IK149" i="1" a="1"/>
  <c r="IK149" i="1" s="1"/>
  <c r="IK64" i="1" a="1"/>
  <c r="IK64" i="1" s="1"/>
  <c r="IK135" i="1" a="1"/>
  <c r="IK135" i="1" s="1"/>
  <c r="IK23" i="1" a="1"/>
  <c r="IK23" i="1" s="1"/>
  <c r="IK118" i="1" a="1"/>
  <c r="IK118" i="1" s="1"/>
  <c r="IK117" i="1" a="1"/>
  <c r="IK117" i="1" s="1"/>
  <c r="IK119" i="1" a="1"/>
  <c r="IK119" i="1" s="1"/>
  <c r="IK130" i="1" a="1"/>
  <c r="IK130" i="1" s="1"/>
  <c r="IM130" i="1" s="1"/>
  <c r="IK39" i="1" a="1"/>
  <c r="IK39" i="1" s="1"/>
  <c r="IK60" i="1" a="1"/>
  <c r="IK60" i="1" s="1"/>
  <c r="IK52" i="1" a="1"/>
  <c r="IK52" i="1" s="1"/>
  <c r="IK44" i="1" a="1"/>
  <c r="IK44" i="1" s="1"/>
  <c r="IK125" i="1" a="1"/>
  <c r="IK125" i="1" s="1"/>
  <c r="IK109" i="1" a="1"/>
  <c r="IK109" i="1" s="1"/>
  <c r="IK111" i="1" a="1"/>
  <c r="IK111" i="1" s="1"/>
  <c r="IK69" i="1" a="1"/>
  <c r="IK69" i="1" s="1"/>
  <c r="IM69" i="1" s="1"/>
  <c r="IK92" i="1" a="1"/>
  <c r="IK92" i="1" s="1"/>
  <c r="IK115" i="1" a="1"/>
  <c r="IK115" i="1" s="1"/>
  <c r="IK82" i="1" a="1"/>
  <c r="IK82" i="1" s="1"/>
  <c r="IK35" i="1" a="1"/>
  <c r="IK35" i="1" s="1"/>
  <c r="IK97" i="1" a="1"/>
  <c r="IK97" i="1" s="1"/>
  <c r="IK67" i="1" a="1"/>
  <c r="IK67" i="1" s="1"/>
  <c r="IK40" i="1" a="1"/>
  <c r="IK40" i="1" s="1"/>
  <c r="IK127" i="1" a="1"/>
  <c r="IK127" i="1" s="1"/>
  <c r="IK14" i="1" a="1"/>
  <c r="IK14" i="1" s="1"/>
  <c r="IK94" i="1" a="1"/>
  <c r="IK94" i="1" s="1"/>
  <c r="IK12" i="1" a="1"/>
  <c r="IK12" i="1" s="1"/>
  <c r="IK74" i="1" a="1"/>
  <c r="IK74" i="1" s="1"/>
  <c r="IK25" i="1" a="1"/>
  <c r="IK25" i="1" s="1"/>
  <c r="IK49" i="1" a="1"/>
  <c r="IK49" i="1" s="1"/>
  <c r="IK51" i="1" a="1"/>
  <c r="IK51" i="1" s="1"/>
  <c r="IK17" i="1" a="1"/>
  <c r="IK17" i="1" s="1"/>
  <c r="IM17" i="1" s="1"/>
  <c r="IK62" i="1" a="1"/>
  <c r="IK62" i="1" s="1"/>
  <c r="IK123" i="1" a="1"/>
  <c r="IK123" i="1" s="1"/>
  <c r="IK73" i="1" a="1"/>
  <c r="IK73" i="1" s="1"/>
  <c r="IK108" i="1" a="1"/>
  <c r="IK108" i="1" s="1"/>
  <c r="IK106" i="1" a="1"/>
  <c r="IK106" i="1" s="1"/>
  <c r="IK102" i="1" a="1"/>
  <c r="IK102" i="1" s="1"/>
  <c r="IM102" i="1" s="1"/>
  <c r="IK84" i="1" a="1"/>
  <c r="IK84" i="1" s="1"/>
  <c r="IK99" i="1" a="1"/>
  <c r="IK99" i="1" s="1"/>
  <c r="IK66" i="1" a="1"/>
  <c r="IK66" i="1" s="1"/>
  <c r="IK81" i="1" a="1"/>
  <c r="IK81" i="1" s="1"/>
  <c r="IK144" i="1" a="1"/>
  <c r="IK144" i="1" s="1"/>
  <c r="IK32" i="1" a="1"/>
  <c r="IK32" i="1" s="1"/>
  <c r="IK95" i="1" a="1"/>
  <c r="IK95" i="1" s="1"/>
  <c r="IK141" i="1" a="1"/>
  <c r="IK141" i="1" s="1"/>
  <c r="IK86" i="1" a="1"/>
  <c r="IK86" i="1" s="1"/>
  <c r="IK43" i="1" a="1"/>
  <c r="IK43" i="1" s="1"/>
  <c r="IM43" i="1" s="1"/>
  <c r="IK20" i="1" a="1"/>
  <c r="IK20" i="1" s="1"/>
  <c r="IK54" i="1" a="1"/>
  <c r="IK54" i="1" s="1"/>
  <c r="IK122" i="1" a="1"/>
  <c r="IK122" i="1" s="1"/>
  <c r="IK76" i="1" a="1"/>
  <c r="IK76" i="1" s="1"/>
  <c r="IK112" i="1" a="1"/>
  <c r="IK112" i="1" s="1"/>
  <c r="IK105" i="1" a="1"/>
  <c r="IK105" i="1" s="1"/>
  <c r="IM105" i="1" s="1"/>
  <c r="IK101" i="1" a="1"/>
  <c r="IK101" i="1" s="1"/>
  <c r="IM101" i="1" s="1"/>
  <c r="IK36" i="1" a="1"/>
  <c r="IK36" i="1" s="1"/>
  <c r="IM36" i="1" s="1"/>
  <c r="IK27" i="1" a="1"/>
  <c r="IK27" i="1" s="1"/>
  <c r="IK42" i="1" a="1"/>
  <c r="IK42" i="1" s="1"/>
  <c r="IK65" i="1" a="1"/>
  <c r="IK65" i="1" s="1"/>
  <c r="IK136" i="1" a="1"/>
  <c r="IK136" i="1" s="1"/>
  <c r="IK24" i="1" a="1"/>
  <c r="IK24" i="1" s="1"/>
  <c r="IK87" i="1" a="1"/>
  <c r="IK87" i="1" s="1"/>
  <c r="IK93" i="1" a="1"/>
  <c r="IK93" i="1" s="1"/>
  <c r="IK78" i="1" a="1"/>
  <c r="IK78" i="1" s="1"/>
  <c r="IK50" i="1" a="1"/>
  <c r="IK50" i="1" s="1"/>
  <c r="IK132" i="1" a="1"/>
  <c r="IK132" i="1" s="1"/>
  <c r="IK145" i="1" a="1"/>
  <c r="IK145" i="1" s="1"/>
  <c r="IK56" i="1" a="1"/>
  <c r="IK56" i="1" s="1"/>
  <c r="IK121" i="1" a="1"/>
  <c r="IK121" i="1" s="1"/>
  <c r="IK77" i="1" a="1"/>
  <c r="IK77" i="1" s="1"/>
  <c r="IK110" i="1" a="1"/>
  <c r="IK110" i="1" s="1"/>
  <c r="IK71" i="1" a="1"/>
  <c r="IK71" i="1" s="1"/>
  <c r="IM71" i="1" s="1"/>
  <c r="IK148" i="1" a="1"/>
  <c r="IK148" i="1" s="1"/>
  <c r="IK28" i="1" a="1"/>
  <c r="IK28" i="1" s="1"/>
  <c r="IK146" i="1" a="1"/>
  <c r="IK146" i="1" s="1"/>
  <c r="IK34" i="1" a="1"/>
  <c r="IK34" i="1" s="1"/>
  <c r="IK41" i="1" a="1"/>
  <c r="IK41" i="1" s="1"/>
  <c r="IK128" i="1" a="1"/>
  <c r="IK128" i="1" s="1"/>
  <c r="IM128" i="1" s="1"/>
  <c r="IK133" i="1" a="1"/>
  <c r="IK133" i="1" s="1"/>
  <c r="IK79" i="1" a="1"/>
  <c r="IK79" i="1" s="1"/>
  <c r="IK83" i="1" a="1"/>
  <c r="IK83" i="1" s="1"/>
  <c r="IK38" i="1" a="1"/>
  <c r="IK38" i="1" s="1"/>
  <c r="IK61" i="1" a="1"/>
  <c r="IK61" i="1" s="1"/>
  <c r="IK53" i="1" a="1"/>
  <c r="IK53" i="1" s="1"/>
  <c r="IK147" i="1" a="1"/>
  <c r="IK147" i="1" s="1"/>
  <c r="IK88" i="1" a="1"/>
  <c r="IK88" i="1" s="1"/>
  <c r="IK19" i="1" a="1"/>
  <c r="IK19" i="1" s="1"/>
  <c r="IK46" i="1" a="1"/>
  <c r="IK46" i="1" s="1"/>
  <c r="IM46" i="1" s="1"/>
  <c r="IK58" i="1" a="1"/>
  <c r="IK58" i="1" s="1"/>
  <c r="IK48" i="1" a="1"/>
  <c r="IK48" i="1" s="1"/>
  <c r="IK22" i="1" a="1"/>
  <c r="IK22" i="1" s="1"/>
  <c r="IK120" i="1" a="1"/>
  <c r="IK120" i="1" s="1"/>
  <c r="IK75" i="1" a="1"/>
  <c r="IK75" i="1" s="1"/>
  <c r="IK107" i="1" a="1"/>
  <c r="IK107" i="1" s="1"/>
  <c r="IK104" i="1" a="1"/>
  <c r="IK104" i="1" s="1"/>
  <c r="IK140" i="1" a="1"/>
  <c r="IK140" i="1" s="1"/>
  <c r="IM140" i="1" s="1"/>
  <c r="IK11" i="1" a="1"/>
  <c r="IK11" i="1" s="1"/>
  <c r="IK138" i="1" a="1"/>
  <c r="IK138" i="1" s="1"/>
  <c r="IK26" i="1" a="1"/>
  <c r="IK26" i="1" s="1"/>
  <c r="IK10" i="1" a="1"/>
  <c r="IK10" i="1" s="1"/>
  <c r="IK33" i="1" a="1"/>
  <c r="IK33" i="1" s="1"/>
  <c r="IK96" i="1" a="1"/>
  <c r="IK96" i="1" s="1"/>
  <c r="IK85" i="1" a="1"/>
  <c r="IK85" i="1" s="1"/>
  <c r="IK63" i="1" a="1"/>
  <c r="IK63" i="1" s="1"/>
  <c r="IM63" i="1" s="1"/>
  <c r="IK150" i="1" a="1"/>
  <c r="IK150" i="1" s="1"/>
  <c r="IK30" i="1" a="1"/>
  <c r="IK30" i="1" s="1"/>
  <c r="IK16" i="1" a="1"/>
  <c r="IK16" i="1" s="1"/>
  <c r="AV47" i="1"/>
  <c r="II4" i="1" a="1"/>
  <c r="II4" i="1" s="1"/>
  <c r="AV150" i="1"/>
  <c r="AV149" i="1"/>
  <c r="AV148" i="1"/>
  <c r="AV147" i="1"/>
  <c r="AV144" i="1"/>
  <c r="AV145" i="1"/>
  <c r="AV146" i="1"/>
  <c r="IL9" i="1"/>
  <c r="IL21" i="1"/>
  <c r="IL59" i="1"/>
  <c r="Q16" i="1"/>
  <c r="IY59" i="1"/>
  <c r="IP59" i="1"/>
  <c r="IT59" i="1"/>
  <c r="IP21" i="1"/>
  <c r="IY21" i="1"/>
  <c r="IT21" i="1"/>
  <c r="IP9" i="1"/>
  <c r="IV9" i="1"/>
  <c r="IX9" i="1"/>
  <c r="JA9" i="1"/>
  <c r="IW9" i="1"/>
  <c r="IG9" i="1" s="1"/>
  <c r="IU9" i="1"/>
  <c r="IY9" i="1"/>
  <c r="IZ9" i="1" s="1"/>
  <c r="IS9" i="1"/>
  <c r="IN9" i="1"/>
  <c r="IT9" i="1"/>
  <c r="AD10" i="1"/>
  <c r="M294" i="7"/>
  <c r="Z144" i="1"/>
  <c r="AD144" i="1" s="1"/>
  <c r="AH144" i="1" s="1"/>
  <c r="AA137" i="1"/>
  <c r="N135" i="1"/>
  <c r="Z145" i="1"/>
  <c r="O150" i="1"/>
  <c r="AV134" i="1"/>
  <c r="N289" i="7"/>
  <c r="AV138" i="1"/>
  <c r="N293" i="7"/>
  <c r="AV130" i="1"/>
  <c r="N285" i="7"/>
  <c r="AV135" i="1"/>
  <c r="N290" i="7"/>
  <c r="AV139" i="1"/>
  <c r="N294" i="7"/>
  <c r="AV140" i="1"/>
  <c r="N295" i="7"/>
  <c r="AV141" i="1"/>
  <c r="N296" i="7"/>
  <c r="AV131" i="1"/>
  <c r="N286" i="7"/>
  <c r="AV132" i="1"/>
  <c r="N287" i="7"/>
  <c r="AV143" i="1"/>
  <c r="N298" i="7"/>
  <c r="AV133" i="1"/>
  <c r="N288" i="7"/>
  <c r="AV136" i="1"/>
  <c r="AV142" i="1"/>
  <c r="N297" i="7"/>
  <c r="AV137" i="1"/>
  <c r="N292" i="7"/>
  <c r="AA140" i="1"/>
  <c r="S147" i="1"/>
  <c r="M291" i="7"/>
  <c r="Y147" i="1"/>
  <c r="M299" i="7"/>
  <c r="P136" i="1"/>
  <c r="S137" i="1"/>
  <c r="Y137" i="1" s="1"/>
  <c r="N140" i="1"/>
  <c r="R140" i="1" s="1"/>
  <c r="X140" i="1" s="1"/>
  <c r="O143" i="1"/>
  <c r="AA147" i="1"/>
  <c r="S136" i="1"/>
  <c r="Y136" i="1" s="1"/>
  <c r="N136" i="1"/>
  <c r="R136" i="1" s="1"/>
  <c r="X136" i="1" s="1"/>
  <c r="AQ136" i="1" s="1"/>
  <c r="R142" i="1"/>
  <c r="X142" i="1" s="1"/>
  <c r="O147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AA136" i="1"/>
  <c r="O139" i="1"/>
  <c r="O140" i="1"/>
  <c r="Z140" i="1"/>
  <c r="AC140" i="1" s="1"/>
  <c r="AA141" i="1"/>
  <c r="AE141" i="1" s="1"/>
  <c r="AJ141" i="1" s="1"/>
  <c r="P144" i="1"/>
  <c r="AE147" i="1"/>
  <c r="M298" i="7"/>
  <c r="V147" i="1"/>
  <c r="N148" i="1"/>
  <c r="M297" i="7"/>
  <c r="M305" i="7"/>
  <c r="AB140" i="1"/>
  <c r="AF140" i="1" s="1"/>
  <c r="P143" i="1"/>
  <c r="S143" i="1" s="1"/>
  <c r="Y143" i="1" s="1"/>
  <c r="AB143" i="1"/>
  <c r="AF143" i="1" s="1"/>
  <c r="AA144" i="1"/>
  <c r="AE144" i="1" s="1"/>
  <c r="AJ144" i="1" s="1"/>
  <c r="O148" i="1"/>
  <c r="M296" i="7"/>
  <c r="M304" i="7"/>
  <c r="S140" i="1"/>
  <c r="Y140" i="1" s="1"/>
  <c r="R141" i="1"/>
  <c r="S144" i="1"/>
  <c r="Y144" i="1" s="1"/>
  <c r="AB144" i="1"/>
  <c r="N147" i="1"/>
  <c r="Q147" i="1" s="1"/>
  <c r="M295" i="7"/>
  <c r="M303" i="7"/>
  <c r="M302" i="7"/>
  <c r="M301" i="7"/>
  <c r="N144" i="1"/>
  <c r="Q144" i="1" s="1"/>
  <c r="AF144" i="1"/>
  <c r="AM144" i="1" s="1"/>
  <c r="AB147" i="1"/>
  <c r="AF147" i="1" s="1"/>
  <c r="M300" i="7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N137" i="1"/>
  <c r="AB138" i="1"/>
  <c r="Z139" i="1"/>
  <c r="AC139" i="1" s="1"/>
  <c r="N139" i="1"/>
  <c r="Q139" i="1" s="1"/>
  <c r="AB139" i="1"/>
  <c r="AA139" i="1"/>
  <c r="AD139" i="1" s="1"/>
  <c r="AH139" i="1" s="1"/>
  <c r="P139" i="1"/>
  <c r="S139" i="1" s="1"/>
  <c r="Y139" i="1" s="1"/>
  <c r="AE139" i="1"/>
  <c r="AA138" i="1"/>
  <c r="O138" i="1"/>
  <c r="Z138" i="1"/>
  <c r="P138" i="1"/>
  <c r="S138" i="1" s="1"/>
  <c r="Y138" i="1" s="1"/>
  <c r="Q136" i="1"/>
  <c r="Z136" i="1"/>
  <c r="N138" i="1"/>
  <c r="Q138" i="1" s="1"/>
  <c r="AB136" i="1"/>
  <c r="X141" i="1"/>
  <c r="P141" i="1"/>
  <c r="S141" i="1" s="1"/>
  <c r="Y141" i="1" s="1"/>
  <c r="Z141" i="1"/>
  <c r="O141" i="1"/>
  <c r="AD141" i="1"/>
  <c r="AH141" i="1" s="1"/>
  <c r="AB141" i="1"/>
  <c r="O142" i="1"/>
  <c r="AB142" i="1"/>
  <c r="AA142" i="1"/>
  <c r="AE142" i="1" s="1"/>
  <c r="Z142" i="1"/>
  <c r="AD142" i="1" s="1"/>
  <c r="AH142" i="1" s="1"/>
  <c r="P142" i="1"/>
  <c r="S142" i="1" s="1"/>
  <c r="Y142" i="1" s="1"/>
  <c r="N141" i="1"/>
  <c r="Q141" i="1" s="1"/>
  <c r="N142" i="1"/>
  <c r="Q142" i="1" s="1"/>
  <c r="AF142" i="1"/>
  <c r="AI142" i="1" s="1"/>
  <c r="O145" i="1"/>
  <c r="AB145" i="1"/>
  <c r="AF145" i="1" s="1"/>
  <c r="N145" i="1"/>
  <c r="AD145" i="1"/>
  <c r="AH145" i="1" s="1"/>
  <c r="R145" i="1"/>
  <c r="X145" i="1" s="1"/>
  <c r="AA145" i="1"/>
  <c r="AE145" i="1" s="1"/>
  <c r="AJ145" i="1" s="1"/>
  <c r="Q145" i="1"/>
  <c r="Q140" i="1"/>
  <c r="P145" i="1"/>
  <c r="S145" i="1" s="1"/>
  <c r="Y145" i="1" s="1"/>
  <c r="AA143" i="1"/>
  <c r="AE143" i="1" s="1"/>
  <c r="Y146" i="1"/>
  <c r="O146" i="1"/>
  <c r="Q146" i="1" s="1"/>
  <c r="AD146" i="1"/>
  <c r="AH146" i="1" s="1"/>
  <c r="V146" i="1"/>
  <c r="N146" i="1"/>
  <c r="R146" i="1" s="1"/>
  <c r="X146" i="1" s="1"/>
  <c r="AA146" i="1"/>
  <c r="AE146" i="1" s="1"/>
  <c r="AJ146" i="1" s="1"/>
  <c r="S146" i="1"/>
  <c r="Z146" i="1"/>
  <c r="AC146" i="1" s="1"/>
  <c r="AC143" i="1"/>
  <c r="P146" i="1"/>
  <c r="AB146" i="1"/>
  <c r="AF146" i="1" s="1"/>
  <c r="N143" i="1"/>
  <c r="Q143" i="1" s="1"/>
  <c r="AC144" i="1"/>
  <c r="Z147" i="1"/>
  <c r="AD147" i="1" s="1"/>
  <c r="AH147" i="1" s="1"/>
  <c r="AB148" i="1"/>
  <c r="AF148" i="1" s="1"/>
  <c r="AA148" i="1"/>
  <c r="Z148" i="1"/>
  <c r="AC148" i="1" s="1"/>
  <c r="R148" i="1"/>
  <c r="X148" i="1" s="1"/>
  <c r="P148" i="1"/>
  <c r="S148" i="1" s="1"/>
  <c r="Y148" i="1" s="1"/>
  <c r="P149" i="1"/>
  <c r="S149" i="1" s="1"/>
  <c r="Y149" i="1" s="1"/>
  <c r="AB150" i="1"/>
  <c r="AA150" i="1"/>
  <c r="AE150" i="1" s="1"/>
  <c r="Z150" i="1"/>
  <c r="AD150" i="1" s="1"/>
  <c r="AH150" i="1" s="1"/>
  <c r="P150" i="1"/>
  <c r="S150" i="1" s="1"/>
  <c r="Y150" i="1" s="1"/>
  <c r="N150" i="1"/>
  <c r="R150" i="1" s="1"/>
  <c r="X150" i="1" s="1"/>
  <c r="AC147" i="1"/>
  <c r="Q148" i="1"/>
  <c r="AB149" i="1"/>
  <c r="AI149" i="1"/>
  <c r="AA149" i="1"/>
  <c r="AE149" i="1" s="1"/>
  <c r="Z149" i="1"/>
  <c r="AC149" i="1" s="1"/>
  <c r="R149" i="1"/>
  <c r="X149" i="1" s="1"/>
  <c r="O149" i="1"/>
  <c r="Q149" i="1" s="1"/>
  <c r="AF149" i="1"/>
  <c r="AM149" i="1" s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FC133" i="1" l="1"/>
  <c r="BP133" i="1"/>
  <c r="EN145" i="1"/>
  <c r="BP145" i="1"/>
  <c r="CG130" i="1"/>
  <c r="BP130" i="1"/>
  <c r="DB143" i="1"/>
  <c r="BP143" i="1"/>
  <c r="GY140" i="1"/>
  <c r="BP140" i="1"/>
  <c r="CU138" i="1"/>
  <c r="BP138" i="1"/>
  <c r="FP144" i="1"/>
  <c r="BP144" i="1"/>
  <c r="DW141" i="1"/>
  <c r="BP141" i="1"/>
  <c r="FJ146" i="1"/>
  <c r="BP146" i="1"/>
  <c r="CS137" i="1"/>
  <c r="BP137" i="1"/>
  <c r="HE147" i="1"/>
  <c r="BP147" i="1"/>
  <c r="CC148" i="1"/>
  <c r="BP148" i="1"/>
  <c r="BR139" i="1"/>
  <c r="BP139" i="1"/>
  <c r="GY134" i="1"/>
  <c r="BP134" i="1"/>
  <c r="DC142" i="1"/>
  <c r="BP142" i="1"/>
  <c r="DW149" i="1"/>
  <c r="BP149" i="1"/>
  <c r="EZ132" i="1"/>
  <c r="BP132" i="1"/>
  <c r="FI136" i="1"/>
  <c r="BP136" i="1"/>
  <c r="GT131" i="1"/>
  <c r="BP131" i="1"/>
  <c r="HB135" i="1"/>
  <c r="BP135" i="1"/>
  <c r="DC150" i="1"/>
  <c r="BP150" i="1"/>
  <c r="IT133" i="1"/>
  <c r="IM133" i="1"/>
  <c r="IP77" i="1"/>
  <c r="IM77" i="1"/>
  <c r="IY141" i="1"/>
  <c r="IM141" i="1"/>
  <c r="IL49" i="1"/>
  <c r="IM49" i="1"/>
  <c r="IL117" i="1"/>
  <c r="IM117" i="1"/>
  <c r="IY147" i="1"/>
  <c r="IM147" i="1"/>
  <c r="IL138" i="1"/>
  <c r="IM138" i="1"/>
  <c r="IP38" i="1"/>
  <c r="IM38" i="1"/>
  <c r="IP132" i="1"/>
  <c r="IM132" i="1"/>
  <c r="IY54" i="1"/>
  <c r="IM54" i="1"/>
  <c r="IP123" i="1"/>
  <c r="IM123" i="1"/>
  <c r="IL79" i="1"/>
  <c r="IM79" i="1"/>
  <c r="IL78" i="1"/>
  <c r="IM78" i="1"/>
  <c r="IY99" i="1"/>
  <c r="IM99" i="1"/>
  <c r="IV127" i="1"/>
  <c r="IM127" i="1"/>
  <c r="IY85" i="1"/>
  <c r="IM85" i="1"/>
  <c r="IY19" i="1"/>
  <c r="IM19" i="1"/>
  <c r="IL110" i="1"/>
  <c r="IM110" i="1"/>
  <c r="IP93" i="1"/>
  <c r="IM93" i="1"/>
  <c r="IL86" i="1"/>
  <c r="IM86" i="1"/>
  <c r="IT84" i="1"/>
  <c r="IM84" i="1"/>
  <c r="IP51" i="1"/>
  <c r="IM51" i="1"/>
  <c r="IY40" i="1"/>
  <c r="IM40" i="1"/>
  <c r="IY111" i="1"/>
  <c r="IM111" i="1"/>
  <c r="IL119" i="1"/>
  <c r="IM119" i="1"/>
  <c r="IT37" i="1"/>
  <c r="IM37" i="1"/>
  <c r="IP57" i="1"/>
  <c r="IM57" i="1"/>
  <c r="IY80" i="1"/>
  <c r="IM80" i="1"/>
  <c r="IL91" i="1"/>
  <c r="IM91" i="1"/>
  <c r="IY104" i="1"/>
  <c r="IM104" i="1"/>
  <c r="IP107" i="1"/>
  <c r="IM107" i="1"/>
  <c r="IL98" i="1"/>
  <c r="IM98" i="1"/>
  <c r="IL142" i="1"/>
  <c r="IM142" i="1"/>
  <c r="IL15" i="1"/>
  <c r="IM15" i="1"/>
  <c r="IL124" i="1"/>
  <c r="IM124" i="1"/>
  <c r="IT97" i="1"/>
  <c r="IM97" i="1"/>
  <c r="IS125" i="1"/>
  <c r="IM125" i="1"/>
  <c r="IL118" i="1"/>
  <c r="IM118" i="1"/>
  <c r="IL131" i="1"/>
  <c r="IM131" i="1"/>
  <c r="IL89" i="1"/>
  <c r="IM89" i="1"/>
  <c r="IL137" i="1"/>
  <c r="IM137" i="1"/>
  <c r="IL45" i="1"/>
  <c r="IM45" i="1"/>
  <c r="IY33" i="1"/>
  <c r="IM33" i="1"/>
  <c r="IP41" i="1"/>
  <c r="IM41" i="1"/>
  <c r="IT121" i="1"/>
  <c r="IM121" i="1"/>
  <c r="IP24" i="1"/>
  <c r="IM24" i="1"/>
  <c r="IY112" i="1"/>
  <c r="IM112" i="1"/>
  <c r="IY106" i="1"/>
  <c r="IM106" i="1"/>
  <c r="IW10" i="1"/>
  <c r="IG10" i="1" s="1"/>
  <c r="IM10" i="1"/>
  <c r="IL53" i="1"/>
  <c r="IM53" i="1"/>
  <c r="IT34" i="1"/>
  <c r="IM34" i="1"/>
  <c r="IP136" i="1"/>
  <c r="IM136" i="1"/>
  <c r="IP76" i="1"/>
  <c r="IM76" i="1"/>
  <c r="IL32" i="1"/>
  <c r="IM32" i="1"/>
  <c r="IL108" i="1"/>
  <c r="IM108" i="1"/>
  <c r="IL74" i="1"/>
  <c r="IM74" i="1"/>
  <c r="IL35" i="1"/>
  <c r="IM35" i="1"/>
  <c r="IL44" i="1"/>
  <c r="IM44" i="1"/>
  <c r="IL23" i="1"/>
  <c r="IM23" i="1"/>
  <c r="IL100" i="1"/>
  <c r="IM100" i="1"/>
  <c r="IL55" i="1"/>
  <c r="IM55" i="1"/>
  <c r="IL114" i="1"/>
  <c r="IM114" i="1"/>
  <c r="IL47" i="1"/>
  <c r="IM47" i="1"/>
  <c r="IL95" i="1"/>
  <c r="IM95" i="1"/>
  <c r="IL25" i="1"/>
  <c r="IM25" i="1"/>
  <c r="IT120" i="1"/>
  <c r="IM120" i="1"/>
  <c r="IY56" i="1"/>
  <c r="IM56" i="1"/>
  <c r="IP16" i="1"/>
  <c r="IM16" i="1"/>
  <c r="IL26" i="1"/>
  <c r="IM26" i="1"/>
  <c r="IY22" i="1"/>
  <c r="IM22" i="1"/>
  <c r="IP61" i="1"/>
  <c r="IM61" i="1"/>
  <c r="IV146" i="1"/>
  <c r="IM146" i="1"/>
  <c r="IT145" i="1"/>
  <c r="IU145" i="1" s="1"/>
  <c r="IM145" i="1"/>
  <c r="IP65" i="1"/>
  <c r="IM65" i="1"/>
  <c r="IL122" i="1"/>
  <c r="IM122" i="1"/>
  <c r="IL144" i="1"/>
  <c r="IM144" i="1"/>
  <c r="IY73" i="1"/>
  <c r="IM73" i="1"/>
  <c r="IW12" i="1"/>
  <c r="IG12" i="1" s="1"/>
  <c r="IM12" i="1"/>
  <c r="IY82" i="1"/>
  <c r="IM82" i="1"/>
  <c r="IP52" i="1"/>
  <c r="IM52" i="1"/>
  <c r="IY135" i="1"/>
  <c r="IM135" i="1"/>
  <c r="IY68" i="1"/>
  <c r="IM68" i="1"/>
  <c r="IX13" i="1"/>
  <c r="IM13" i="1"/>
  <c r="IT139" i="1"/>
  <c r="IU139" i="1" s="1"/>
  <c r="IM139" i="1"/>
  <c r="IL18" i="1"/>
  <c r="IM18" i="1"/>
  <c r="IY94" i="1"/>
  <c r="IM94" i="1"/>
  <c r="IL115" i="1"/>
  <c r="IM115" i="1"/>
  <c r="IL60" i="1"/>
  <c r="IM60" i="1"/>
  <c r="IL64" i="1"/>
  <c r="IM64" i="1"/>
  <c r="IL72" i="1"/>
  <c r="IM72" i="1"/>
  <c r="IL134" i="1"/>
  <c r="IM134" i="1"/>
  <c r="IL116" i="1"/>
  <c r="IM116" i="1"/>
  <c r="IL29" i="1"/>
  <c r="IM29" i="1"/>
  <c r="IY96" i="1"/>
  <c r="IM96" i="1"/>
  <c r="IY88" i="1"/>
  <c r="IM88" i="1"/>
  <c r="IY87" i="1"/>
  <c r="IM87" i="1"/>
  <c r="IL67" i="1"/>
  <c r="IM67" i="1"/>
  <c r="IL109" i="1"/>
  <c r="IM109" i="1"/>
  <c r="IT75" i="1"/>
  <c r="IM75" i="1"/>
  <c r="IT30" i="1"/>
  <c r="IM30" i="1"/>
  <c r="IT48" i="1"/>
  <c r="IM48" i="1"/>
  <c r="IY28" i="1"/>
  <c r="IM28" i="1"/>
  <c r="IT42" i="1"/>
  <c r="IM42" i="1"/>
  <c r="IL81" i="1"/>
  <c r="IM81" i="1"/>
  <c r="IV150" i="1"/>
  <c r="IM150" i="1"/>
  <c r="IY11" i="1"/>
  <c r="IM11" i="1"/>
  <c r="IY58" i="1"/>
  <c r="IM58" i="1"/>
  <c r="IT83" i="1"/>
  <c r="IM83" i="1"/>
  <c r="IY148" i="1"/>
  <c r="IM148" i="1"/>
  <c r="IL50" i="1"/>
  <c r="IM50" i="1"/>
  <c r="IY27" i="1"/>
  <c r="IM27" i="1"/>
  <c r="IY20" i="1"/>
  <c r="IM20" i="1"/>
  <c r="IT66" i="1"/>
  <c r="IM66" i="1"/>
  <c r="IY62" i="1"/>
  <c r="IM62" i="1"/>
  <c r="IT14" i="1"/>
  <c r="IM14" i="1"/>
  <c r="IT92" i="1"/>
  <c r="IM92" i="1"/>
  <c r="IL39" i="1"/>
  <c r="IM39" i="1"/>
  <c r="IL149" i="1"/>
  <c r="IM149" i="1"/>
  <c r="IL90" i="1"/>
  <c r="IM90" i="1"/>
  <c r="IL31" i="1"/>
  <c r="IM31" i="1"/>
  <c r="IL70" i="1"/>
  <c r="IM70" i="1"/>
  <c r="IL103" i="1"/>
  <c r="IM103" i="1"/>
  <c r="IX134" i="1"/>
  <c r="IX137" i="1"/>
  <c r="IX131" i="1"/>
  <c r="IY45" i="1"/>
  <c r="IT45" i="1"/>
  <c r="IT29" i="1"/>
  <c r="IP45" i="1"/>
  <c r="IT114" i="1"/>
  <c r="IP35" i="1"/>
  <c r="IY29" i="1"/>
  <c r="IT103" i="1"/>
  <c r="IR137" i="1"/>
  <c r="IP70" i="1"/>
  <c r="IP131" i="1"/>
  <c r="IS137" i="1"/>
  <c r="IY137" i="1"/>
  <c r="IY31" i="1"/>
  <c r="IT70" i="1"/>
  <c r="IX135" i="1"/>
  <c r="IY18" i="1"/>
  <c r="IT137" i="1"/>
  <c r="IU137" i="1" s="1"/>
  <c r="IY131" i="1"/>
  <c r="IT142" i="1"/>
  <c r="IV137" i="1"/>
  <c r="IT55" i="1"/>
  <c r="IY114" i="1"/>
  <c r="IY47" i="1"/>
  <c r="IT23" i="1"/>
  <c r="IY100" i="1"/>
  <c r="IP74" i="1"/>
  <c r="IP100" i="1"/>
  <c r="IP114" i="1"/>
  <c r="IP47" i="1"/>
  <c r="IY55" i="1"/>
  <c r="IV124" i="1"/>
  <c r="IV142" i="1"/>
  <c r="IR142" i="1"/>
  <c r="IR124" i="1"/>
  <c r="IY108" i="1"/>
  <c r="IT124" i="1"/>
  <c r="IU124" i="1" s="1"/>
  <c r="IV15" i="1"/>
  <c r="IP124" i="1"/>
  <c r="IR136" i="1"/>
  <c r="IU142" i="1"/>
  <c r="IP18" i="1"/>
  <c r="IY124" i="1"/>
  <c r="IP39" i="1"/>
  <c r="IP72" i="1"/>
  <c r="IP116" i="1"/>
  <c r="IT116" i="1"/>
  <c r="IP29" i="1"/>
  <c r="IY139" i="1"/>
  <c r="IT89" i="1"/>
  <c r="IY89" i="1"/>
  <c r="JA13" i="1"/>
  <c r="IT74" i="1"/>
  <c r="IS142" i="1"/>
  <c r="IS124" i="1"/>
  <c r="IR139" i="1"/>
  <c r="IT39" i="1"/>
  <c r="IY15" i="1"/>
  <c r="IY142" i="1"/>
  <c r="IY116" i="1"/>
  <c r="IR15" i="1"/>
  <c r="IY115" i="1"/>
  <c r="IP117" i="1"/>
  <c r="IV136" i="1"/>
  <c r="IP89" i="1"/>
  <c r="IP137" i="1"/>
  <c r="IY13" i="1"/>
  <c r="IT123" i="1"/>
  <c r="IU123" i="1" s="1"/>
  <c r="IT131" i="1"/>
  <c r="IY49" i="1"/>
  <c r="IP25" i="1"/>
  <c r="IP134" i="1"/>
  <c r="IX138" i="1"/>
  <c r="IX15" i="1"/>
  <c r="IP60" i="1"/>
  <c r="IT109" i="1"/>
  <c r="IX132" i="1"/>
  <c r="IP142" i="1"/>
  <c r="IY72" i="1"/>
  <c r="IS149" i="1"/>
  <c r="IS15" i="1"/>
  <c r="IV125" i="1"/>
  <c r="IT134" i="1"/>
  <c r="IT49" i="1"/>
  <c r="IT94" i="1"/>
  <c r="IN12" i="1"/>
  <c r="IT68" i="1"/>
  <c r="IT38" i="1"/>
  <c r="IT132" i="1"/>
  <c r="IT52" i="1"/>
  <c r="IP23" i="1"/>
  <c r="IY23" i="1"/>
  <c r="IY74" i="1"/>
  <c r="IT35" i="1"/>
  <c r="IP55" i="1"/>
  <c r="IT47" i="1"/>
  <c r="IP118" i="1"/>
  <c r="IS123" i="1"/>
  <c r="IY95" i="1"/>
  <c r="IT115" i="1"/>
  <c r="IX136" i="1"/>
  <c r="IP64" i="1"/>
  <c r="JA10" i="1"/>
  <c r="IV138" i="1"/>
  <c r="IY53" i="1"/>
  <c r="IY81" i="1"/>
  <c r="IP32" i="1"/>
  <c r="IT81" i="1"/>
  <c r="IP34" i="1"/>
  <c r="IT32" i="1"/>
  <c r="IY42" i="1"/>
  <c r="IP138" i="1"/>
  <c r="IU138" i="1"/>
  <c r="IT138" i="1"/>
  <c r="IP81" i="1"/>
  <c r="IR138" i="1"/>
  <c r="IT72" i="1"/>
  <c r="IY25" i="1"/>
  <c r="IT60" i="1"/>
  <c r="IR123" i="1"/>
  <c r="JA15" i="1"/>
  <c r="IS138" i="1"/>
  <c r="IP115" i="1"/>
  <c r="IT67" i="1"/>
  <c r="IT64" i="1"/>
  <c r="IP15" i="1"/>
  <c r="IY109" i="1"/>
  <c r="IY65" i="1"/>
  <c r="IV144" i="1"/>
  <c r="IT122" i="1"/>
  <c r="IP119" i="1"/>
  <c r="IR144" i="1"/>
  <c r="IV14" i="1"/>
  <c r="IP13" i="1"/>
  <c r="IY149" i="1"/>
  <c r="IX147" i="1"/>
  <c r="IP95" i="1"/>
  <c r="IT25" i="1"/>
  <c r="IY97" i="1"/>
  <c r="IT125" i="1"/>
  <c r="IU12" i="1"/>
  <c r="IY125" i="1"/>
  <c r="IR13" i="1"/>
  <c r="IT80" i="1"/>
  <c r="IY103" i="1"/>
  <c r="IP31" i="1"/>
  <c r="IV149" i="1"/>
  <c r="IP103" i="1"/>
  <c r="IT31" i="1"/>
  <c r="IY90" i="1"/>
  <c r="IP14" i="1"/>
  <c r="IP22" i="1"/>
  <c r="IY39" i="1"/>
  <c r="IP149" i="1"/>
  <c r="IS144" i="1"/>
  <c r="IY118" i="1"/>
  <c r="IT82" i="1"/>
  <c r="IT95" i="1"/>
  <c r="IP75" i="1"/>
  <c r="IZ14" i="1"/>
  <c r="IR146" i="1"/>
  <c r="IZ12" i="1"/>
  <c r="IY26" i="1"/>
  <c r="IV145" i="1"/>
  <c r="HF147" i="1"/>
  <c r="IS13" i="1"/>
  <c r="JA12" i="1"/>
  <c r="IX146" i="1"/>
  <c r="IS146" i="1"/>
  <c r="IV13" i="1"/>
  <c r="IY12" i="1"/>
  <c r="IT144" i="1"/>
  <c r="IU144" i="1" s="1"/>
  <c r="IP145" i="1"/>
  <c r="IU13" i="1"/>
  <c r="IX12" i="1"/>
  <c r="IP139" i="1"/>
  <c r="IT18" i="1"/>
  <c r="IP144" i="1"/>
  <c r="FL149" i="1"/>
  <c r="IP150" i="1"/>
  <c r="IT20" i="1"/>
  <c r="IT24" i="1"/>
  <c r="IP50" i="1"/>
  <c r="IP121" i="1"/>
  <c r="IP27" i="1"/>
  <c r="IS148" i="1"/>
  <c r="IT33" i="1"/>
  <c r="IP112" i="1"/>
  <c r="IP147" i="1"/>
  <c r="IY138" i="1"/>
  <c r="IT28" i="1"/>
  <c r="EX147" i="1"/>
  <c r="IP58" i="1"/>
  <c r="JA11" i="1"/>
  <c r="IY41" i="1"/>
  <c r="IR147" i="1"/>
  <c r="IP11" i="1"/>
  <c r="BR147" i="1"/>
  <c r="EC147" i="1"/>
  <c r="HC147" i="1"/>
  <c r="EI147" i="1"/>
  <c r="IY150" i="1"/>
  <c r="IT12" i="1"/>
  <c r="IT16" i="1"/>
  <c r="IP122" i="1"/>
  <c r="IT26" i="1"/>
  <c r="IY144" i="1"/>
  <c r="IY145" i="1"/>
  <c r="IP146" i="1"/>
  <c r="IT93" i="1"/>
  <c r="IY122" i="1"/>
  <c r="IR11" i="1"/>
  <c r="IS147" i="1"/>
  <c r="IP26" i="1"/>
  <c r="HI148" i="1"/>
  <c r="CW149" i="1"/>
  <c r="EV149" i="1"/>
  <c r="IT57" i="1"/>
  <c r="IS136" i="1"/>
  <c r="IT119" i="1"/>
  <c r="DI149" i="1"/>
  <c r="DM149" i="1"/>
  <c r="DY149" i="1"/>
  <c r="IY119" i="1"/>
  <c r="IT86" i="1"/>
  <c r="BV149" i="1"/>
  <c r="CA149" i="1"/>
  <c r="CL149" i="1"/>
  <c r="DK150" i="1"/>
  <c r="IP86" i="1"/>
  <c r="IP53" i="1"/>
  <c r="IP37" i="1"/>
  <c r="IP85" i="1"/>
  <c r="IS10" i="1"/>
  <c r="IT19" i="1"/>
  <c r="IP91" i="1"/>
  <c r="IP108" i="1"/>
  <c r="BK149" i="1"/>
  <c r="GI149" i="1"/>
  <c r="GT149" i="1"/>
  <c r="IY86" i="1"/>
  <c r="IT53" i="1"/>
  <c r="IT96" i="1"/>
  <c r="IY10" i="1"/>
  <c r="IT91" i="1"/>
  <c r="GY149" i="1"/>
  <c r="FW149" i="1"/>
  <c r="IY91" i="1"/>
  <c r="IT111" i="1"/>
  <c r="GG148" i="1"/>
  <c r="IP127" i="1"/>
  <c r="FO148" i="1"/>
  <c r="FB148" i="1"/>
  <c r="CY148" i="1"/>
  <c r="DP148" i="1"/>
  <c r="ES148" i="1"/>
  <c r="IT17" i="1"/>
  <c r="IY17" i="1"/>
  <c r="IL69" i="1"/>
  <c r="IT69" i="1"/>
  <c r="IY69" i="1"/>
  <c r="IP101" i="1"/>
  <c r="IT101" i="1"/>
  <c r="BO148" i="1"/>
  <c r="CI148" i="1"/>
  <c r="EX148" i="1"/>
  <c r="CL148" i="1"/>
  <c r="GK148" i="1"/>
  <c r="DY148" i="1"/>
  <c r="BM148" i="1"/>
  <c r="FL148" i="1"/>
  <c r="CZ148" i="1"/>
  <c r="GX148" i="1"/>
  <c r="EL148" i="1"/>
  <c r="BZ148" i="1"/>
  <c r="EI148" i="1"/>
  <c r="GA148" i="1"/>
  <c r="DM148" i="1"/>
  <c r="FH148" i="1"/>
  <c r="GM148" i="1"/>
  <c r="DW148" i="1"/>
  <c r="FA148" i="1"/>
  <c r="CU148" i="1"/>
  <c r="EA148" i="1"/>
  <c r="HB148" i="1"/>
  <c r="EP148" i="1"/>
  <c r="CD148" i="1"/>
  <c r="DQ148" i="1"/>
  <c r="BE148" i="1"/>
  <c r="FD148" i="1"/>
  <c r="GP148" i="1"/>
  <c r="ED148" i="1"/>
  <c r="DS148" i="1"/>
  <c r="FK148" i="1"/>
  <c r="ER148" i="1"/>
  <c r="FW148" i="1"/>
  <c r="EK148" i="1"/>
  <c r="EJ148" i="1"/>
  <c r="DZ148" i="1"/>
  <c r="FM148" i="1"/>
  <c r="GC148" i="1"/>
  <c r="CR148" i="1"/>
  <c r="BR148" i="1"/>
  <c r="CW148" i="1"/>
  <c r="DG148" i="1"/>
  <c r="GT148" i="1"/>
  <c r="EH148" i="1"/>
  <c r="BV148" i="1"/>
  <c r="FU148" i="1"/>
  <c r="DI148" i="1"/>
  <c r="HH148" i="1"/>
  <c r="EV148" i="1"/>
  <c r="CJ148" i="1"/>
  <c r="GH148" i="1"/>
  <c r="DV148" i="1"/>
  <c r="BJ148" i="1"/>
  <c r="DC148" i="1"/>
  <c r="HE148" i="1"/>
  <c r="CG148" i="1"/>
  <c r="EB148" i="1"/>
  <c r="FG148" i="1"/>
  <c r="CQ148" i="1"/>
  <c r="DU148" i="1"/>
  <c r="GL148" i="1"/>
  <c r="BN148" i="1"/>
  <c r="GD148" i="1"/>
  <c r="DR148" i="1"/>
  <c r="BF148" i="1"/>
  <c r="FE148" i="1"/>
  <c r="CS148" i="1"/>
  <c r="GR148" i="1"/>
  <c r="EF148" i="1"/>
  <c r="BT148" i="1"/>
  <c r="FR148" i="1"/>
  <c r="DF148" i="1"/>
  <c r="GU148" i="1"/>
  <c r="BW148" i="1"/>
  <c r="FY148" i="1"/>
  <c r="AZ148" i="1"/>
  <c r="CV148" i="1"/>
  <c r="GI148" i="1"/>
  <c r="BK148" i="1"/>
  <c r="CO148" i="1"/>
  <c r="BH148" i="1"/>
  <c r="IL143" i="1"/>
  <c r="IY143" i="1"/>
  <c r="IP143" i="1"/>
  <c r="IT143" i="1"/>
  <c r="IU143" i="1" s="1"/>
  <c r="IV143" i="1"/>
  <c r="IS143" i="1"/>
  <c r="FI148" i="1"/>
  <c r="CK148" i="1"/>
  <c r="FO150" i="1"/>
  <c r="DH150" i="1"/>
  <c r="GF150" i="1"/>
  <c r="EU150" i="1"/>
  <c r="BH150" i="1"/>
  <c r="IL88" i="1"/>
  <c r="IT88" i="1"/>
  <c r="IT128" i="1"/>
  <c r="IY128" i="1"/>
  <c r="IP105" i="1"/>
  <c r="IY105" i="1"/>
  <c r="IL141" i="1"/>
  <c r="IR141" i="1"/>
  <c r="IS141" i="1"/>
  <c r="IP141" i="1"/>
  <c r="IT141" i="1"/>
  <c r="IU141" i="1" s="1"/>
  <c r="IV141" i="1"/>
  <c r="IT102" i="1"/>
  <c r="IY102" i="1"/>
  <c r="IV126" i="1"/>
  <c r="IS126" i="1"/>
  <c r="IR126" i="1"/>
  <c r="GW148" i="1"/>
  <c r="CF148" i="1"/>
  <c r="FJ148" i="1"/>
  <c r="CT148" i="1"/>
  <c r="BT149" i="1"/>
  <c r="DL148" i="1"/>
  <c r="FZ148" i="1"/>
  <c r="DA148" i="1"/>
  <c r="DB148" i="1"/>
  <c r="DO149" i="1"/>
  <c r="FM149" i="1"/>
  <c r="FX148" i="1"/>
  <c r="EG148" i="1"/>
  <c r="IP104" i="1"/>
  <c r="IP110" i="1"/>
  <c r="IV140" i="1"/>
  <c r="IY140" i="1"/>
  <c r="IL130" i="1"/>
  <c r="IY130" i="1"/>
  <c r="ES149" i="1"/>
  <c r="DR149" i="1"/>
  <c r="BA148" i="1"/>
  <c r="GZ149" i="1"/>
  <c r="BB148" i="1"/>
  <c r="CH148" i="1"/>
  <c r="DJ148" i="1"/>
  <c r="BI148" i="1"/>
  <c r="GN148" i="1"/>
  <c r="CP148" i="1"/>
  <c r="FF148" i="1"/>
  <c r="IT107" i="1"/>
  <c r="IR143" i="1"/>
  <c r="IT110" i="1"/>
  <c r="IP129" i="1"/>
  <c r="IT129" i="1"/>
  <c r="DX148" i="1"/>
  <c r="GP149" i="1"/>
  <c r="CF149" i="1"/>
  <c r="DK149" i="1"/>
  <c r="FV149" i="1"/>
  <c r="DJ149" i="1"/>
  <c r="HI149" i="1"/>
  <c r="EW149" i="1"/>
  <c r="CK149" i="1"/>
  <c r="GJ149" i="1"/>
  <c r="DX149" i="1"/>
  <c r="BL149" i="1"/>
  <c r="FK149" i="1"/>
  <c r="CY149" i="1"/>
  <c r="GW149" i="1"/>
  <c r="EK149" i="1"/>
  <c r="BY149" i="1"/>
  <c r="FB149" i="1"/>
  <c r="DC149" i="1"/>
  <c r="DB149" i="1"/>
  <c r="EO149" i="1"/>
  <c r="GB149" i="1"/>
  <c r="BD149" i="1"/>
  <c r="CQ149" i="1"/>
  <c r="EC149" i="1"/>
  <c r="FX149" i="1"/>
  <c r="ED149" i="1"/>
  <c r="FN149" i="1"/>
  <c r="HA149" i="1"/>
  <c r="CC149" i="1"/>
  <c r="DP149" i="1"/>
  <c r="FC149" i="1"/>
  <c r="GO149" i="1"/>
  <c r="BQ149" i="1"/>
  <c r="DV149" i="1"/>
  <c r="EZ149" i="1"/>
  <c r="FF149" i="1"/>
  <c r="CT149" i="1"/>
  <c r="GS149" i="1"/>
  <c r="EG149" i="1"/>
  <c r="BU149" i="1"/>
  <c r="FT149" i="1"/>
  <c r="DH149" i="1"/>
  <c r="HG149" i="1"/>
  <c r="EU149" i="1"/>
  <c r="CI149" i="1"/>
  <c r="GG149" i="1"/>
  <c r="DU149" i="1"/>
  <c r="BI149" i="1"/>
  <c r="GU149" i="1"/>
  <c r="CU149" i="1"/>
  <c r="FO149" i="1"/>
  <c r="HB149" i="1"/>
  <c r="EP149" i="1"/>
  <c r="CD149" i="1"/>
  <c r="GC149" i="1"/>
  <c r="DQ149" i="1"/>
  <c r="BE149" i="1"/>
  <c r="FD149" i="1"/>
  <c r="CR149" i="1"/>
  <c r="GQ149" i="1"/>
  <c r="EE149" i="1"/>
  <c r="BS149" i="1"/>
  <c r="FQ149" i="1"/>
  <c r="DE149" i="1"/>
  <c r="BW149" i="1"/>
  <c r="FE149" i="1"/>
  <c r="DZ149" i="1"/>
  <c r="EM148" i="1"/>
  <c r="FT148" i="1"/>
  <c r="CP149" i="1"/>
  <c r="FI149" i="1"/>
  <c r="CJ149" i="1"/>
  <c r="HH149" i="1"/>
  <c r="FU149" i="1"/>
  <c r="EH149" i="1"/>
  <c r="GH149" i="1"/>
  <c r="FC148" i="1"/>
  <c r="HG148" i="1"/>
  <c r="BD148" i="1"/>
  <c r="GB148" i="1"/>
  <c r="EO148" i="1"/>
  <c r="AZ149" i="1"/>
  <c r="FY149" i="1"/>
  <c r="EM149" i="1"/>
  <c r="CZ149" i="1"/>
  <c r="BM149" i="1"/>
  <c r="GK149" i="1"/>
  <c r="EX149" i="1"/>
  <c r="ER149" i="1"/>
  <c r="BY148" i="1"/>
  <c r="FS148" i="1"/>
  <c r="HD148" i="1"/>
  <c r="BG148" i="1"/>
  <c r="CX148" i="1"/>
  <c r="BL148" i="1"/>
  <c r="GJ148" i="1"/>
  <c r="EW148" i="1"/>
  <c r="FN148" i="1"/>
  <c r="IP88" i="1"/>
  <c r="IT130" i="1"/>
  <c r="IY110" i="1"/>
  <c r="IP113" i="1"/>
  <c r="IT113" i="1"/>
  <c r="IY113" i="1"/>
  <c r="GE148" i="1"/>
  <c r="FA149" i="1"/>
  <c r="BR149" i="1"/>
  <c r="HF148" i="1"/>
  <c r="BJ149" i="1"/>
  <c r="DE148" i="1"/>
  <c r="BQ148" i="1"/>
  <c r="DN148" i="1"/>
  <c r="GZ148" i="1"/>
  <c r="FV148" i="1"/>
  <c r="IP130" i="1"/>
  <c r="IY129" i="1"/>
  <c r="IR127" i="1"/>
  <c r="IS127" i="1"/>
  <c r="EI149" i="1"/>
  <c r="DG149" i="1"/>
  <c r="GR149" i="1"/>
  <c r="CN149" i="1"/>
  <c r="CA148" i="1"/>
  <c r="GO148" i="1"/>
  <c r="EN148" i="1"/>
  <c r="DL149" i="1"/>
  <c r="CB149" i="1"/>
  <c r="HD149" i="1"/>
  <c r="GQ148" i="1"/>
  <c r="CG149" i="1"/>
  <c r="HE149" i="1"/>
  <c r="FS149" i="1"/>
  <c r="EF149" i="1"/>
  <c r="CS149" i="1"/>
  <c r="BF149" i="1"/>
  <c r="GD149" i="1"/>
  <c r="GY148" i="1"/>
  <c r="CM148" i="1"/>
  <c r="CB148" i="1"/>
  <c r="GS148" i="1"/>
  <c r="CO149" i="1"/>
  <c r="BB149" i="1"/>
  <c r="GA149" i="1"/>
  <c r="EN149" i="1"/>
  <c r="DA149" i="1"/>
  <c r="BN149" i="1"/>
  <c r="GL149" i="1"/>
  <c r="EQ148" i="1"/>
  <c r="FQ148" i="1"/>
  <c r="HC148" i="1"/>
  <c r="EC148" i="1"/>
  <c r="EY148" i="1"/>
  <c r="ET148" i="1"/>
  <c r="DH148" i="1"/>
  <c r="BU148" i="1"/>
  <c r="HA148" i="1"/>
  <c r="IT127" i="1"/>
  <c r="IU127" i="1" s="1"/>
  <c r="IT126" i="1"/>
  <c r="IU126" i="1" s="1"/>
  <c r="IP17" i="1"/>
  <c r="IY67" i="1"/>
  <c r="IR10" i="1"/>
  <c r="IP40" i="1"/>
  <c r="IY51" i="1"/>
  <c r="IX133" i="1"/>
  <c r="IY32" i="1"/>
  <c r="IY98" i="1"/>
  <c r="IT100" i="1"/>
  <c r="IY120" i="1"/>
  <c r="IN10" i="1"/>
  <c r="IW141" i="1"/>
  <c r="IG141" i="1" s="1"/>
  <c r="IP98" i="1"/>
  <c r="IV10" i="1"/>
  <c r="IP56" i="1"/>
  <c r="IT44" i="1"/>
  <c r="IX130" i="1"/>
  <c r="IY35" i="1"/>
  <c r="IP49" i="1"/>
  <c r="IT98" i="1"/>
  <c r="IT108" i="1"/>
  <c r="IY44" i="1"/>
  <c r="IY63" i="1"/>
  <c r="IL63" i="1"/>
  <c r="IP63" i="1"/>
  <c r="IL46" i="1"/>
  <c r="IT46" i="1"/>
  <c r="IP71" i="1"/>
  <c r="IT71" i="1"/>
  <c r="IL71" i="1"/>
  <c r="IT36" i="1"/>
  <c r="IL36" i="1"/>
  <c r="IT43" i="1"/>
  <c r="IL43" i="1"/>
  <c r="IT150" i="1"/>
  <c r="IU150" i="1" s="1"/>
  <c r="IU14" i="1"/>
  <c r="IS11" i="1"/>
  <c r="IT85" i="1"/>
  <c r="IL85" i="1"/>
  <c r="IT104" i="1"/>
  <c r="IL104" i="1"/>
  <c r="IL19" i="1"/>
  <c r="IP19" i="1"/>
  <c r="IL133" i="1"/>
  <c r="IP133" i="1"/>
  <c r="IY133" i="1"/>
  <c r="IL93" i="1"/>
  <c r="IY93" i="1"/>
  <c r="IL101" i="1"/>
  <c r="IY101" i="1"/>
  <c r="IL84" i="1"/>
  <c r="IP84" i="1"/>
  <c r="IY84" i="1"/>
  <c r="IL51" i="1"/>
  <c r="IT51" i="1"/>
  <c r="IL40" i="1"/>
  <c r="IT40" i="1"/>
  <c r="IL111" i="1"/>
  <c r="IP111" i="1"/>
  <c r="IL37" i="1"/>
  <c r="IY37" i="1"/>
  <c r="IL57" i="1"/>
  <c r="IY57" i="1"/>
  <c r="IP80" i="1"/>
  <c r="IL80" i="1"/>
  <c r="IR140" i="1"/>
  <c r="IT140" i="1"/>
  <c r="IU140" i="1" s="1"/>
  <c r="IL140" i="1"/>
  <c r="IL99" i="1"/>
  <c r="IT99" i="1"/>
  <c r="IT50" i="1"/>
  <c r="IX14" i="1"/>
  <c r="IY36" i="1"/>
  <c r="IV11" i="1"/>
  <c r="IL96" i="1"/>
  <c r="IP96" i="1"/>
  <c r="IL107" i="1"/>
  <c r="IY107" i="1"/>
  <c r="IL128" i="1"/>
  <c r="IP128" i="1"/>
  <c r="IL77" i="1"/>
  <c r="IY77" i="1"/>
  <c r="IT77" i="1"/>
  <c r="IL87" i="1"/>
  <c r="IP87" i="1"/>
  <c r="IT87" i="1"/>
  <c r="IL105" i="1"/>
  <c r="IT105" i="1"/>
  <c r="IL102" i="1"/>
  <c r="IP102" i="1"/>
  <c r="IL33" i="1"/>
  <c r="IP33" i="1"/>
  <c r="IL75" i="1"/>
  <c r="IY75" i="1"/>
  <c r="IL147" i="1"/>
  <c r="IV147" i="1"/>
  <c r="IT147" i="1"/>
  <c r="IU147" i="1" s="1"/>
  <c r="IL41" i="1"/>
  <c r="IT41" i="1"/>
  <c r="IL121" i="1"/>
  <c r="IY121" i="1"/>
  <c r="IL24" i="1"/>
  <c r="IY24" i="1"/>
  <c r="IL112" i="1"/>
  <c r="IT112" i="1"/>
  <c r="IL106" i="1"/>
  <c r="IT106" i="1"/>
  <c r="IP106" i="1"/>
  <c r="IL97" i="1"/>
  <c r="IP97" i="1"/>
  <c r="IL125" i="1"/>
  <c r="IR125" i="1"/>
  <c r="IP125" i="1"/>
  <c r="IU125" i="1"/>
  <c r="IP148" i="1"/>
  <c r="IY50" i="1"/>
  <c r="IS14" i="1"/>
  <c r="IY46" i="1"/>
  <c r="IU11" i="1"/>
  <c r="IP62" i="1"/>
  <c r="IY78" i="1"/>
  <c r="JC9" i="1" a="1"/>
  <c r="IU10" i="1"/>
  <c r="IX10" i="1"/>
  <c r="IZ10" i="1"/>
  <c r="IP10" i="1"/>
  <c r="IL10" i="1"/>
  <c r="IT10" i="1"/>
  <c r="IP120" i="1"/>
  <c r="IL120" i="1"/>
  <c r="IL34" i="1"/>
  <c r="IY34" i="1"/>
  <c r="IT56" i="1"/>
  <c r="IL56" i="1"/>
  <c r="IY136" i="1"/>
  <c r="IL136" i="1"/>
  <c r="IT136" i="1"/>
  <c r="IU136" i="1" s="1"/>
  <c r="IT76" i="1"/>
  <c r="IY76" i="1"/>
  <c r="IL76" i="1"/>
  <c r="IT78" i="1"/>
  <c r="IT148" i="1"/>
  <c r="IU148" i="1" s="1"/>
  <c r="IW14" i="1"/>
  <c r="IG14" i="1" s="1"/>
  <c r="IY71" i="1"/>
  <c r="IP46" i="1"/>
  <c r="IX11" i="1"/>
  <c r="IP79" i="1"/>
  <c r="IP66" i="1"/>
  <c r="IP78" i="1"/>
  <c r="IL16" i="1"/>
  <c r="IY16" i="1"/>
  <c r="IL22" i="1"/>
  <c r="IT22" i="1"/>
  <c r="IT61" i="1"/>
  <c r="IL61" i="1"/>
  <c r="IY61" i="1"/>
  <c r="IT146" i="1"/>
  <c r="IU146" i="1" s="1"/>
  <c r="IL146" i="1"/>
  <c r="IY146" i="1"/>
  <c r="IR145" i="1"/>
  <c r="IL145" i="1"/>
  <c r="IS145" i="1"/>
  <c r="IT65" i="1"/>
  <c r="IL65" i="1"/>
  <c r="IL73" i="1"/>
  <c r="IT73" i="1"/>
  <c r="IP73" i="1"/>
  <c r="IR12" i="1"/>
  <c r="IS12" i="1"/>
  <c r="IL12" i="1"/>
  <c r="IP12" i="1"/>
  <c r="IV12" i="1"/>
  <c r="IL82" i="1"/>
  <c r="IP82" i="1"/>
  <c r="IL52" i="1"/>
  <c r="IY52" i="1"/>
  <c r="IL135" i="1"/>
  <c r="IT135" i="1"/>
  <c r="IP135" i="1"/>
  <c r="IL68" i="1"/>
  <c r="IP68" i="1"/>
  <c r="IT13" i="1"/>
  <c r="IL13" i="1"/>
  <c r="IZ13" i="1"/>
  <c r="IW13" i="1"/>
  <c r="IG13" i="1" s="1"/>
  <c r="IN13" i="1"/>
  <c r="IL139" i="1"/>
  <c r="IV139" i="1"/>
  <c r="IS139" i="1"/>
  <c r="IT63" i="1"/>
  <c r="IP36" i="1"/>
  <c r="GQ147" i="1"/>
  <c r="IS140" i="1"/>
  <c r="IT79" i="1"/>
  <c r="IP43" i="1"/>
  <c r="IL30" i="1"/>
  <c r="IY30" i="1"/>
  <c r="IP30" i="1"/>
  <c r="IL48" i="1"/>
  <c r="IY48" i="1"/>
  <c r="IP48" i="1"/>
  <c r="IL38" i="1"/>
  <c r="IY38" i="1"/>
  <c r="IL28" i="1"/>
  <c r="IP28" i="1"/>
  <c r="IL132" i="1"/>
  <c r="IY132" i="1"/>
  <c r="IL42" i="1"/>
  <c r="IP42" i="1"/>
  <c r="IL54" i="1"/>
  <c r="IT54" i="1"/>
  <c r="IP54" i="1"/>
  <c r="IL123" i="1"/>
  <c r="IY123" i="1"/>
  <c r="IV123" i="1"/>
  <c r="IL94" i="1"/>
  <c r="IP94" i="1"/>
  <c r="IP140" i="1"/>
  <c r="IY79" i="1"/>
  <c r="IY43" i="1"/>
  <c r="IP99" i="1"/>
  <c r="IL150" i="1"/>
  <c r="IR150" i="1"/>
  <c r="IS150" i="1"/>
  <c r="IL11" i="1"/>
  <c r="IT11" i="1"/>
  <c r="IZ11" i="1"/>
  <c r="IW11" i="1"/>
  <c r="IG11" i="1" s="1"/>
  <c r="IN11" i="1"/>
  <c r="IL58" i="1"/>
  <c r="IT58" i="1"/>
  <c r="IL83" i="1"/>
  <c r="IP83" i="1"/>
  <c r="IY83" i="1"/>
  <c r="IL148" i="1"/>
  <c r="IV148" i="1"/>
  <c r="IR148" i="1"/>
  <c r="IL27" i="1"/>
  <c r="IT27" i="1"/>
  <c r="IL20" i="1"/>
  <c r="IP20" i="1"/>
  <c r="IL66" i="1"/>
  <c r="IY66" i="1"/>
  <c r="IL62" i="1"/>
  <c r="IT62" i="1"/>
  <c r="IL14" i="1"/>
  <c r="IY14" i="1"/>
  <c r="IN14" i="1"/>
  <c r="JA14" i="1"/>
  <c r="IR14" i="1"/>
  <c r="IL92" i="1"/>
  <c r="IP92" i="1"/>
  <c r="IY92" i="1"/>
  <c r="IY127" i="1"/>
  <c r="IP126" i="1"/>
  <c r="IT118" i="1"/>
  <c r="IT149" i="1"/>
  <c r="IU149" i="1" s="1"/>
  <c r="IY134" i="1"/>
  <c r="IN15" i="1"/>
  <c r="IP69" i="1"/>
  <c r="IP44" i="1"/>
  <c r="IL17" i="1"/>
  <c r="IL127" i="1"/>
  <c r="IL129" i="1"/>
  <c r="IL126" i="1"/>
  <c r="IL113" i="1"/>
  <c r="IY60" i="1"/>
  <c r="IP67" i="1"/>
  <c r="IP90" i="1"/>
  <c r="IY70" i="1"/>
  <c r="IY126" i="1"/>
  <c r="IR149" i="1"/>
  <c r="IU15" i="1"/>
  <c r="IZ15" i="1"/>
  <c r="IT117" i="1"/>
  <c r="IT90" i="1"/>
  <c r="IY64" i="1"/>
  <c r="IW15" i="1"/>
  <c r="IG15" i="1" s="1"/>
  <c r="IT15" i="1"/>
  <c r="IY117" i="1"/>
  <c r="IP109" i="1"/>
  <c r="GC147" i="1"/>
  <c r="EL147" i="1"/>
  <c r="DI147" i="1"/>
  <c r="BZ147" i="1"/>
  <c r="BW147" i="1"/>
  <c r="GY147" i="1"/>
  <c r="CJ147" i="1"/>
  <c r="BH147" i="1"/>
  <c r="EK147" i="1"/>
  <c r="GR147" i="1"/>
  <c r="DT147" i="1"/>
  <c r="DM150" i="1"/>
  <c r="GV150" i="1"/>
  <c r="GJ150" i="1"/>
  <c r="FY150" i="1"/>
  <c r="CH150" i="1"/>
  <c r="CS150" i="1"/>
  <c r="GE150" i="1"/>
  <c r="FB150" i="1"/>
  <c r="FM150" i="1"/>
  <c r="CO150" i="1"/>
  <c r="BK150" i="1"/>
  <c r="BV150" i="1"/>
  <c r="EA150" i="1"/>
  <c r="EE150" i="1"/>
  <c r="EP150" i="1"/>
  <c r="GW150" i="1"/>
  <c r="DT150" i="1"/>
  <c r="GY150" i="1"/>
  <c r="CX150" i="1"/>
  <c r="EF150" i="1"/>
  <c r="FF150" i="1"/>
  <c r="GM150" i="1"/>
  <c r="FR150" i="1"/>
  <c r="DI150" i="1"/>
  <c r="EQ150" i="1"/>
  <c r="HE150" i="1"/>
  <c r="DU150" i="1"/>
  <c r="BQ150" i="1"/>
  <c r="CF150" i="1"/>
  <c r="ER150" i="1"/>
  <c r="HD150" i="1"/>
  <c r="DF150" i="1"/>
  <c r="FZ150" i="1"/>
  <c r="CI150" i="1"/>
  <c r="FK150" i="1"/>
  <c r="BT150" i="1"/>
  <c r="EN150" i="1"/>
  <c r="HH150" i="1"/>
  <c r="DQ150" i="1"/>
  <c r="GK150" i="1"/>
  <c r="CT150" i="1"/>
  <c r="FV150" i="1"/>
  <c r="BX150" i="1"/>
  <c r="CA150" i="1"/>
  <c r="GZ150" i="1"/>
  <c r="CL150" i="1"/>
  <c r="BY150" i="1"/>
  <c r="FW150" i="1"/>
  <c r="BG150" i="1"/>
  <c r="FA150" i="1"/>
  <c r="CW150" i="1"/>
  <c r="CN150" i="1"/>
  <c r="EZ150" i="1"/>
  <c r="BA150" i="1"/>
  <c r="DN150" i="1"/>
  <c r="GH150" i="1"/>
  <c r="CY150" i="1"/>
  <c r="FS150" i="1"/>
  <c r="CB150" i="1"/>
  <c r="EV150" i="1"/>
  <c r="BE150" i="1"/>
  <c r="DY150" i="1"/>
  <c r="GS150" i="1"/>
  <c r="DJ150" i="1"/>
  <c r="GD150" i="1"/>
  <c r="EJ150" i="1"/>
  <c r="BL150" i="1"/>
  <c r="GC150" i="1"/>
  <c r="DE150" i="1"/>
  <c r="HC150" i="1"/>
  <c r="CM150" i="1"/>
  <c r="GG150" i="1"/>
  <c r="EC150" i="1"/>
  <c r="CV150" i="1"/>
  <c r="FH150" i="1"/>
  <c r="BJ150" i="1"/>
  <c r="DV150" i="1"/>
  <c r="GX150" i="1"/>
  <c r="DG150" i="1"/>
  <c r="GA150" i="1"/>
  <c r="CJ150" i="1"/>
  <c r="FD150" i="1"/>
  <c r="BM150" i="1"/>
  <c r="EG150" i="1"/>
  <c r="HI150" i="1"/>
  <c r="DR150" i="1"/>
  <c r="GL150" i="1"/>
  <c r="EK150" i="1"/>
  <c r="AZ150" i="1"/>
  <c r="DS150" i="1"/>
  <c r="BO150" i="1"/>
  <c r="FI150" i="1"/>
  <c r="DD150" i="1"/>
  <c r="FP150" i="1"/>
  <c r="BR150" i="1"/>
  <c r="EL150" i="1"/>
  <c r="HF150" i="1"/>
  <c r="DO150" i="1"/>
  <c r="GI150" i="1"/>
  <c r="CR150" i="1"/>
  <c r="FL150" i="1"/>
  <c r="BU150" i="1"/>
  <c r="EW150" i="1"/>
  <c r="BF150" i="1"/>
  <c r="DZ150" i="1"/>
  <c r="GT150" i="1"/>
  <c r="GU150" i="1"/>
  <c r="BW150" i="1"/>
  <c r="FQ150" i="1"/>
  <c r="CG150" i="1"/>
  <c r="EY150" i="1"/>
  <c r="CU150" i="1"/>
  <c r="GO150" i="1"/>
  <c r="DL150" i="1"/>
  <c r="FX150" i="1"/>
  <c r="BZ150" i="1"/>
  <c r="ET150" i="1"/>
  <c r="BB150" i="1"/>
  <c r="DW150" i="1"/>
  <c r="GQ150" i="1"/>
  <c r="CZ150" i="1"/>
  <c r="FT150" i="1"/>
  <c r="CK150" i="1"/>
  <c r="FE150" i="1"/>
  <c r="BN150" i="1"/>
  <c r="EH150" i="1"/>
  <c r="HB150" i="1"/>
  <c r="CE150" i="1"/>
  <c r="ES150" i="1"/>
  <c r="BI150" i="1"/>
  <c r="FG150" i="1"/>
  <c r="EB150" i="1"/>
  <c r="GN150" i="1"/>
  <c r="CP150" i="1"/>
  <c r="FJ150" i="1"/>
  <c r="BS150" i="1"/>
  <c r="EM150" i="1"/>
  <c r="HG150" i="1"/>
  <c r="DX150" i="1"/>
  <c r="GR150" i="1"/>
  <c r="DA150" i="1"/>
  <c r="FU150" i="1"/>
  <c r="CD150" i="1"/>
  <c r="EX150" i="1"/>
  <c r="ED150" i="1"/>
  <c r="GP150" i="1"/>
  <c r="CQ150" i="1"/>
  <c r="FC150" i="1"/>
  <c r="BD150" i="1"/>
  <c r="DP150" i="1"/>
  <c r="GB150" i="1"/>
  <c r="CC150" i="1"/>
  <c r="EO150" i="1"/>
  <c r="HA150" i="1"/>
  <c r="DB150" i="1"/>
  <c r="FN150" i="1"/>
  <c r="EI150" i="1"/>
  <c r="CT147" i="1"/>
  <c r="EN147" i="1"/>
  <c r="FM147" i="1"/>
  <c r="EY147" i="1"/>
  <c r="FX147" i="1"/>
  <c r="GP147" i="1"/>
  <c r="DU147" i="1"/>
  <c r="FC147" i="1"/>
  <c r="FS147" i="1"/>
  <c r="EV147" i="1"/>
  <c r="FU147" i="1"/>
  <c r="GU147" i="1"/>
  <c r="GF147" i="1"/>
  <c r="GX147" i="1"/>
  <c r="BN147" i="1"/>
  <c r="BT147" i="1"/>
  <c r="BE147" i="1"/>
  <c r="CE147" i="1"/>
  <c r="DD147" i="1"/>
  <c r="CH147" i="1"/>
  <c r="FK147" i="1"/>
  <c r="CB147" i="1"/>
  <c r="DA147" i="1"/>
  <c r="CM147" i="1"/>
  <c r="DL147" i="1"/>
  <c r="ED147" i="1"/>
  <c r="DE147" i="1"/>
  <c r="CA147" i="1"/>
  <c r="EP147" i="1"/>
  <c r="DO147" i="1"/>
  <c r="EF147" i="1"/>
  <c r="DQ147" i="1"/>
  <c r="EQ147" i="1"/>
  <c r="FP147" i="1"/>
  <c r="ET147" i="1"/>
  <c r="FV147" i="1"/>
  <c r="EB144" i="1"/>
  <c r="CB144" i="1"/>
  <c r="HG144" i="1"/>
  <c r="EM144" i="1"/>
  <c r="EY144" i="1"/>
  <c r="DM146" i="1"/>
  <c r="BD146" i="1"/>
  <c r="BM146" i="1"/>
  <c r="FM146" i="1"/>
  <c r="HG146" i="1"/>
  <c r="GK146" i="1"/>
  <c r="EB146" i="1"/>
  <c r="FT146" i="1"/>
  <c r="EZ146" i="1"/>
  <c r="CO146" i="1"/>
  <c r="DV146" i="1"/>
  <c r="HF146" i="1"/>
  <c r="FO146" i="1"/>
  <c r="CS146" i="1"/>
  <c r="BH146" i="1"/>
  <c r="GF146" i="1"/>
  <c r="ES146" i="1"/>
  <c r="DH146" i="1"/>
  <c r="GE146" i="1"/>
  <c r="FC146" i="1"/>
  <c r="DA146" i="1"/>
  <c r="GN146" i="1"/>
  <c r="FA146" i="1"/>
  <c r="CU146" i="1"/>
  <c r="EP146" i="1"/>
  <c r="DI146" i="1"/>
  <c r="BX146" i="1"/>
  <c r="GV146" i="1"/>
  <c r="FI146" i="1"/>
  <c r="BV146" i="1"/>
  <c r="DP146" i="1"/>
  <c r="DY146" i="1"/>
  <c r="CN146" i="1"/>
  <c r="AZ146" i="1"/>
  <c r="FY146" i="1"/>
  <c r="BR146" i="1"/>
  <c r="FE146" i="1"/>
  <c r="DT146" i="1"/>
  <c r="CG146" i="1"/>
  <c r="HE146" i="1"/>
  <c r="GT146" i="1"/>
  <c r="FU146" i="1"/>
  <c r="EJ146" i="1"/>
  <c r="CW146" i="1"/>
  <c r="CH146" i="1"/>
  <c r="GH146" i="1"/>
  <c r="CI146" i="1"/>
  <c r="GR146" i="1"/>
  <c r="ED146" i="1"/>
  <c r="BE146" i="1"/>
  <c r="DQ146" i="1"/>
  <c r="GC146" i="1"/>
  <c r="CF146" i="1"/>
  <c r="ER146" i="1"/>
  <c r="HD146" i="1"/>
  <c r="DE146" i="1"/>
  <c r="FQ146" i="1"/>
  <c r="AZ144" i="1"/>
  <c r="BZ144" i="1"/>
  <c r="FG146" i="1"/>
  <c r="BJ146" i="1"/>
  <c r="FS146" i="1"/>
  <c r="HB146" i="1"/>
  <c r="DC146" i="1"/>
  <c r="BU146" i="1"/>
  <c r="EG146" i="1"/>
  <c r="GS146" i="1"/>
  <c r="CV146" i="1"/>
  <c r="FH146" i="1"/>
  <c r="BI146" i="1"/>
  <c r="DU146" i="1"/>
  <c r="GG146" i="1"/>
  <c r="GC144" i="1"/>
  <c r="ET144" i="1"/>
  <c r="EU146" i="1"/>
  <c r="FF146" i="1"/>
  <c r="GP146" i="1"/>
  <c r="CQ146" i="1"/>
  <c r="CC146" i="1"/>
  <c r="EO146" i="1"/>
  <c r="HA146" i="1"/>
  <c r="DD146" i="1"/>
  <c r="FP146" i="1"/>
  <c r="BQ146" i="1"/>
  <c r="EC146" i="1"/>
  <c r="GO146" i="1"/>
  <c r="CS144" i="1"/>
  <c r="DD144" i="1"/>
  <c r="EH146" i="1"/>
  <c r="GB146" i="1"/>
  <c r="CD146" i="1"/>
  <c r="CK146" i="1"/>
  <c r="EW146" i="1"/>
  <c r="HI146" i="1"/>
  <c r="DL146" i="1"/>
  <c r="FX146" i="1"/>
  <c r="BY146" i="1"/>
  <c r="EK146" i="1"/>
  <c r="GW146" i="1"/>
  <c r="GM144" i="1"/>
  <c r="GL144" i="1"/>
  <c r="BW144" i="1"/>
  <c r="FZ144" i="1"/>
  <c r="BS144" i="1"/>
  <c r="BE144" i="1"/>
  <c r="BV144" i="1"/>
  <c r="DC144" i="1"/>
  <c r="DF144" i="1"/>
  <c r="GH144" i="1"/>
  <c r="BD144" i="1"/>
  <c r="CK144" i="1"/>
  <c r="CT144" i="1"/>
  <c r="DK144" i="1"/>
  <c r="EP144" i="1"/>
  <c r="HF144" i="1"/>
  <c r="DH144" i="1"/>
  <c r="DR144" i="1"/>
  <c r="EK144" i="1"/>
  <c r="FW144" i="1"/>
  <c r="GA144" i="1"/>
  <c r="CG144" i="1"/>
  <c r="HI144" i="1"/>
  <c r="DQ144" i="1"/>
  <c r="FC144" i="1"/>
  <c r="FM144" i="1"/>
  <c r="GF144" i="1"/>
  <c r="DN144" i="1"/>
  <c r="EQ144" i="1"/>
  <c r="EN144" i="1"/>
  <c r="ER144" i="1"/>
  <c r="FL144" i="1"/>
  <c r="GW144" i="1"/>
  <c r="HH144" i="1"/>
  <c r="DV144" i="1"/>
  <c r="FG144" i="1"/>
  <c r="BN144" i="1"/>
  <c r="CH144" i="1"/>
  <c r="V141" i="1"/>
  <c r="IX141" i="1"/>
  <c r="AG149" i="1"/>
  <c r="IX148" i="1"/>
  <c r="V148" i="1"/>
  <c r="IX144" i="1"/>
  <c r="V144" i="1"/>
  <c r="IW140" i="1"/>
  <c r="IG140" i="1" s="1"/>
  <c r="AQ140" i="1"/>
  <c r="IX149" i="1"/>
  <c r="V149" i="1"/>
  <c r="AQ148" i="1"/>
  <c r="IW148" i="1"/>
  <c r="IG148" i="1" s="1"/>
  <c r="AG145" i="1"/>
  <c r="AM145" i="1"/>
  <c r="AI145" i="1"/>
  <c r="AG143" i="1"/>
  <c r="AM143" i="1"/>
  <c r="AI143" i="1"/>
  <c r="IW150" i="1"/>
  <c r="IG150" i="1" s="1"/>
  <c r="AQ150" i="1"/>
  <c r="V140" i="1"/>
  <c r="IX140" i="1"/>
  <c r="IX143" i="1"/>
  <c r="V143" i="1"/>
  <c r="AI148" i="1"/>
  <c r="AM148" i="1"/>
  <c r="AG148" i="1"/>
  <c r="IW146" i="1"/>
  <c r="IG146" i="1" s="1"/>
  <c r="AQ146" i="1"/>
  <c r="IX150" i="1"/>
  <c r="V150" i="1"/>
  <c r="IX142" i="1"/>
  <c r="V142" i="1"/>
  <c r="AI140" i="1"/>
  <c r="AM140" i="1"/>
  <c r="AJ147" i="1"/>
  <c r="IW142" i="1"/>
  <c r="IG142" i="1" s="1"/>
  <c r="AQ142" i="1"/>
  <c r="AG146" i="1"/>
  <c r="AM146" i="1"/>
  <c r="AI146" i="1"/>
  <c r="AG147" i="1"/>
  <c r="AI147" i="1"/>
  <c r="AM147" i="1"/>
  <c r="AJ142" i="1"/>
  <c r="AJ150" i="1"/>
  <c r="AQ149" i="1"/>
  <c r="IW149" i="1"/>
  <c r="IG149" i="1" s="1"/>
  <c r="AJ143" i="1"/>
  <c r="IW145" i="1"/>
  <c r="IG145" i="1" s="1"/>
  <c r="AQ145" i="1"/>
  <c r="V145" i="1"/>
  <c r="IX145" i="1"/>
  <c r="IX139" i="1"/>
  <c r="V139" i="1"/>
  <c r="AF150" i="1"/>
  <c r="AD143" i="1"/>
  <c r="AH143" i="1" s="1"/>
  <c r="AC141" i="1"/>
  <c r="AF141" i="1"/>
  <c r="AF139" i="1"/>
  <c r="AC142" i="1"/>
  <c r="AE140" i="1"/>
  <c r="AG140" i="1" s="1"/>
  <c r="AG144" i="1"/>
  <c r="Q137" i="1"/>
  <c r="AD140" i="1"/>
  <c r="AH140" i="1" s="1"/>
  <c r="AD149" i="1"/>
  <c r="AH149" i="1" s="1"/>
  <c r="R147" i="1"/>
  <c r="X147" i="1" s="1"/>
  <c r="AM142" i="1"/>
  <c r="R143" i="1"/>
  <c r="X143" i="1" s="1"/>
  <c r="AQ141" i="1"/>
  <c r="AE148" i="1"/>
  <c r="AC145" i="1"/>
  <c r="R138" i="1"/>
  <c r="X138" i="1" s="1"/>
  <c r="R139" i="1"/>
  <c r="X139" i="1" s="1"/>
  <c r="R144" i="1"/>
  <c r="X144" i="1" s="1"/>
  <c r="AC150" i="1"/>
  <c r="Q150" i="1"/>
  <c r="AD148" i="1"/>
  <c r="AH148" i="1" s="1"/>
  <c r="AI144" i="1"/>
  <c r="AG142" i="1"/>
  <c r="IW136" i="1"/>
  <c r="IG136" i="1" s="1"/>
  <c r="AJ139" i="1"/>
  <c r="GI144" i="1"/>
  <c r="HC144" i="1"/>
  <c r="BL144" i="1"/>
  <c r="DZ144" i="1"/>
  <c r="GU144" i="1"/>
  <c r="DA144" i="1"/>
  <c r="FU144" i="1"/>
  <c r="CD144" i="1"/>
  <c r="EU144" i="1"/>
  <c r="BG144" i="1"/>
  <c r="DT144" i="1"/>
  <c r="GO144" i="1"/>
  <c r="CP144" i="1"/>
  <c r="FH144" i="1"/>
  <c r="ED144" i="1"/>
  <c r="GP144" i="1"/>
  <c r="BK144" i="1"/>
  <c r="FI144" i="1"/>
  <c r="GG144" i="1"/>
  <c r="BT144" i="1"/>
  <c r="EI144" i="1"/>
  <c r="HD144" i="1"/>
  <c r="DI144" i="1"/>
  <c r="GD144" i="1"/>
  <c r="CL144" i="1"/>
  <c r="FD144" i="1"/>
  <c r="BO144" i="1"/>
  <c r="EC144" i="1"/>
  <c r="GY144" i="1"/>
  <c r="CX144" i="1"/>
  <c r="FQ144" i="1"/>
  <c r="EL144" i="1"/>
  <c r="GX144" i="1"/>
  <c r="BQ144" i="1"/>
  <c r="DM144" i="1"/>
  <c r="EH144" i="1"/>
  <c r="CJ144" i="1"/>
  <c r="FA144" i="1"/>
  <c r="BM144" i="1"/>
  <c r="EA144" i="1"/>
  <c r="GV144" i="1"/>
  <c r="DB144" i="1"/>
  <c r="FV144" i="1"/>
  <c r="CE144" i="1"/>
  <c r="EV144" i="1"/>
  <c r="BA144" i="1"/>
  <c r="DO144" i="1"/>
  <c r="GJ144" i="1"/>
  <c r="FB144" i="1"/>
  <c r="FX144" i="1"/>
  <c r="CQ144" i="1"/>
  <c r="DL144" i="1"/>
  <c r="CR144" i="1"/>
  <c r="FK144" i="1"/>
  <c r="BU144" i="1"/>
  <c r="EJ144" i="1"/>
  <c r="HE144" i="1"/>
  <c r="DJ144" i="1"/>
  <c r="GE144" i="1"/>
  <c r="CM144" i="1"/>
  <c r="FE144" i="1"/>
  <c r="BJ144" i="1"/>
  <c r="DX144" i="1"/>
  <c r="GS144" i="1"/>
  <c r="FJ144" i="1"/>
  <c r="EX144" i="1"/>
  <c r="BX144" i="1"/>
  <c r="CO144" i="1"/>
  <c r="CZ144" i="1"/>
  <c r="FT144" i="1"/>
  <c r="CC144" i="1"/>
  <c r="ES144" i="1"/>
  <c r="BF144" i="1"/>
  <c r="DS144" i="1"/>
  <c r="GN144" i="1"/>
  <c r="CU144" i="1"/>
  <c r="FN144" i="1"/>
  <c r="BR144" i="1"/>
  <c r="EG144" i="1"/>
  <c r="HB144" i="1"/>
  <c r="FR144" i="1"/>
  <c r="DY144" i="1"/>
  <c r="GA147" i="1"/>
  <c r="BD147" i="1"/>
  <c r="DP147" i="1"/>
  <c r="GB147" i="1"/>
  <c r="CK147" i="1"/>
  <c r="EW147" i="1"/>
  <c r="BG147" i="1"/>
  <c r="DS147" i="1"/>
  <c r="GE147" i="1"/>
  <c r="CN147" i="1"/>
  <c r="EZ147" i="1"/>
  <c r="BA147" i="1"/>
  <c r="DN147" i="1"/>
  <c r="FZ147" i="1"/>
  <c r="HB147" i="1"/>
  <c r="FY147" i="1"/>
  <c r="BK147" i="1"/>
  <c r="CG147" i="1"/>
  <c r="EE147" i="1"/>
  <c r="FF147" i="1"/>
  <c r="GO147" i="1"/>
  <c r="BL147" i="1"/>
  <c r="DX147" i="1"/>
  <c r="GJ147" i="1"/>
  <c r="CS147" i="1"/>
  <c r="FE147" i="1"/>
  <c r="BO147" i="1"/>
  <c r="EA147" i="1"/>
  <c r="GM147" i="1"/>
  <c r="CV147" i="1"/>
  <c r="FH147" i="1"/>
  <c r="BJ147" i="1"/>
  <c r="DV147" i="1"/>
  <c r="GH147" i="1"/>
  <c r="EU147" i="1"/>
  <c r="BF147" i="1"/>
  <c r="GL147" i="1"/>
  <c r="DB147" i="1"/>
  <c r="CQ147" i="1"/>
  <c r="GZ147" i="1"/>
  <c r="EH147" i="1"/>
  <c r="GG147" i="1"/>
  <c r="FQ147" i="1"/>
  <c r="BY147" i="1"/>
  <c r="DG147" i="1"/>
  <c r="CR147" i="1"/>
  <c r="FD147" i="1"/>
  <c r="BM147" i="1"/>
  <c r="DY147" i="1"/>
  <c r="GK147" i="1"/>
  <c r="CU147" i="1"/>
  <c r="FG147" i="1"/>
  <c r="EB147" i="1"/>
  <c r="GN147" i="1"/>
  <c r="CP147" i="1"/>
  <c r="FB147" i="1"/>
  <c r="HG147" i="1"/>
  <c r="ES147" i="1"/>
  <c r="FN147" i="1"/>
  <c r="CD147" i="1"/>
  <c r="DZ147" i="1"/>
  <c r="DM147" i="1"/>
  <c r="BS147" i="1"/>
  <c r="BB147" i="1"/>
  <c r="CL147" i="1"/>
  <c r="CZ147" i="1"/>
  <c r="FL147" i="1"/>
  <c r="BU147" i="1"/>
  <c r="EG147" i="1"/>
  <c r="GS147" i="1"/>
  <c r="DC147" i="1"/>
  <c r="FO147" i="1"/>
  <c r="BX147" i="1"/>
  <c r="EJ147" i="1"/>
  <c r="GV147" i="1"/>
  <c r="CX147" i="1"/>
  <c r="FJ147" i="1"/>
  <c r="HA147" i="1"/>
  <c r="DR147" i="1"/>
  <c r="EM147" i="1"/>
  <c r="AZ147" i="1"/>
  <c r="GI147" i="1"/>
  <c r="CY147" i="1"/>
  <c r="CW147" i="1"/>
  <c r="CI147" i="1"/>
  <c r="GW147" i="1"/>
  <c r="BQ147" i="1"/>
  <c r="DH147" i="1"/>
  <c r="FT147" i="1"/>
  <c r="CC147" i="1"/>
  <c r="EO147" i="1"/>
  <c r="HD147" i="1"/>
  <c r="DK147" i="1"/>
  <c r="FW147" i="1"/>
  <c r="CF147" i="1"/>
  <c r="ER147" i="1"/>
  <c r="HH147" i="1"/>
  <c r="DF147" i="1"/>
  <c r="FR147" i="1"/>
  <c r="HI147" i="1"/>
  <c r="CO147" i="1"/>
  <c r="DJ147" i="1"/>
  <c r="FI147" i="1"/>
  <c r="BV147" i="1"/>
  <c r="DW147" i="1"/>
  <c r="EQ149" i="1"/>
  <c r="ET149" i="1"/>
  <c r="CM149" i="1"/>
  <c r="GV149" i="1"/>
  <c r="CX149" i="1"/>
  <c r="FR149" i="1"/>
  <c r="DS149" i="1"/>
  <c r="DR145" i="1"/>
  <c r="CH145" i="1"/>
  <c r="CS145" i="1"/>
  <c r="DV145" i="1"/>
  <c r="FG149" i="1"/>
  <c r="GF149" i="1"/>
  <c r="HF149" i="1"/>
  <c r="BO149" i="1"/>
  <c r="DT149" i="1"/>
  <c r="EY149" i="1"/>
  <c r="GE149" i="1"/>
  <c r="FZ149" i="1"/>
  <c r="HC149" i="1"/>
  <c r="BG149" i="1"/>
  <c r="CH149" i="1"/>
  <c r="DN149" i="1"/>
  <c r="DF149" i="1"/>
  <c r="EL149" i="1"/>
  <c r="GX149" i="1"/>
  <c r="BA149" i="1"/>
  <c r="CE149" i="1"/>
  <c r="BZ149" i="1"/>
  <c r="DD149" i="1"/>
  <c r="FP149" i="1"/>
  <c r="BX149" i="1"/>
  <c r="EJ149" i="1"/>
  <c r="GM149" i="1"/>
  <c r="EB149" i="1"/>
  <c r="FJ149" i="1"/>
  <c r="CV149" i="1"/>
  <c r="DU144" i="1"/>
  <c r="GT144" i="1"/>
  <c r="DD148" i="1"/>
  <c r="FD146" i="1"/>
  <c r="CN144" i="1"/>
  <c r="CV144" i="1"/>
  <c r="HA144" i="1"/>
  <c r="EW144" i="1"/>
  <c r="EZ144" i="1"/>
  <c r="GM146" i="1"/>
  <c r="FO145" i="1"/>
  <c r="BF145" i="1"/>
  <c r="GC145" i="1"/>
  <c r="GD145" i="1"/>
  <c r="CQ145" i="1"/>
  <c r="DF145" i="1"/>
  <c r="CG145" i="1"/>
  <c r="FC145" i="1"/>
  <c r="GR145" i="1"/>
  <c r="ES145" i="1"/>
  <c r="DQ145" i="1"/>
  <c r="HE145" i="1"/>
  <c r="CX145" i="1"/>
  <c r="GU145" i="1"/>
  <c r="HG145" i="1"/>
  <c r="EE145" i="1"/>
  <c r="DE144" i="1"/>
  <c r="GK144" i="1"/>
  <c r="FF144" i="1"/>
  <c r="CW144" i="1"/>
  <c r="BI144" i="1"/>
  <c r="CF144" i="1"/>
  <c r="GR144" i="1"/>
  <c r="EF144" i="1"/>
  <c r="EE144" i="1"/>
  <c r="DP144" i="1"/>
  <c r="BH144" i="1"/>
  <c r="FS144" i="1"/>
  <c r="BY144" i="1"/>
  <c r="GB144" i="1"/>
  <c r="GQ144" i="1"/>
  <c r="DW144" i="1"/>
  <c r="CY144" i="1"/>
  <c r="CA144" i="1"/>
  <c r="BB144" i="1"/>
  <c r="FO144" i="1"/>
  <c r="EO144" i="1"/>
  <c r="DG144" i="1"/>
  <c r="CI144" i="1"/>
  <c r="GZ144" i="1"/>
  <c r="FY144" i="1"/>
  <c r="CM146" i="1"/>
  <c r="CE148" i="1"/>
  <c r="EX146" i="1"/>
  <c r="CA146" i="1"/>
  <c r="BA146" i="1"/>
  <c r="EQ146" i="1"/>
  <c r="CE146" i="1"/>
  <c r="DR146" i="1"/>
  <c r="GZ146" i="1"/>
  <c r="DB146" i="1"/>
  <c r="FW146" i="1"/>
  <c r="BS148" i="1"/>
  <c r="BL145" i="1"/>
  <c r="ET145" i="1"/>
  <c r="BX145" i="1"/>
  <c r="FE145" i="1"/>
  <c r="CJ145" i="1"/>
  <c r="FS145" i="1"/>
  <c r="CV145" i="1"/>
  <c r="GF145" i="1"/>
  <c r="CZ145" i="1"/>
  <c r="GK145" i="1"/>
  <c r="DB145" i="1"/>
  <c r="FN145" i="1"/>
  <c r="BQ145" i="1"/>
  <c r="EC145" i="1"/>
  <c r="GO145" i="1"/>
  <c r="HF145" i="1"/>
  <c r="EZ145" i="1"/>
  <c r="CN145" i="1"/>
  <c r="CM145" i="1"/>
  <c r="GZ145" i="1"/>
  <c r="BW145" i="1"/>
  <c r="FD145" i="1"/>
  <c r="CI145" i="1"/>
  <c r="FP145" i="1"/>
  <c r="CU145" i="1"/>
  <c r="GE145" i="1"/>
  <c r="DG145" i="1"/>
  <c r="GS145" i="1"/>
  <c r="DK145" i="1"/>
  <c r="GY145" i="1"/>
  <c r="DJ145" i="1"/>
  <c r="FV145" i="1"/>
  <c r="BY145" i="1"/>
  <c r="EK145" i="1"/>
  <c r="GW145" i="1"/>
  <c r="FJ145" i="1"/>
  <c r="GJ145" i="1"/>
  <c r="DW145" i="1"/>
  <c r="BK145" i="1"/>
  <c r="FM145" i="1"/>
  <c r="GM145" i="1"/>
  <c r="FK145" i="1"/>
  <c r="CR145" i="1"/>
  <c r="GB145" i="1"/>
  <c r="DD145" i="1"/>
  <c r="GQ145" i="1"/>
  <c r="DP145" i="1"/>
  <c r="HD145" i="1"/>
  <c r="EB145" i="1"/>
  <c r="HI145" i="1"/>
  <c r="EF145" i="1"/>
  <c r="BN145" i="1"/>
  <c r="DZ145" i="1"/>
  <c r="GL145" i="1"/>
  <c r="CO145" i="1"/>
  <c r="FA145" i="1"/>
  <c r="FR145" i="1"/>
  <c r="DA145" i="1"/>
  <c r="ED145" i="1"/>
  <c r="BS145" i="1"/>
  <c r="GA145" i="1"/>
  <c r="FU145" i="1"/>
  <c r="DI145" i="1"/>
  <c r="EG145" i="1"/>
  <c r="DC145" i="1"/>
  <c r="GN145" i="1"/>
  <c r="DO145" i="1"/>
  <c r="HC145" i="1"/>
  <c r="EA145" i="1"/>
  <c r="BE145" i="1"/>
  <c r="EM145" i="1"/>
  <c r="BJ145" i="1"/>
  <c r="EQ145" i="1"/>
  <c r="BV145" i="1"/>
  <c r="EH145" i="1"/>
  <c r="GT145" i="1"/>
  <c r="CW145" i="1"/>
  <c r="FI145" i="1"/>
  <c r="FZ145" i="1"/>
  <c r="CB145" i="1"/>
  <c r="CY145" i="1"/>
  <c r="HH145" i="1"/>
  <c r="BR145" i="1"/>
  <c r="DL145" i="1"/>
  <c r="DH145" i="1"/>
  <c r="DN145" i="1"/>
  <c r="HA145" i="1"/>
  <c r="DY145" i="1"/>
  <c r="BD145" i="1"/>
  <c r="EL145" i="1"/>
  <c r="EW145" i="1"/>
  <c r="BT145" i="1"/>
  <c r="FB145" i="1"/>
  <c r="CD145" i="1"/>
  <c r="EP145" i="1"/>
  <c r="HB145" i="1"/>
  <c r="DE145" i="1"/>
  <c r="FQ145" i="1"/>
  <c r="GH145" i="1"/>
  <c r="BU145" i="1"/>
  <c r="FW145" i="1"/>
  <c r="EO145" i="1"/>
  <c r="GV145" i="1"/>
  <c r="CC145" i="1"/>
  <c r="DX145" i="1"/>
  <c r="BB145" i="1"/>
  <c r="EJ145" i="1"/>
  <c r="BO145" i="1"/>
  <c r="EV145" i="1"/>
  <c r="CA145" i="1"/>
  <c r="FH145" i="1"/>
  <c r="CE145" i="1"/>
  <c r="FL145" i="1"/>
  <c r="CL145" i="1"/>
  <c r="EX145" i="1"/>
  <c r="AZ145" i="1"/>
  <c r="DM145" i="1"/>
  <c r="FY145" i="1"/>
  <c r="GP145" i="1"/>
  <c r="ER145" i="1"/>
  <c r="CF145" i="1"/>
  <c r="BG145" i="1"/>
  <c r="BA145" i="1"/>
  <c r="EI145" i="1"/>
  <c r="BM145" i="1"/>
  <c r="EU145" i="1"/>
  <c r="BZ145" i="1"/>
  <c r="FG145" i="1"/>
  <c r="CK145" i="1"/>
  <c r="FT145" i="1"/>
  <c r="CP145" i="1"/>
  <c r="FX145" i="1"/>
  <c r="CT145" i="1"/>
  <c r="FF145" i="1"/>
  <c r="BI145" i="1"/>
  <c r="DU145" i="1"/>
  <c r="GG145" i="1"/>
  <c r="GX145" i="1"/>
  <c r="GI145" i="1"/>
  <c r="DS145" i="1"/>
  <c r="EY145" i="1"/>
  <c r="DT145" i="1"/>
  <c r="BH149" i="1"/>
  <c r="EA149" i="1"/>
  <c r="FH149" i="1"/>
  <c r="GN149" i="1"/>
  <c r="FN146" i="1"/>
  <c r="BL146" i="1"/>
  <c r="GV148" i="1"/>
  <c r="BG146" i="1"/>
  <c r="BN146" i="1"/>
  <c r="EA146" i="1"/>
  <c r="EF146" i="1"/>
  <c r="CZ146" i="1"/>
  <c r="CL146" i="1"/>
  <c r="BW146" i="1"/>
  <c r="BK146" i="1"/>
  <c r="GY146" i="1"/>
  <c r="GI146" i="1"/>
  <c r="EU148" i="1"/>
  <c r="DO148" i="1"/>
  <c r="CX146" i="1"/>
  <c r="EN146" i="1"/>
  <c r="FR146" i="1"/>
  <c r="EI146" i="1"/>
  <c r="DS146" i="1"/>
  <c r="DF146" i="1"/>
  <c r="CR146" i="1"/>
  <c r="CB146" i="1"/>
  <c r="EZ148" i="1"/>
  <c r="GA146" i="1"/>
  <c r="GJ146" i="1"/>
  <c r="BZ146" i="1"/>
  <c r="GL146" i="1"/>
  <c r="EY146" i="1"/>
  <c r="EL146" i="1"/>
  <c r="DW146" i="1"/>
  <c r="DJ146" i="1"/>
  <c r="CT146" i="1"/>
  <c r="CN148" i="1"/>
  <c r="GX146" i="1"/>
  <c r="CP146" i="1"/>
  <c r="DN146" i="1"/>
  <c r="EV146" i="1"/>
  <c r="BO146" i="1"/>
  <c r="HH146" i="1"/>
  <c r="FV146" i="1"/>
  <c r="FB146" i="1"/>
  <c r="EM146" i="1"/>
  <c r="DZ146" i="1"/>
  <c r="DK146" i="1"/>
  <c r="DT148" i="1"/>
  <c r="FP148" i="1"/>
  <c r="DG146" i="1"/>
  <c r="HC146" i="1"/>
  <c r="CY146" i="1"/>
  <c r="BS146" i="1"/>
  <c r="BB146" i="1"/>
  <c r="GQ146" i="1"/>
  <c r="FZ146" i="1"/>
  <c r="FK146" i="1"/>
  <c r="ET146" i="1"/>
  <c r="EE148" i="1"/>
  <c r="GF148" i="1"/>
  <c r="EE146" i="1"/>
  <c r="DO146" i="1"/>
  <c r="CJ146" i="1"/>
  <c r="BT146" i="1"/>
  <c r="BF146" i="1"/>
  <c r="GU146" i="1"/>
  <c r="GD146" i="1"/>
  <c r="FL146" i="1"/>
  <c r="BX148" i="1"/>
  <c r="DK148" i="1"/>
  <c r="DX146" i="1"/>
  <c r="BH145" i="1"/>
  <c r="GT147" i="1"/>
  <c r="FA147" i="1"/>
  <c r="GD147" i="1"/>
  <c r="BI147" i="1"/>
  <c r="DQ143" i="1"/>
  <c r="IH9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IW135" i="1" s="1"/>
  <c r="IG135" i="1" s="1"/>
  <c r="AE133" i="1"/>
  <c r="CU130" i="1"/>
  <c r="EO130" i="1"/>
  <c r="BA130" i="1"/>
  <c r="R133" i="1"/>
  <c r="X133" i="1" s="1"/>
  <c r="IW133" i="1" s="1"/>
  <c r="IG133" i="1" s="1"/>
  <c r="Q133" i="1"/>
  <c r="Q132" i="1"/>
  <c r="R131" i="1"/>
  <c r="X131" i="1" s="1"/>
  <c r="IW131" i="1" s="1"/>
  <c r="IG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IW132" i="1" s="1"/>
  <c r="IG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H136" i="1" s="1"/>
  <c r="AF138" i="1"/>
  <c r="AD134" i="1"/>
  <c r="AH134" i="1" s="1"/>
  <c r="AE137" i="1"/>
  <c r="AF132" i="1"/>
  <c r="AM132" i="1" s="1"/>
  <c r="AE136" i="1"/>
  <c r="AJ136" i="1" s="1"/>
  <c r="AC138" i="1"/>
  <c r="AF136" i="1"/>
  <c r="AI136" i="1" s="1"/>
  <c r="AE131" i="1"/>
  <c r="AC136" i="1"/>
  <c r="AC130" i="1"/>
  <c r="AF137" i="1"/>
  <c r="AI137" i="1" s="1"/>
  <c r="AI138" i="1"/>
  <c r="AM138" i="1"/>
  <c r="V136" i="1"/>
  <c r="V138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IW134" i="1" s="1"/>
  <c r="IG134" i="1" s="1"/>
  <c r="R130" i="1"/>
  <c r="X130" i="1" s="1"/>
  <c r="IW130" i="1" s="1"/>
  <c r="IG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M165" i="7"/>
  <c r="BF168" i="1"/>
  <c r="BE168" i="1"/>
  <c r="BF167" i="1"/>
  <c r="BE167" i="1"/>
  <c r="BF166" i="1"/>
  <c r="BE166" i="1"/>
  <c r="BF165" i="1"/>
  <c r="BE165" i="1"/>
  <c r="BF164" i="1"/>
  <c r="BE164" i="1"/>
  <c r="BF163" i="1"/>
  <c r="BE163" i="1"/>
  <c r="BF162" i="1"/>
  <c r="BE162" i="1"/>
  <c r="BF161" i="1"/>
  <c r="BE161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P63" i="1"/>
  <c r="S63" i="1" s="1"/>
  <c r="N65" i="1"/>
  <c r="N66" i="1"/>
  <c r="P69" i="1"/>
  <c r="S69" i="1" s="1"/>
  <c r="Y69" i="1" s="1"/>
  <c r="O70" i="1"/>
  <c r="P71" i="1"/>
  <c r="S71" i="1" s="1"/>
  <c r="Y71" i="1" s="1"/>
  <c r="O73" i="1"/>
  <c r="O74" i="1"/>
  <c r="AB75" i="1"/>
  <c r="O76" i="1"/>
  <c r="AB78" i="1"/>
  <c r="AB79" i="1"/>
  <c r="O80" i="1"/>
  <c r="P81" i="1"/>
  <c r="S81" i="1" s="1"/>
  <c r="Y81" i="1" s="1"/>
  <c r="O82" i="1"/>
  <c r="AA83" i="1"/>
  <c r="AB85" i="1"/>
  <c r="O86" i="1"/>
  <c r="N87" i="1"/>
  <c r="N89" i="1"/>
  <c r="P90" i="1"/>
  <c r="S90" i="1" s="1"/>
  <c r="Y90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X106" i="1" s="1"/>
  <c r="Z107" i="1"/>
  <c r="N109" i="1"/>
  <c r="AB110" i="1"/>
  <c r="O111" i="1"/>
  <c r="P113" i="1"/>
  <c r="S113" i="1" s="1"/>
  <c r="Y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AB102" i="1"/>
  <c r="AB47" i="1"/>
  <c r="N54" i="1"/>
  <c r="AB23" i="1"/>
  <c r="N9" i="1"/>
  <c r="AV21" i="1"/>
  <c r="AV51" i="1"/>
  <c r="AV45" i="1"/>
  <c r="AV43" i="1"/>
  <c r="AV40" i="1"/>
  <c r="AV29" i="1"/>
  <c r="AV27" i="1"/>
  <c r="AV25" i="1"/>
  <c r="AV19" i="1"/>
  <c r="AV16" i="1"/>
  <c r="AV12" i="1"/>
  <c r="Z29" i="1"/>
  <c r="AV37" i="1"/>
  <c r="O59" i="1"/>
  <c r="P36" i="1"/>
  <c r="S36" i="1" s="1"/>
  <c r="JC9" i="1" l="1"/>
  <c r="JD9" i="1" s="1" a="1"/>
  <c r="JD9" i="1" s="1"/>
  <c r="JD12" i="1" a="1"/>
  <c r="JD12" i="1" s="1"/>
  <c r="Y36" i="1"/>
  <c r="V36" i="1" s="1"/>
  <c r="Y15" i="1"/>
  <c r="V15" i="1" s="1"/>
  <c r="Y52" i="1"/>
  <c r="V52" i="1" s="1"/>
  <c r="DD40" i="1"/>
  <c r="DF37" i="1"/>
  <c r="GL43" i="1"/>
  <c r="HI51" i="1"/>
  <c r="BD113" i="1"/>
  <c r="BP113" i="1"/>
  <c r="DC21" i="1"/>
  <c r="JC23" i="1" a="1"/>
  <c r="JD11" i="1" a="1"/>
  <c r="JD11" i="1" s="1"/>
  <c r="IH12" i="1"/>
  <c r="JD10" i="1" a="1"/>
  <c r="JD10" i="1" s="1"/>
  <c r="IH10" i="1"/>
  <c r="IH15" i="1"/>
  <c r="IH11" i="1"/>
  <c r="IH14" i="1"/>
  <c r="IH13" i="1"/>
  <c r="IX69" i="1"/>
  <c r="IW139" i="1"/>
  <c r="IG139" i="1" s="1"/>
  <c r="AQ139" i="1"/>
  <c r="AQ137" i="1"/>
  <c r="IW137" i="1"/>
  <c r="IG137" i="1" s="1"/>
  <c r="AQ138" i="1"/>
  <c r="IW138" i="1"/>
  <c r="IG138" i="1" s="1"/>
  <c r="AM141" i="1"/>
  <c r="AI141" i="1"/>
  <c r="AG141" i="1"/>
  <c r="AJ149" i="1"/>
  <c r="AM136" i="1"/>
  <c r="AJ148" i="1"/>
  <c r="AM150" i="1"/>
  <c r="AG150" i="1"/>
  <c r="AI150" i="1"/>
  <c r="IW143" i="1"/>
  <c r="IG143" i="1" s="1"/>
  <c r="AQ143" i="1"/>
  <c r="AJ140" i="1"/>
  <c r="AQ144" i="1"/>
  <c r="IW144" i="1"/>
  <c r="IG144" i="1" s="1"/>
  <c r="IW147" i="1"/>
  <c r="IG147" i="1" s="1"/>
  <c r="AQ147" i="1"/>
  <c r="AI139" i="1"/>
  <c r="AM139" i="1"/>
  <c r="AG139" i="1"/>
  <c r="BZ12" i="1"/>
  <c r="IX111" i="1"/>
  <c r="IS119" i="1"/>
  <c r="IS128" i="1"/>
  <c r="IX119" i="1"/>
  <c r="IS130" i="1"/>
  <c r="IX121" i="1"/>
  <c r="IX113" i="1"/>
  <c r="IS121" i="1"/>
  <c r="R273" i="7"/>
  <c r="R272" i="7"/>
  <c r="S272" i="7"/>
  <c r="S273" i="7"/>
  <c r="T272" i="7"/>
  <c r="T273" i="7"/>
  <c r="IX90" i="1"/>
  <c r="IX81" i="1"/>
  <c r="IX62" i="1"/>
  <c r="IX71" i="1"/>
  <c r="T245" i="7"/>
  <c r="Q245" i="7"/>
  <c r="R245" i="7"/>
  <c r="O245" i="7"/>
  <c r="S245" i="7"/>
  <c r="P245" i="7"/>
  <c r="IX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V71" i="1"/>
  <c r="V90" i="1"/>
  <c r="P53" i="1"/>
  <c r="S53" i="1" s="1"/>
  <c r="P40" i="1"/>
  <c r="S40" i="1" s="1"/>
  <c r="N40" i="1"/>
  <c r="BF40" i="1" s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O11" i="1"/>
  <c r="AA53" i="1"/>
  <c r="Z30" i="1"/>
  <c r="Z54" i="1"/>
  <c r="AA78" i="1"/>
  <c r="O65" i="1"/>
  <c r="Q65" i="1" s="1"/>
  <c r="AB122" i="1"/>
  <c r="AB114" i="1"/>
  <c r="O21" i="1"/>
  <c r="BG21" i="1" s="1"/>
  <c r="P110" i="1"/>
  <c r="S110" i="1" s="1"/>
  <c r="Y110" i="1" s="1"/>
  <c r="IX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Z87" i="1"/>
  <c r="AB81" i="1"/>
  <c r="P59" i="1"/>
  <c r="S59" i="1" s="1"/>
  <c r="Y59" i="1" s="1"/>
  <c r="AB59" i="1"/>
  <c r="O53" i="1"/>
  <c r="Z47" i="1"/>
  <c r="AB45" i="1"/>
  <c r="O45" i="1"/>
  <c r="BG45" i="1" s="1"/>
  <c r="N38" i="1"/>
  <c r="O38" i="1"/>
  <c r="AB36" i="1"/>
  <c r="AA36" i="1"/>
  <c r="N27" i="1"/>
  <c r="BF27" i="1" s="1"/>
  <c r="BI27" i="1" s="1"/>
  <c r="N15" i="1"/>
  <c r="O12" i="1"/>
  <c r="BG12" i="1" s="1"/>
  <c r="AA11" i="1"/>
  <c r="AA15" i="1"/>
  <c r="P47" i="1"/>
  <c r="S47" i="1" s="1"/>
  <c r="AB111" i="1"/>
  <c r="O79" i="1"/>
  <c r="N95" i="1"/>
  <c r="AA23" i="1"/>
  <c r="AB31" i="1"/>
  <c r="N111" i="1"/>
  <c r="R111" i="1" s="1"/>
  <c r="X111" i="1" s="1"/>
  <c r="IR119" i="1" s="1"/>
  <c r="O43" i="1"/>
  <c r="AA91" i="1"/>
  <c r="AA75" i="1"/>
  <c r="AC75" i="1" s="1"/>
  <c r="AA19" i="1"/>
  <c r="N75" i="1"/>
  <c r="P91" i="1"/>
  <c r="S91" i="1" s="1"/>
  <c r="Y91" i="1" s="1"/>
  <c r="N91" i="1"/>
  <c r="Q91" i="1" s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O27" i="1"/>
  <c r="BG27" i="1" s="1"/>
  <c r="Z21" i="1"/>
  <c r="AB19" i="1"/>
  <c r="P19" i="1"/>
  <c r="S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P45" i="1"/>
  <c r="S45" i="1" s="1"/>
  <c r="N45" i="1"/>
  <c r="BF45" i="1" s="1"/>
  <c r="BI45" i="1" s="1"/>
  <c r="AA45" i="1"/>
  <c r="Z45" i="1"/>
  <c r="N43" i="1"/>
  <c r="Z36" i="1"/>
  <c r="AA35" i="1"/>
  <c r="O35" i="1"/>
  <c r="N31" i="1"/>
  <c r="O23" i="1"/>
  <c r="N23" i="1"/>
  <c r="P23" i="1"/>
  <c r="S23" i="1" s="1"/>
  <c r="Z23" i="1"/>
  <c r="AB15" i="1"/>
  <c r="AB12" i="1"/>
  <c r="N12" i="1"/>
  <c r="BF12" i="1" s="1"/>
  <c r="N11" i="1"/>
  <c r="N18" i="1"/>
  <c r="Z40" i="1"/>
  <c r="Z26" i="1"/>
  <c r="AB38" i="1"/>
  <c r="O62" i="1"/>
  <c r="P94" i="1"/>
  <c r="S94" i="1" s="1"/>
  <c r="Y94" i="1" s="1"/>
  <c r="AA42" i="1"/>
  <c r="AA90" i="1"/>
  <c r="Z90" i="1"/>
  <c r="AA70" i="1"/>
  <c r="N90" i="1"/>
  <c r="AB40" i="1"/>
  <c r="O94" i="1"/>
  <c r="P66" i="1"/>
  <c r="S66" i="1" s="1"/>
  <c r="Y66" i="1" s="1"/>
  <c r="AA86" i="1"/>
  <c r="Z94" i="1"/>
  <c r="Z86" i="1"/>
  <c r="AB42" i="1"/>
  <c r="Z106" i="1"/>
  <c r="N106" i="1"/>
  <c r="P18" i="1"/>
  <c r="S18" i="1" s="1"/>
  <c r="AA40" i="1"/>
  <c r="Z98" i="1"/>
  <c r="CI21" i="1"/>
  <c r="O40" i="1"/>
  <c r="BG40" i="1" s="1"/>
  <c r="AA26" i="1"/>
  <c r="AB54" i="1"/>
  <c r="AA102" i="1"/>
  <c r="P78" i="1"/>
  <c r="S78" i="1" s="1"/>
  <c r="Y78" i="1" s="1"/>
  <c r="Z22" i="1"/>
  <c r="P74" i="1"/>
  <c r="S74" i="1" s="1"/>
  <c r="Y74" i="1" s="1"/>
  <c r="P98" i="1"/>
  <c r="S98" i="1" s="1"/>
  <c r="Y98" i="1" s="1"/>
  <c r="AB86" i="1"/>
  <c r="N62" i="1"/>
  <c r="P39" i="1"/>
  <c r="S39" i="1" s="1"/>
  <c r="O106" i="1"/>
  <c r="Q106" i="1" s="1"/>
  <c r="Z38" i="1"/>
  <c r="N30" i="1"/>
  <c r="P46" i="1"/>
  <c r="S46" i="1" s="1"/>
  <c r="O47" i="1"/>
  <c r="P102" i="1"/>
  <c r="S102" i="1" s="1"/>
  <c r="Y102" i="1" s="1"/>
  <c r="P22" i="1"/>
  <c r="S22" i="1" s="1"/>
  <c r="AB74" i="1"/>
  <c r="O98" i="1"/>
  <c r="AB39" i="1"/>
  <c r="AA32" i="1"/>
  <c r="O26" i="1"/>
  <c r="AB48" i="1"/>
  <c r="AA30" i="1"/>
  <c r="P54" i="1"/>
  <c r="S54" i="1" s="1"/>
  <c r="P87" i="1"/>
  <c r="S87" i="1" s="1"/>
  <c r="Y87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Z51" i="1"/>
  <c r="AA51" i="1"/>
  <c r="N51" i="1"/>
  <c r="BF51" i="1" s="1"/>
  <c r="BI51" i="1" s="1"/>
  <c r="P51" i="1"/>
  <c r="S51" i="1" s="1"/>
  <c r="O51" i="1"/>
  <c r="BG51" i="1" s="1"/>
  <c r="AB51" i="1"/>
  <c r="P50" i="1"/>
  <c r="S50" i="1" s="1"/>
  <c r="N50" i="1"/>
  <c r="Z50" i="1"/>
  <c r="AB50" i="1"/>
  <c r="O50" i="1"/>
  <c r="AV49" i="1"/>
  <c r="Z48" i="1"/>
  <c r="O48" i="1"/>
  <c r="N48" i="1"/>
  <c r="AB46" i="1"/>
  <c r="Z43" i="1"/>
  <c r="N42" i="1"/>
  <c r="GJ40" i="1"/>
  <c r="GK40" i="1" s="1"/>
  <c r="AA38" i="1"/>
  <c r="P38" i="1"/>
  <c r="S38" i="1" s="1"/>
  <c r="AB35" i="1"/>
  <c r="Z35" i="1"/>
  <c r="P35" i="1"/>
  <c r="S35" i="1" s="1"/>
  <c r="AV35" i="1"/>
  <c r="O32" i="1"/>
  <c r="Q32" i="1" s="1"/>
  <c r="AB32" i="1"/>
  <c r="Z31" i="1"/>
  <c r="O31" i="1"/>
  <c r="P31" i="1"/>
  <c r="S31" i="1" s="1"/>
  <c r="AV30" i="1"/>
  <c r="AB27" i="1"/>
  <c r="AA27" i="1"/>
  <c r="N26" i="1"/>
  <c r="P26" i="1"/>
  <c r="S26" i="1" s="1"/>
  <c r="AB26" i="1"/>
  <c r="AB22" i="1"/>
  <c r="AA22" i="1"/>
  <c r="O22" i="1"/>
  <c r="N22" i="1"/>
  <c r="BD21" i="1"/>
  <c r="DH21" i="1" s="1"/>
  <c r="BY21" i="1"/>
  <c r="BZ21" i="1"/>
  <c r="DF21" i="1"/>
  <c r="GL21" i="1"/>
  <c r="GJ21" i="1"/>
  <c r="GK21" i="1" s="1"/>
  <c r="DD21" i="1"/>
  <c r="BW21" i="1"/>
  <c r="GW21" i="1"/>
  <c r="BV21" i="1"/>
  <c r="DB21" i="1"/>
  <c r="CO21" i="1"/>
  <c r="DE21" i="1"/>
  <c r="BT21" i="1"/>
  <c r="Z18" i="1"/>
  <c r="AB18" i="1"/>
  <c r="O18" i="1"/>
  <c r="P14" i="1"/>
  <c r="S14" i="1" s="1"/>
  <c r="N14" i="1"/>
  <c r="O14" i="1"/>
  <c r="P12" i="1"/>
  <c r="S12" i="1" s="1"/>
  <c r="AA12" i="1"/>
  <c r="CO12" i="1"/>
  <c r="DE12" i="1"/>
  <c r="P11" i="1"/>
  <c r="S11" i="1" s="1"/>
  <c r="AB11" i="1"/>
  <c r="Q9" i="1"/>
  <c r="N207" i="7"/>
  <c r="AV52" i="1"/>
  <c r="AV116" i="1"/>
  <c r="N271" i="7"/>
  <c r="N175" i="7"/>
  <c r="AV20" i="1"/>
  <c r="AV76" i="1"/>
  <c r="BP76" i="1" s="1"/>
  <c r="N231" i="7"/>
  <c r="AV60" i="1"/>
  <c r="N215" i="7"/>
  <c r="AV84" i="1"/>
  <c r="N239" i="7"/>
  <c r="N183" i="7"/>
  <c r="AV28" i="1"/>
  <c r="AV92" i="1"/>
  <c r="N247" i="7"/>
  <c r="N191" i="7"/>
  <c r="AV36" i="1"/>
  <c r="AV124" i="1"/>
  <c r="N279" i="7"/>
  <c r="N166" i="7"/>
  <c r="AV11" i="1"/>
  <c r="AV68" i="1"/>
  <c r="N223" i="7"/>
  <c r="AV108" i="1"/>
  <c r="N263" i="7"/>
  <c r="N199" i="7"/>
  <c r="AV44" i="1"/>
  <c r="AV100" i="1"/>
  <c r="N255" i="7"/>
  <c r="AV61" i="1"/>
  <c r="N216" i="7"/>
  <c r="AV69" i="1"/>
  <c r="N224" i="7"/>
  <c r="AV77" i="1"/>
  <c r="N232" i="7"/>
  <c r="AV85" i="1"/>
  <c r="N240" i="7"/>
  <c r="AV93" i="1"/>
  <c r="N248" i="7"/>
  <c r="AV101" i="1"/>
  <c r="N256" i="7"/>
  <c r="AV109" i="1"/>
  <c r="N264" i="7"/>
  <c r="AV117" i="1"/>
  <c r="N272" i="7"/>
  <c r="AV125" i="1"/>
  <c r="N280" i="7"/>
  <c r="FJ113" i="1"/>
  <c r="AV13" i="1"/>
  <c r="N168" i="7"/>
  <c r="AV22" i="1"/>
  <c r="N177" i="7"/>
  <c r="AV38" i="1"/>
  <c r="N193" i="7"/>
  <c r="AV46" i="1"/>
  <c r="N201" i="7"/>
  <c r="AV54" i="1"/>
  <c r="N209" i="7"/>
  <c r="AV62" i="1"/>
  <c r="N217" i="7"/>
  <c r="AV70" i="1"/>
  <c r="N225" i="7"/>
  <c r="AV78" i="1"/>
  <c r="N233" i="7"/>
  <c r="AV86" i="1"/>
  <c r="N241" i="7"/>
  <c r="AV94" i="1"/>
  <c r="N249" i="7"/>
  <c r="AV102" i="1"/>
  <c r="N257" i="7"/>
  <c r="AV110" i="1"/>
  <c r="N265" i="7"/>
  <c r="AV118" i="1"/>
  <c r="N273" i="7"/>
  <c r="AV126" i="1"/>
  <c r="N281" i="7"/>
  <c r="EY113" i="1"/>
  <c r="FE113" i="1"/>
  <c r="AV112" i="1"/>
  <c r="AV14" i="1"/>
  <c r="N169" i="7"/>
  <c r="AV23" i="1"/>
  <c r="N178" i="7"/>
  <c r="AV31" i="1"/>
  <c r="N186" i="7"/>
  <c r="AV39" i="1"/>
  <c r="N194" i="7"/>
  <c r="N202" i="7"/>
  <c r="AV55" i="1"/>
  <c r="N210" i="7"/>
  <c r="AV63" i="1"/>
  <c r="N218" i="7"/>
  <c r="AV71" i="1"/>
  <c r="N226" i="7"/>
  <c r="AV79" i="1"/>
  <c r="N234" i="7"/>
  <c r="AV87" i="1"/>
  <c r="N242" i="7"/>
  <c r="AV95" i="1"/>
  <c r="N250" i="7"/>
  <c r="AV103" i="1"/>
  <c r="N258" i="7"/>
  <c r="AV111" i="1"/>
  <c r="N266" i="7"/>
  <c r="AV119" i="1"/>
  <c r="N274" i="7"/>
  <c r="AV127" i="1"/>
  <c r="N282" i="7"/>
  <c r="AV15" i="1"/>
  <c r="N170" i="7"/>
  <c r="AV24" i="1"/>
  <c r="N179" i="7"/>
  <c r="AV32" i="1"/>
  <c r="N187" i="7"/>
  <c r="AV48" i="1"/>
  <c r="N203" i="7"/>
  <c r="AV56" i="1"/>
  <c r="N211" i="7"/>
  <c r="AV64" i="1"/>
  <c r="N219" i="7"/>
  <c r="AV72" i="1"/>
  <c r="N227" i="7"/>
  <c r="AV80" i="1"/>
  <c r="BP80" i="1" s="1"/>
  <c r="N235" i="7"/>
  <c r="AV88" i="1"/>
  <c r="BP88" i="1" s="1"/>
  <c r="N243" i="7"/>
  <c r="AV96" i="1"/>
  <c r="N251" i="7"/>
  <c r="AV104" i="1"/>
  <c r="N259" i="7"/>
  <c r="AV120" i="1"/>
  <c r="N275" i="7"/>
  <c r="AV128" i="1"/>
  <c r="N283" i="7"/>
  <c r="AV17" i="1"/>
  <c r="N172" i="7"/>
  <c r="AV33" i="1"/>
  <c r="N188" i="7"/>
  <c r="AV41" i="1"/>
  <c r="N196" i="7"/>
  <c r="AV57" i="1"/>
  <c r="N212" i="7"/>
  <c r="AV65" i="1"/>
  <c r="N220" i="7"/>
  <c r="AV73" i="1"/>
  <c r="N228" i="7"/>
  <c r="AV81" i="1"/>
  <c r="BP81" i="1" s="1"/>
  <c r="N236" i="7"/>
  <c r="AV89" i="1"/>
  <c r="N244" i="7"/>
  <c r="AV97" i="1"/>
  <c r="N252" i="7"/>
  <c r="AV105" i="1"/>
  <c r="N260" i="7"/>
  <c r="AV121" i="1"/>
  <c r="N276" i="7"/>
  <c r="AV129" i="1"/>
  <c r="N284" i="7"/>
  <c r="EW113" i="1"/>
  <c r="EV113" i="1"/>
  <c r="M169" i="7"/>
  <c r="AA14" i="1"/>
  <c r="Z14" i="1"/>
  <c r="AB14" i="1"/>
  <c r="AV9" i="1"/>
  <c r="N164" i="7"/>
  <c r="AV18" i="1"/>
  <c r="N173" i="7"/>
  <c r="AV26" i="1"/>
  <c r="N181" i="7"/>
  <c r="AV34" i="1"/>
  <c r="N189" i="7"/>
  <c r="AV42" i="1"/>
  <c r="N197" i="7"/>
  <c r="AV50" i="1"/>
  <c r="N205" i="7"/>
  <c r="AV58" i="1"/>
  <c r="N213" i="7"/>
  <c r="AV66" i="1"/>
  <c r="N221" i="7"/>
  <c r="AV74" i="1"/>
  <c r="N229" i="7"/>
  <c r="AV82" i="1"/>
  <c r="N237" i="7"/>
  <c r="AV90" i="1"/>
  <c r="N245" i="7"/>
  <c r="AV98" i="1"/>
  <c r="N253" i="7"/>
  <c r="AV106" i="1"/>
  <c r="N261" i="7"/>
  <c r="AV114" i="1"/>
  <c r="N269" i="7"/>
  <c r="AV122" i="1"/>
  <c r="N277" i="7"/>
  <c r="FW113" i="1"/>
  <c r="AV10" i="1"/>
  <c r="N165" i="7"/>
  <c r="AV59" i="1"/>
  <c r="N214" i="7"/>
  <c r="AV67" i="1"/>
  <c r="N222" i="7"/>
  <c r="AV75" i="1"/>
  <c r="N230" i="7"/>
  <c r="AV83" i="1"/>
  <c r="N238" i="7"/>
  <c r="AV91" i="1"/>
  <c r="N246" i="7"/>
  <c r="AV99" i="1"/>
  <c r="N254" i="7"/>
  <c r="AV107" i="1"/>
  <c r="N262" i="7"/>
  <c r="AV115" i="1"/>
  <c r="BP115" i="1" s="1"/>
  <c r="N270" i="7"/>
  <c r="AV123" i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O60" i="1"/>
  <c r="GW12" i="1"/>
  <c r="AJ138" i="1"/>
  <c r="AG138" i="1"/>
  <c r="AB92" i="1"/>
  <c r="P85" i="1"/>
  <c r="S85" i="1" s="1"/>
  <c r="Y85" i="1" s="1"/>
  <c r="BS12" i="1"/>
  <c r="AC119" i="1"/>
  <c r="AF119" i="1"/>
  <c r="AI119" i="1" s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IR110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BG37" i="1" s="1"/>
  <c r="Z37" i="1"/>
  <c r="AA37" i="1"/>
  <c r="N37" i="1"/>
  <c r="BF37" i="1" s="1"/>
  <c r="BI37" i="1" s="1"/>
  <c r="M184" i="7"/>
  <c r="O29" i="1"/>
  <c r="BG29" i="1" s="1"/>
  <c r="P29" i="1"/>
  <c r="S29" i="1" s="1"/>
  <c r="AB29" i="1"/>
  <c r="AC29" i="1" s="1"/>
  <c r="M176" i="7"/>
  <c r="N21" i="1"/>
  <c r="BF21" i="1" s="1"/>
  <c r="AA21" i="1"/>
  <c r="AB21" i="1"/>
  <c r="Z116" i="1"/>
  <c r="N116" i="1"/>
  <c r="AB116" i="1"/>
  <c r="P116" i="1"/>
  <c r="S116" i="1" s="1"/>
  <c r="Y116" i="1" s="1"/>
  <c r="IX116" i="1" s="1"/>
  <c r="O116" i="1"/>
  <c r="O108" i="1"/>
  <c r="N108" i="1"/>
  <c r="Z108" i="1"/>
  <c r="AB108" i="1"/>
  <c r="AA108" i="1"/>
  <c r="P108" i="1"/>
  <c r="S108" i="1" s="1"/>
  <c r="Y108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AA68" i="1"/>
  <c r="N68" i="1"/>
  <c r="Z68" i="1"/>
  <c r="Z60" i="1"/>
  <c r="P60" i="1"/>
  <c r="S60" i="1" s="1"/>
  <c r="Y60" i="1" s="1"/>
  <c r="AB60" i="1"/>
  <c r="M207" i="7"/>
  <c r="Z52" i="1"/>
  <c r="N52" i="1"/>
  <c r="AB52" i="1"/>
  <c r="M191" i="7"/>
  <c r="N36" i="1"/>
  <c r="R36" i="1" s="1"/>
  <c r="R121" i="1"/>
  <c r="X121" i="1" s="1"/>
  <c r="IW121" i="1" s="1"/>
  <c r="IG121" i="1" s="1"/>
  <c r="AJ137" i="1"/>
  <c r="O42" i="1"/>
  <c r="BV37" i="1"/>
  <c r="CI12" i="1"/>
  <c r="P49" i="1"/>
  <c r="S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GK12" i="1" s="1"/>
  <c r="O87" i="1"/>
  <c r="AA57" i="1"/>
  <c r="P65" i="1"/>
  <c r="S65" i="1" s="1"/>
  <c r="Y65" i="1" s="1"/>
  <c r="N79" i="1"/>
  <c r="AA87" i="1"/>
  <c r="O55" i="1"/>
  <c r="BV12" i="1"/>
  <c r="HI12" i="1"/>
  <c r="BD12" i="1"/>
  <c r="DH12" i="1" s="1"/>
  <c r="Z57" i="1"/>
  <c r="AA73" i="1"/>
  <c r="AA79" i="1"/>
  <c r="AA55" i="1"/>
  <c r="AB63" i="1"/>
  <c r="DG12" i="1"/>
  <c r="GL12" i="1"/>
  <c r="AB57" i="1"/>
  <c r="N73" i="1"/>
  <c r="Q73" i="1" s="1"/>
  <c r="P79" i="1"/>
  <c r="S79" i="1" s="1"/>
  <c r="Y79" i="1" s="1"/>
  <c r="AA71" i="1"/>
  <c r="DB12" i="1"/>
  <c r="DC12" i="1"/>
  <c r="O49" i="1"/>
  <c r="AB73" i="1"/>
  <c r="DD12" i="1"/>
  <c r="AZ12" i="1"/>
  <c r="GM12" i="1" s="1"/>
  <c r="BT12" i="1"/>
  <c r="Z39" i="1"/>
  <c r="N86" i="1"/>
  <c r="O84" i="1"/>
  <c r="N84" i="1"/>
  <c r="O83" i="1"/>
  <c r="Z63" i="1"/>
  <c r="Y63" i="1"/>
  <c r="N63" i="1"/>
  <c r="AA63" i="1"/>
  <c r="P55" i="1"/>
  <c r="S55" i="1" s="1"/>
  <c r="Y55" i="1" s="1"/>
  <c r="N55" i="1"/>
  <c r="BW51" i="1"/>
  <c r="CO51" i="1"/>
  <c r="P48" i="1"/>
  <c r="S48" i="1" s="1"/>
  <c r="AB43" i="1"/>
  <c r="BT37" i="1"/>
  <c r="DD37" i="1"/>
  <c r="BS37" i="1"/>
  <c r="CI37" i="1"/>
  <c r="DB25" i="1"/>
  <c r="BY12" i="1"/>
  <c r="AB80" i="1"/>
  <c r="AA80" i="1"/>
  <c r="Z80" i="1"/>
  <c r="O64" i="1"/>
  <c r="AA64" i="1"/>
  <c r="N64" i="1"/>
  <c r="Z64" i="1"/>
  <c r="M196" i="7"/>
  <c r="P41" i="1"/>
  <c r="S41" i="1" s="1"/>
  <c r="Z41" i="1"/>
  <c r="AB41" i="1"/>
  <c r="O41" i="1"/>
  <c r="N41" i="1"/>
  <c r="M188" i="7"/>
  <c r="AA33" i="1"/>
  <c r="Z33" i="1"/>
  <c r="N33" i="1"/>
  <c r="O33" i="1"/>
  <c r="P33" i="1"/>
  <c r="S33" i="1" s="1"/>
  <c r="N25" i="1"/>
  <c r="BF25" i="1" s="1"/>
  <c r="P25" i="1"/>
  <c r="S25" i="1" s="1"/>
  <c r="Z25" i="1"/>
  <c r="O25" i="1"/>
  <c r="BG25" i="1" s="1"/>
  <c r="M172" i="7"/>
  <c r="AA17" i="1"/>
  <c r="P17" i="1"/>
  <c r="S17" i="1" s="1"/>
  <c r="O17" i="1"/>
  <c r="N17" i="1"/>
  <c r="Z17" i="1"/>
  <c r="Z56" i="1"/>
  <c r="O78" i="1"/>
  <c r="Z78" i="1"/>
  <c r="AA106" i="1"/>
  <c r="AB106" i="1"/>
  <c r="N39" i="1"/>
  <c r="P129" i="1"/>
  <c r="S129" i="1" s="1"/>
  <c r="Y129" i="1" s="1"/>
  <c r="IX129" i="1" s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AB129" i="1"/>
  <c r="AF129" i="1" s="1"/>
  <c r="AB124" i="1"/>
  <c r="P124" i="1"/>
  <c r="S124" i="1" s="1"/>
  <c r="Y124" i="1" s="1"/>
  <c r="Z124" i="1"/>
  <c r="AA124" i="1"/>
  <c r="O124" i="1"/>
  <c r="Q124" i="1" s="1"/>
  <c r="V121" i="1"/>
  <c r="V119" i="1"/>
  <c r="AD119" i="1"/>
  <c r="AH119" i="1" s="1"/>
  <c r="AE119" i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6" i="1"/>
  <c r="AE102" i="1"/>
  <c r="V81" i="1"/>
  <c r="V69" i="1"/>
  <c r="V62" i="1"/>
  <c r="V58" i="1"/>
  <c r="AB56" i="1"/>
  <c r="GJ45" i="1"/>
  <c r="GK45" i="1" s="1"/>
  <c r="BW40" i="1"/>
  <c r="GW29" i="1"/>
  <c r="BZ29" i="1"/>
  <c r="BW25" i="1"/>
  <c r="CI25" i="1"/>
  <c r="CO25" i="1"/>
  <c r="GJ25" i="1"/>
  <c r="GK25" i="1" s="1"/>
  <c r="AA16" i="1"/>
  <c r="AB16" i="1"/>
  <c r="P16" i="1"/>
  <c r="S16" i="1" s="1"/>
  <c r="Z16" i="1"/>
  <c r="HI16" i="1"/>
  <c r="BY16" i="1"/>
  <c r="DB16" i="1"/>
  <c r="BG16" i="1"/>
  <c r="GL16" i="1"/>
  <c r="N10" i="1"/>
  <c r="O10" i="1"/>
  <c r="P10" i="1"/>
  <c r="S10" i="1" s="1"/>
  <c r="BZ27" i="1"/>
  <c r="DF27" i="1"/>
  <c r="DE27" i="1"/>
  <c r="GL27" i="1"/>
  <c r="HI27" i="1"/>
  <c r="DD27" i="1"/>
  <c r="BY27" i="1"/>
  <c r="BD27" i="1"/>
  <c r="DH27" i="1" s="1"/>
  <c r="DC27" i="1"/>
  <c r="BT27" i="1"/>
  <c r="CI27" i="1"/>
  <c r="GW27" i="1"/>
  <c r="BW27" i="1"/>
  <c r="BV27" i="1"/>
  <c r="GJ27" i="1"/>
  <c r="GK27" i="1" s="1"/>
  <c r="BS27" i="1"/>
  <c r="AZ27" i="1"/>
  <c r="GM27" i="1" s="1"/>
  <c r="DB27" i="1"/>
  <c r="DG27" i="1"/>
  <c r="CO27" i="1"/>
  <c r="GJ51" i="1"/>
  <c r="GK51" i="1" s="1"/>
  <c r="CI51" i="1"/>
  <c r="DB51" i="1"/>
  <c r="BD51" i="1"/>
  <c r="DH51" i="1" s="1"/>
  <c r="DC51" i="1"/>
  <c r="BV51" i="1"/>
  <c r="DE51" i="1"/>
  <c r="M280" i="7"/>
  <c r="N125" i="1"/>
  <c r="P125" i="1"/>
  <c r="S125" i="1" s="1"/>
  <c r="Y125" i="1" s="1"/>
  <c r="AB125" i="1"/>
  <c r="AA125" i="1"/>
  <c r="M272" i="7"/>
  <c r="M264" i="7"/>
  <c r="P109" i="1"/>
  <c r="S109" i="1" s="1"/>
  <c r="Y109" i="1" s="1"/>
  <c r="IX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X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AB34" i="1"/>
  <c r="P20" i="1"/>
  <c r="S20" i="1" s="1"/>
  <c r="AA20" i="1"/>
  <c r="O20" i="1"/>
  <c r="Z20" i="1"/>
  <c r="AB20" i="1"/>
  <c r="M168" i="7"/>
  <c r="AB13" i="1"/>
  <c r="AD13" i="1" s="1"/>
  <c r="N13" i="1"/>
  <c r="P13" i="1"/>
  <c r="S13" i="1" s="1"/>
  <c r="DD16" i="1"/>
  <c r="AZ16" i="1"/>
  <c r="DE16" i="1"/>
  <c r="GW16" i="1"/>
  <c r="DF16" i="1"/>
  <c r="BF16" i="1"/>
  <c r="BT16" i="1"/>
  <c r="GJ16" i="1"/>
  <c r="GK16" i="1" s="1"/>
  <c r="CI16" i="1"/>
  <c r="BV16" i="1"/>
  <c r="BZ16" i="1"/>
  <c r="BS16" i="1"/>
  <c r="DG16" i="1"/>
  <c r="DC16" i="1"/>
  <c r="BD16" i="1"/>
  <c r="DH16" i="1" s="1"/>
  <c r="CO16" i="1"/>
  <c r="BW16" i="1"/>
  <c r="HI25" i="1"/>
  <c r="BS25" i="1"/>
  <c r="BT25" i="1"/>
  <c r="BD25" i="1"/>
  <c r="DH25" i="1" s="1"/>
  <c r="DD25" i="1"/>
  <c r="BZ25" i="1"/>
  <c r="AZ25" i="1"/>
  <c r="GM25" i="1" s="1"/>
  <c r="GL25" i="1"/>
  <c r="DC25" i="1"/>
  <c r="DG25" i="1"/>
  <c r="BY25" i="1"/>
  <c r="BV25" i="1"/>
  <c r="GW25" i="1"/>
  <c r="DF25" i="1"/>
  <c r="DE25" i="1"/>
  <c r="BZ45" i="1"/>
  <c r="GW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X107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BW29" i="1"/>
  <c r="BT51" i="1"/>
  <c r="Z120" i="1"/>
  <c r="O120" i="1"/>
  <c r="AB120" i="1"/>
  <c r="AA120" i="1"/>
  <c r="N120" i="1"/>
  <c r="P112" i="1"/>
  <c r="S112" i="1" s="1"/>
  <c r="Y112" i="1" s="1"/>
  <c r="Z112" i="1"/>
  <c r="AA112" i="1"/>
  <c r="N112" i="1"/>
  <c r="M259" i="7"/>
  <c r="Z104" i="1"/>
  <c r="N104" i="1"/>
  <c r="P104" i="1"/>
  <c r="S104" i="1" s="1"/>
  <c r="Y104" i="1" s="1"/>
  <c r="IS113" i="1" s="1"/>
  <c r="AB104" i="1"/>
  <c r="O104" i="1"/>
  <c r="AA104" i="1"/>
  <c r="AB96" i="1"/>
  <c r="P96" i="1"/>
  <c r="S96" i="1" s="1"/>
  <c r="Y96" i="1" s="1"/>
  <c r="AA96" i="1"/>
  <c r="DG51" i="1"/>
  <c r="N127" i="1"/>
  <c r="BZ40" i="1"/>
  <c r="BY40" i="1"/>
  <c r="DF40" i="1"/>
  <c r="GL40" i="1"/>
  <c r="DC40" i="1"/>
  <c r="AZ40" i="1"/>
  <c r="GM40" i="1" s="1"/>
  <c r="CI40" i="1"/>
  <c r="DE40" i="1"/>
  <c r="BT40" i="1"/>
  <c r="CO40" i="1"/>
  <c r="BV40" i="1"/>
  <c r="BS40" i="1"/>
  <c r="HI40" i="1"/>
  <c r="DB40" i="1"/>
  <c r="DG40" i="1"/>
  <c r="BD40" i="1"/>
  <c r="DH40" i="1" s="1"/>
  <c r="AZ51" i="1"/>
  <c r="GM51" i="1" s="1"/>
  <c r="DF51" i="1"/>
  <c r="GL51" i="1"/>
  <c r="GW51" i="1"/>
  <c r="DD51" i="1"/>
  <c r="BS51" i="1"/>
  <c r="BZ51" i="1"/>
  <c r="BY51" i="1"/>
  <c r="BD29" i="1"/>
  <c r="DH29" i="1" s="1"/>
  <c r="DF29" i="1"/>
  <c r="DG29" i="1"/>
  <c r="DB29" i="1"/>
  <c r="DC29" i="1"/>
  <c r="CO29" i="1"/>
  <c r="GL29" i="1"/>
  <c r="BS29" i="1"/>
  <c r="DD29" i="1"/>
  <c r="DE29" i="1"/>
  <c r="CI29" i="1"/>
  <c r="AZ29" i="1"/>
  <c r="GM29" i="1" s="1"/>
  <c r="BY29" i="1"/>
  <c r="GJ29" i="1"/>
  <c r="GK29" i="1" s="1"/>
  <c r="HI29" i="1"/>
  <c r="BT29" i="1"/>
  <c r="GW40" i="1"/>
  <c r="HI19" i="1"/>
  <c r="BV29" i="1"/>
  <c r="N44" i="1"/>
  <c r="O44" i="1"/>
  <c r="AB44" i="1"/>
  <c r="AA44" i="1"/>
  <c r="M187" i="7"/>
  <c r="P32" i="1"/>
  <c r="S32" i="1" s="1"/>
  <c r="Z32" i="1"/>
  <c r="M179" i="7"/>
  <c r="N24" i="1"/>
  <c r="AB24" i="1"/>
  <c r="Z24" i="1"/>
  <c r="O24" i="1"/>
  <c r="P24" i="1"/>
  <c r="S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W37" i="1"/>
  <c r="GW37" i="1"/>
  <c r="CO19" i="1"/>
  <c r="DG21" i="1"/>
  <c r="BS45" i="1"/>
  <c r="AE7" i="1"/>
  <c r="AL7" i="1"/>
  <c r="CO37" i="1"/>
  <c r="BY37" i="1"/>
  <c r="CI19" i="1"/>
  <c r="DB19" i="1"/>
  <c r="BT45" i="1"/>
  <c r="M220" i="7"/>
  <c r="Z65" i="1"/>
  <c r="M212" i="7"/>
  <c r="HI37" i="1"/>
  <c r="DE19" i="1"/>
  <c r="BY45" i="1"/>
  <c r="BW45" i="1"/>
  <c r="BV45" i="1"/>
  <c r="BD37" i="1"/>
  <c r="DH37" i="1" s="1"/>
  <c r="GJ37" i="1"/>
  <c r="GL37" i="1"/>
  <c r="DB37" i="1"/>
  <c r="BT19" i="1"/>
  <c r="HI45" i="1"/>
  <c r="HI21" i="1"/>
  <c r="CI45" i="1"/>
  <c r="GL45" i="1"/>
  <c r="AZ37" i="1"/>
  <c r="BZ37" i="1"/>
  <c r="DC37" i="1"/>
  <c r="BZ19" i="1"/>
  <c r="DD45" i="1"/>
  <c r="AZ45" i="1"/>
  <c r="BS21" i="1"/>
  <c r="DB45" i="1"/>
  <c r="DG37" i="1"/>
  <c r="BF19" i="1"/>
  <c r="BD45" i="1"/>
  <c r="DH45" i="1" s="1"/>
  <c r="DF45" i="1"/>
  <c r="DE37" i="1"/>
  <c r="BW19" i="1"/>
  <c r="DC45" i="1"/>
  <c r="DE45" i="1"/>
  <c r="CO45" i="1"/>
  <c r="AZ21" i="1"/>
  <c r="GM21" i="1" s="1"/>
  <c r="DG45" i="1"/>
  <c r="Z19" i="1"/>
  <c r="Z83" i="1"/>
  <c r="M243" i="7"/>
  <c r="N88" i="1"/>
  <c r="AA88" i="1"/>
  <c r="AB88" i="1"/>
  <c r="P88" i="1"/>
  <c r="S88" i="1" s="1"/>
  <c r="Y88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AA76" i="1"/>
  <c r="N76" i="1"/>
  <c r="AA52" i="1"/>
  <c r="M276" i="7"/>
  <c r="Q121" i="1"/>
  <c r="AA121" i="1"/>
  <c r="Z121" i="1"/>
  <c r="M244" i="7"/>
  <c r="P89" i="1"/>
  <c r="S89" i="1" s="1"/>
  <c r="Y89" i="1" s="1"/>
  <c r="M237" i="7"/>
  <c r="N82" i="1"/>
  <c r="R82" i="1" s="1"/>
  <c r="X82" i="1" s="1"/>
  <c r="IW82" i="1" s="1"/>
  <c r="IG82" i="1" s="1"/>
  <c r="N61" i="1"/>
  <c r="DA113" i="1"/>
  <c r="CY113" i="1"/>
  <c r="CS113" i="1"/>
  <c r="CE113" i="1"/>
  <c r="BK113" i="1"/>
  <c r="M224" i="7"/>
  <c r="AA69" i="1"/>
  <c r="M216" i="7"/>
  <c r="AB61" i="1"/>
  <c r="Z61" i="1"/>
  <c r="AA61" i="1"/>
  <c r="N80" i="1"/>
  <c r="AB55" i="1"/>
  <c r="AA31" i="1"/>
  <c r="BG43" i="1"/>
  <c r="BV43" i="1"/>
  <c r="DE43" i="1"/>
  <c r="BD43" i="1"/>
  <c r="DH43" i="1" s="1"/>
  <c r="BW43" i="1"/>
  <c r="CO43" i="1"/>
  <c r="BS43" i="1"/>
  <c r="GJ43" i="1"/>
  <c r="GK43" i="1" s="1"/>
  <c r="BZ43" i="1"/>
  <c r="DD43" i="1"/>
  <c r="DB43" i="1"/>
  <c r="GW43" i="1"/>
  <c r="AZ43" i="1"/>
  <c r="GM43" i="1" s="1"/>
  <c r="HI43" i="1"/>
  <c r="BY43" i="1"/>
  <c r="DF43" i="1"/>
  <c r="CI43" i="1"/>
  <c r="DG43" i="1"/>
  <c r="M258" i="7"/>
  <c r="N103" i="1"/>
  <c r="Z103" i="1"/>
  <c r="P103" i="1"/>
  <c r="S103" i="1" s="1"/>
  <c r="Y103" i="1" s="1"/>
  <c r="IX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AK7" i="1"/>
  <c r="AD7" i="1"/>
  <c r="BT43" i="1"/>
  <c r="BF43" i="1"/>
  <c r="BI43" i="1" s="1"/>
  <c r="DC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O72" i="1"/>
  <c r="M199" i="7"/>
  <c r="P44" i="1"/>
  <c r="S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IX128" i="1" s="1"/>
  <c r="O128" i="1"/>
  <c r="AB128" i="1"/>
  <c r="N128" i="1"/>
  <c r="M260" i="7"/>
  <c r="P105" i="1"/>
  <c r="S105" i="1" s="1"/>
  <c r="Y105" i="1" s="1"/>
  <c r="AA105" i="1"/>
  <c r="M239" i="7"/>
  <c r="P84" i="1"/>
  <c r="S84" i="1" s="1"/>
  <c r="Y84" i="1" s="1"/>
  <c r="EZ113" i="1"/>
  <c r="BR113" i="1"/>
  <c r="CK113" i="1"/>
  <c r="M282" i="7"/>
  <c r="AB127" i="1"/>
  <c r="Z127" i="1"/>
  <c r="P127" i="1"/>
  <c r="S127" i="1" s="1"/>
  <c r="Y127" i="1" s="1"/>
  <c r="IX127" i="1" s="1"/>
  <c r="O127" i="1"/>
  <c r="AA127" i="1"/>
  <c r="M267" i="7"/>
  <c r="O112" i="1"/>
  <c r="Z96" i="1"/>
  <c r="O96" i="1"/>
  <c r="N35" i="1"/>
  <c r="P56" i="1"/>
  <c r="S56" i="1" s="1"/>
  <c r="Y56" i="1" s="1"/>
  <c r="P30" i="1"/>
  <c r="S30" i="1" s="1"/>
  <c r="O119" i="1"/>
  <c r="Q119" i="1" s="1"/>
  <c r="AB113" i="1"/>
  <c r="AB107" i="1"/>
  <c r="AB94" i="1"/>
  <c r="Z74" i="1"/>
  <c r="AB68" i="1"/>
  <c r="AA50" i="1"/>
  <c r="N29" i="1"/>
  <c r="BF29" i="1" s="1"/>
  <c r="AF7" i="1"/>
  <c r="GJ19" i="1"/>
  <c r="GK19" i="1" s="1"/>
  <c r="DF19" i="1"/>
  <c r="DD19" i="1"/>
  <c r="DC19" i="1"/>
  <c r="GW19" i="1"/>
  <c r="BS19" i="1"/>
  <c r="DG19" i="1"/>
  <c r="AZ19" i="1"/>
  <c r="GM19" i="1" s="1"/>
  <c r="GL19" i="1"/>
  <c r="BV19" i="1"/>
  <c r="BY19" i="1"/>
  <c r="BD19" i="1"/>
  <c r="DH19" i="1" s="1"/>
  <c r="M180" i="7"/>
  <c r="AB25" i="1"/>
  <c r="M219" i="7"/>
  <c r="P64" i="1"/>
  <c r="S64" i="1" s="1"/>
  <c r="Y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M182" i="7"/>
  <c r="P27" i="1"/>
  <c r="S27" i="1" s="1"/>
  <c r="M279" i="7"/>
  <c r="M230" i="7"/>
  <c r="P75" i="1"/>
  <c r="S75" i="1" s="1"/>
  <c r="Y75" i="1" s="1"/>
  <c r="P83" i="1"/>
  <c r="S83" i="1" s="1"/>
  <c r="Y83" i="1" s="1"/>
  <c r="AA117" i="1"/>
  <c r="P61" i="1"/>
  <c r="S61" i="1" s="1"/>
  <c r="Y61" i="1" s="1"/>
  <c r="N47" i="1"/>
  <c r="P42" i="1"/>
  <c r="S42" i="1" s="1"/>
  <c r="P37" i="1"/>
  <c r="S37" i="1" s="1"/>
  <c r="Z70" i="1"/>
  <c r="AB83" i="1"/>
  <c r="P21" i="1"/>
  <c r="S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X52" i="1" l="1"/>
  <c r="JD16" i="1" a="1"/>
  <c r="JD16" i="1" s="1"/>
  <c r="DK40" i="1"/>
  <c r="JD15" i="1" a="1"/>
  <c r="JD15" i="1" s="1"/>
  <c r="DJ37" i="1"/>
  <c r="IX36" i="1"/>
  <c r="BG19" i="1"/>
  <c r="Y42" i="1"/>
  <c r="V42" i="1" s="1"/>
  <c r="X9" i="1"/>
  <c r="AQ9" i="1" s="1"/>
  <c r="X36" i="1"/>
  <c r="AQ36" i="1" s="1"/>
  <c r="Y35" i="1"/>
  <c r="V35" i="1" s="1"/>
  <c r="Y54" i="1"/>
  <c r="IS59" i="1" s="1"/>
  <c r="Y22" i="1"/>
  <c r="IX22" i="1" s="1"/>
  <c r="Y16" i="1"/>
  <c r="V16" i="1" s="1"/>
  <c r="Y49" i="1"/>
  <c r="V49" i="1" s="1"/>
  <c r="Y29" i="1"/>
  <c r="V29" i="1" s="1"/>
  <c r="Y21" i="1"/>
  <c r="IX21" i="1" s="1"/>
  <c r="Y25" i="1"/>
  <c r="V25" i="1" s="1"/>
  <c r="Y12" i="1"/>
  <c r="V12" i="1" s="1"/>
  <c r="Y38" i="1"/>
  <c r="IX38" i="1" s="1"/>
  <c r="Y46" i="1"/>
  <c r="IX46" i="1" s="1"/>
  <c r="Y43" i="1"/>
  <c r="V43" i="1" s="1"/>
  <c r="Y50" i="1"/>
  <c r="V50" i="1" s="1"/>
  <c r="Y13" i="1"/>
  <c r="V13" i="1" s="1"/>
  <c r="Y20" i="1"/>
  <c r="IX20" i="1" s="1"/>
  <c r="Y51" i="1"/>
  <c r="V51" i="1" s="1"/>
  <c r="Y47" i="1"/>
  <c r="V47" i="1" s="1"/>
  <c r="Y33" i="1"/>
  <c r="V33" i="1" s="1"/>
  <c r="Y26" i="1"/>
  <c r="V26" i="1" s="1"/>
  <c r="Y18" i="1"/>
  <c r="V18" i="1" s="1"/>
  <c r="Y40" i="1"/>
  <c r="V40" i="1" s="1"/>
  <c r="Y32" i="1"/>
  <c r="IX32" i="1" s="1"/>
  <c r="Y24" i="1"/>
  <c r="V24" i="1" s="1"/>
  <c r="Y28" i="1"/>
  <c r="V28" i="1" s="1"/>
  <c r="Y34" i="1"/>
  <c r="V34" i="1" s="1"/>
  <c r="Y17" i="1"/>
  <c r="V17" i="1" s="1"/>
  <c r="Y14" i="1"/>
  <c r="Y53" i="1"/>
  <c r="V53" i="1" s="1"/>
  <c r="Y44" i="1"/>
  <c r="V44" i="1" s="1"/>
  <c r="Y31" i="1"/>
  <c r="V31" i="1" s="1"/>
  <c r="Y45" i="1"/>
  <c r="IX45" i="1" s="1"/>
  <c r="Y37" i="1"/>
  <c r="V37" i="1" s="1"/>
  <c r="Y30" i="1"/>
  <c r="V30" i="1" s="1"/>
  <c r="Y27" i="1"/>
  <c r="IX27" i="1" s="1"/>
  <c r="Y41" i="1"/>
  <c r="IX41" i="1" s="1"/>
  <c r="Y48" i="1"/>
  <c r="V48" i="1" s="1"/>
  <c r="Y11" i="1"/>
  <c r="V11" i="1" s="1"/>
  <c r="Y39" i="1"/>
  <c r="V39" i="1" s="1"/>
  <c r="Y23" i="1"/>
  <c r="IX23" i="1" s="1"/>
  <c r="Y19" i="1"/>
  <c r="V19" i="1" s="1"/>
  <c r="GV43" i="1"/>
  <c r="GX43" i="1" s="1"/>
  <c r="DJ21" i="1"/>
  <c r="GM114" i="1"/>
  <c r="BP114" i="1"/>
  <c r="FX82" i="1"/>
  <c r="BP82" i="1"/>
  <c r="GL18" i="1"/>
  <c r="GS97" i="1"/>
  <c r="BP97" i="1"/>
  <c r="DG65" i="1"/>
  <c r="DV96" i="1"/>
  <c r="BP96" i="1"/>
  <c r="CJ111" i="1"/>
  <c r="BP111" i="1"/>
  <c r="DI79" i="1"/>
  <c r="BP79" i="1"/>
  <c r="BX112" i="1"/>
  <c r="BP112" i="1"/>
  <c r="HB110" i="1"/>
  <c r="BP110" i="1"/>
  <c r="GY78" i="1"/>
  <c r="BP78" i="1"/>
  <c r="GH123" i="1"/>
  <c r="BP123" i="1"/>
  <c r="BO91" i="1"/>
  <c r="BP91" i="1"/>
  <c r="BB125" i="1"/>
  <c r="BP125" i="1"/>
  <c r="CD93" i="1"/>
  <c r="BP93" i="1"/>
  <c r="CS92" i="1"/>
  <c r="BP92" i="1"/>
  <c r="GO106" i="1"/>
  <c r="BP106" i="1"/>
  <c r="CZ129" i="1"/>
  <c r="BP129" i="1"/>
  <c r="CH89" i="1"/>
  <c r="BP89" i="1"/>
  <c r="EL128" i="1"/>
  <c r="BP128" i="1"/>
  <c r="EI103" i="1"/>
  <c r="BP103" i="1"/>
  <c r="DD71" i="1"/>
  <c r="EY102" i="1"/>
  <c r="BP102" i="1"/>
  <c r="BD117" i="1"/>
  <c r="BP117" i="1"/>
  <c r="BG85" i="1"/>
  <c r="HD100" i="1"/>
  <c r="BP100" i="1"/>
  <c r="FD98" i="1"/>
  <c r="BP98" i="1"/>
  <c r="GQ121" i="1"/>
  <c r="BP121" i="1"/>
  <c r="BW120" i="1"/>
  <c r="BP120" i="1"/>
  <c r="DF127" i="1"/>
  <c r="BP127" i="1"/>
  <c r="CY95" i="1"/>
  <c r="BP95" i="1"/>
  <c r="HC126" i="1"/>
  <c r="BP126" i="1"/>
  <c r="CK94" i="1"/>
  <c r="BP94" i="1"/>
  <c r="CI62" i="1"/>
  <c r="CG107" i="1"/>
  <c r="BP107" i="1"/>
  <c r="BM109" i="1"/>
  <c r="BP109" i="1"/>
  <c r="CB77" i="1"/>
  <c r="BP77" i="1"/>
  <c r="EN124" i="1"/>
  <c r="BP124" i="1"/>
  <c r="GE116" i="1"/>
  <c r="BP116" i="1"/>
  <c r="EH122" i="1"/>
  <c r="BP122" i="1"/>
  <c r="CF90" i="1"/>
  <c r="BP90" i="1"/>
  <c r="EF105" i="1"/>
  <c r="BP105" i="1"/>
  <c r="EU104" i="1"/>
  <c r="BP104" i="1"/>
  <c r="GL119" i="1"/>
  <c r="BP119" i="1"/>
  <c r="EO118" i="1"/>
  <c r="BP118" i="1"/>
  <c r="GW99" i="1"/>
  <c r="BP99" i="1"/>
  <c r="CR101" i="1"/>
  <c r="BP101" i="1"/>
  <c r="CW108" i="1"/>
  <c r="BP108" i="1"/>
  <c r="BH43" i="1"/>
  <c r="BH40" i="1"/>
  <c r="BH25" i="1"/>
  <c r="BH19" i="1"/>
  <c r="BH16" i="1"/>
  <c r="DK43" i="1"/>
  <c r="DJ43" i="1"/>
  <c r="DI43" i="1"/>
  <c r="CD43" i="1"/>
  <c r="DI25" i="1"/>
  <c r="GV16" i="1"/>
  <c r="GX16" i="1" s="1"/>
  <c r="BI16" i="1"/>
  <c r="DJ16" i="1"/>
  <c r="DK16" i="1"/>
  <c r="DI16" i="1"/>
  <c r="GM16" i="1"/>
  <c r="CD16" i="1"/>
  <c r="DI19" i="1"/>
  <c r="DJ19" i="1"/>
  <c r="GV19" i="1"/>
  <c r="GX19" i="1" s="1"/>
  <c r="DK19" i="1"/>
  <c r="BI19" i="1"/>
  <c r="CD19" i="1"/>
  <c r="CD25" i="1"/>
  <c r="DK25" i="1"/>
  <c r="GV25" i="1"/>
  <c r="GX25" i="1" s="1"/>
  <c r="DJ25" i="1"/>
  <c r="BI25" i="1"/>
  <c r="DJ51" i="1"/>
  <c r="DI51" i="1"/>
  <c r="BH51" i="1"/>
  <c r="DK51" i="1"/>
  <c r="GV51" i="1"/>
  <c r="GU51" i="1" s="1"/>
  <c r="CD51" i="1"/>
  <c r="JC23" i="1"/>
  <c r="JD30" i="1" s="1" a="1"/>
  <c r="JD30" i="1" s="1"/>
  <c r="JD26" i="1" a="1"/>
  <c r="JD26" i="1" s="1"/>
  <c r="JD25" i="1" a="1"/>
  <c r="JD25" i="1" s="1"/>
  <c r="JD24" i="1" a="1"/>
  <c r="JD24" i="1" s="1"/>
  <c r="IX56" i="1"/>
  <c r="IX83" i="1"/>
  <c r="IS109" i="1"/>
  <c r="IX94" i="1"/>
  <c r="IX64" i="1"/>
  <c r="V97" i="1"/>
  <c r="IX60" i="1"/>
  <c r="IX73" i="1"/>
  <c r="IX91" i="1"/>
  <c r="IS87" i="1"/>
  <c r="IX68" i="1"/>
  <c r="IX82" i="1"/>
  <c r="V102" i="1"/>
  <c r="IS106" i="1"/>
  <c r="IX61" i="1"/>
  <c r="IX95" i="1"/>
  <c r="IS75" i="1"/>
  <c r="IS110" i="1"/>
  <c r="IX59" i="1"/>
  <c r="IX92" i="1"/>
  <c r="IS107" i="1"/>
  <c r="AD102" i="1"/>
  <c r="AH102" i="1" s="1"/>
  <c r="AC102" i="1"/>
  <c r="AF102" i="1"/>
  <c r="AI102" i="1" s="1"/>
  <c r="IS73" i="1"/>
  <c r="IS74" i="1"/>
  <c r="R91" i="1"/>
  <c r="X91" i="1" s="1"/>
  <c r="AQ91" i="1" s="1"/>
  <c r="IS132" i="1"/>
  <c r="IX123" i="1"/>
  <c r="IS82" i="1"/>
  <c r="IX74" i="1"/>
  <c r="IS134" i="1"/>
  <c r="IX125" i="1"/>
  <c r="AG119" i="1"/>
  <c r="R124" i="1"/>
  <c r="X124" i="1" s="1"/>
  <c r="IW124" i="1" s="1"/>
  <c r="IG124" i="1" s="1"/>
  <c r="AM119" i="1"/>
  <c r="IS133" i="1"/>
  <c r="IX124" i="1"/>
  <c r="IS135" i="1"/>
  <c r="IX126" i="1"/>
  <c r="GV12" i="1"/>
  <c r="GX12" i="1" s="1"/>
  <c r="DB9" i="1"/>
  <c r="BH12" i="1"/>
  <c r="BH45" i="1"/>
  <c r="BH29" i="1"/>
  <c r="DI40" i="1"/>
  <c r="DK21" i="1"/>
  <c r="BI29" i="1"/>
  <c r="BH27" i="1"/>
  <c r="BH37" i="1"/>
  <c r="BH21" i="1"/>
  <c r="DJ45" i="1"/>
  <c r="DI12" i="1"/>
  <c r="BS14" i="1"/>
  <c r="GV45" i="1"/>
  <c r="GU45" i="1" s="1"/>
  <c r="CD29" i="1"/>
  <c r="GV37" i="1"/>
  <c r="GX37" i="1" s="1"/>
  <c r="DI27" i="1"/>
  <c r="DK45" i="1"/>
  <c r="DJ40" i="1"/>
  <c r="GV40" i="1"/>
  <c r="GX40" i="1" s="1"/>
  <c r="DK12" i="1"/>
  <c r="BI12" i="1"/>
  <c r="DK27" i="1"/>
  <c r="DI21" i="1"/>
  <c r="CD12" i="1"/>
  <c r="CD45" i="1"/>
  <c r="DK29" i="1"/>
  <c r="GV27" i="1"/>
  <c r="GU27" i="1" s="1"/>
  <c r="CD40" i="1"/>
  <c r="DK37" i="1"/>
  <c r="DI45" i="1"/>
  <c r="CD37" i="1"/>
  <c r="DJ12" i="1"/>
  <c r="DI37" i="1"/>
  <c r="DI29" i="1"/>
  <c r="DJ29" i="1"/>
  <c r="GV29" i="1"/>
  <c r="GU29" i="1" s="1"/>
  <c r="DJ27" i="1"/>
  <c r="GV21" i="1"/>
  <c r="GU21" i="1" s="1"/>
  <c r="CD21" i="1"/>
  <c r="GM45" i="1"/>
  <c r="GM37" i="1"/>
  <c r="BI40" i="1"/>
  <c r="CD27" i="1"/>
  <c r="GK37" i="1"/>
  <c r="BI21" i="1"/>
  <c r="Q62" i="1"/>
  <c r="IS131" i="1"/>
  <c r="IX122" i="1"/>
  <c r="IX75" i="1"/>
  <c r="IS83" i="1"/>
  <c r="IX112" i="1"/>
  <c r="IS120" i="1"/>
  <c r="IS129" i="1"/>
  <c r="IX120" i="1"/>
  <c r="IX114" i="1"/>
  <c r="IS122" i="1"/>
  <c r="AE69" i="1"/>
  <c r="IX76" i="1"/>
  <c r="IS84" i="1"/>
  <c r="IS93" i="1"/>
  <c r="IX84" i="1"/>
  <c r="J9" i="7" a="1"/>
  <c r="J9" i="7" s="1"/>
  <c r="IS114" i="1"/>
  <c r="IS91" i="1"/>
  <c r="IS92" i="1"/>
  <c r="R127" i="1"/>
  <c r="X127" i="1" s="1"/>
  <c r="R125" i="1"/>
  <c r="X125" i="1" s="1"/>
  <c r="IW125" i="1" s="1"/>
  <c r="IG125" i="1" s="1"/>
  <c r="AF86" i="1"/>
  <c r="AM86" i="1" s="1"/>
  <c r="IS115" i="1"/>
  <c r="IX108" i="1"/>
  <c r="IS69" i="1"/>
  <c r="IR133" i="1"/>
  <c r="V108" i="1"/>
  <c r="R129" i="1"/>
  <c r="X129" i="1" s="1"/>
  <c r="IS89" i="1"/>
  <c r="IX99" i="1"/>
  <c r="IS108" i="1"/>
  <c r="AQ121" i="1"/>
  <c r="IR130" i="1"/>
  <c r="IS61" i="1"/>
  <c r="IS88" i="1"/>
  <c r="IS99" i="1"/>
  <c r="Y14" i="4"/>
  <c r="AD86" i="1"/>
  <c r="AH86" i="1" s="1"/>
  <c r="IS95" i="1"/>
  <c r="IX86" i="1"/>
  <c r="IS112" i="1"/>
  <c r="IX105" i="1"/>
  <c r="IS111" i="1"/>
  <c r="IX104" i="1"/>
  <c r="IS98" i="1"/>
  <c r="IX89" i="1"/>
  <c r="IS97" i="1"/>
  <c r="IX88" i="1"/>
  <c r="IS102" i="1"/>
  <c r="IS90" i="1"/>
  <c r="IW57" i="1"/>
  <c r="IG57" i="1" s="1"/>
  <c r="IS94" i="1"/>
  <c r="IX85" i="1"/>
  <c r="IX98" i="1"/>
  <c r="IS105" i="1"/>
  <c r="IX96" i="1"/>
  <c r="IS103" i="1"/>
  <c r="Q78" i="1"/>
  <c r="IX63" i="1"/>
  <c r="IS70" i="1"/>
  <c r="IX97" i="1"/>
  <c r="IS104" i="1"/>
  <c r="IS72" i="1"/>
  <c r="IX57" i="1"/>
  <c r="IX78" i="1"/>
  <c r="IS86" i="1"/>
  <c r="IS76" i="1"/>
  <c r="IX70" i="1"/>
  <c r="IS68" i="1"/>
  <c r="IX77" i="1"/>
  <c r="IS85" i="1"/>
  <c r="IS96" i="1"/>
  <c r="IX87" i="1"/>
  <c r="Q98" i="1"/>
  <c r="R90" i="1"/>
  <c r="X90" i="1" s="1"/>
  <c r="IW90" i="1" s="1"/>
  <c r="IG90" i="1" s="1"/>
  <c r="IS77" i="1"/>
  <c r="IS78" i="1"/>
  <c r="IX72" i="1"/>
  <c r="IS71" i="1"/>
  <c r="IS64" i="1"/>
  <c r="IX55" i="1"/>
  <c r="AC25" i="1"/>
  <c r="AC86" i="1"/>
  <c r="Q90" i="1"/>
  <c r="Q96" i="1"/>
  <c r="IS60" i="1"/>
  <c r="Y16" i="4"/>
  <c r="Y15" i="4"/>
  <c r="X14" i="4"/>
  <c r="X15" i="4"/>
  <c r="V15" i="4"/>
  <c r="IS81" i="1"/>
  <c r="IX67" i="1"/>
  <c r="V93" i="1"/>
  <c r="IX93" i="1"/>
  <c r="IX118" i="1"/>
  <c r="IX80" i="1"/>
  <c r="IS101" i="1"/>
  <c r="IS80" i="1"/>
  <c r="IX66" i="1"/>
  <c r="IS116" i="1"/>
  <c r="IX100" i="1"/>
  <c r="IS117" i="1"/>
  <c r="IX101" i="1"/>
  <c r="AQ102" i="1"/>
  <c r="IW102" i="1"/>
  <c r="IG102" i="1" s="1"/>
  <c r="IR118" i="1"/>
  <c r="AQ101" i="1"/>
  <c r="IW101" i="1"/>
  <c r="IG101" i="1" s="1"/>
  <c r="IS63" i="1"/>
  <c r="IS100" i="1"/>
  <c r="IX79" i="1"/>
  <c r="AQ97" i="1"/>
  <c r="IW97" i="1"/>
  <c r="IG97" i="1" s="1"/>
  <c r="AQ82" i="1"/>
  <c r="IX117" i="1"/>
  <c r="IS118" i="1"/>
  <c r="IX102" i="1"/>
  <c r="IS66" i="1"/>
  <c r="V65" i="1"/>
  <c r="IS79" i="1"/>
  <c r="IX65" i="1"/>
  <c r="IS67" i="1"/>
  <c r="AQ111" i="1"/>
  <c r="IW111" i="1"/>
  <c r="IG111" i="1" s="1"/>
  <c r="IS62" i="1"/>
  <c r="DY118" i="1"/>
  <c r="GF118" i="1"/>
  <c r="Q15" i="1"/>
  <c r="BD118" i="1"/>
  <c r="CO13" i="1"/>
  <c r="EP118" i="1"/>
  <c r="CZ118" i="1"/>
  <c r="GB118" i="1"/>
  <c r="AE54" i="1"/>
  <c r="ET54" i="1" s="1"/>
  <c r="Q17" i="1"/>
  <c r="CQ122" i="1"/>
  <c r="BG70" i="1"/>
  <c r="DB70" i="1"/>
  <c r="DC102" i="1"/>
  <c r="Q40" i="1"/>
  <c r="AQ57" i="1"/>
  <c r="Q38" i="1"/>
  <c r="R32" i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CK123" i="1"/>
  <c r="AF118" i="1"/>
  <c r="AM118" i="1" s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R123" i="1"/>
  <c r="X123" i="1" s="1"/>
  <c r="IW123" i="1" s="1"/>
  <c r="IG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AD111" i="1"/>
  <c r="AH111" i="1" s="1"/>
  <c r="AC97" i="1"/>
  <c r="V92" i="1"/>
  <c r="V87" i="1"/>
  <c r="V86" i="1"/>
  <c r="AC47" i="1"/>
  <c r="R40" i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IR121" i="1" s="1"/>
  <c r="GC112" i="1"/>
  <c r="Q95" i="1"/>
  <c r="V78" i="1"/>
  <c r="R62" i="1"/>
  <c r="X62" i="1" s="1"/>
  <c r="AF54" i="1"/>
  <c r="AI54" i="1" s="1"/>
  <c r="CY82" i="1"/>
  <c r="AZ14" i="1"/>
  <c r="GM14" i="1" s="1"/>
  <c r="DE14" i="1"/>
  <c r="GI82" i="1"/>
  <c r="EA82" i="1"/>
  <c r="FT82" i="1"/>
  <c r="Q102" i="1"/>
  <c r="AD54" i="1"/>
  <c r="AH54" i="1" s="1"/>
  <c r="AE97" i="1"/>
  <c r="AC54" i="1"/>
  <c r="GS82" i="1"/>
  <c r="GW82" i="1"/>
  <c r="AZ96" i="1"/>
  <c r="AE75" i="1"/>
  <c r="EO82" i="1"/>
  <c r="DO82" i="1"/>
  <c r="CH82" i="1"/>
  <c r="AF47" i="1"/>
  <c r="AI47" i="1" s="1"/>
  <c r="R95" i="1"/>
  <c r="X95" i="1" s="1"/>
  <c r="AE47" i="1"/>
  <c r="ET47" i="1" s="1"/>
  <c r="R85" i="1"/>
  <c r="X85" i="1" s="1"/>
  <c r="IW85" i="1" s="1"/>
  <c r="IG85" i="1" s="1"/>
  <c r="HE82" i="1"/>
  <c r="BU82" i="1"/>
  <c r="BM97" i="1"/>
  <c r="AD75" i="1"/>
  <c r="AH75" i="1" s="1"/>
  <c r="AF97" i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AE46" i="1"/>
  <c r="ET46" i="1" s="1"/>
  <c r="AF80" i="1"/>
  <c r="AI80" i="1" s="1"/>
  <c r="AC15" i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DK70" i="1" s="1"/>
  <c r="BT70" i="1"/>
  <c r="FJ78" i="1"/>
  <c r="EQ112" i="1"/>
  <c r="BZ70" i="1"/>
  <c r="CV102" i="1"/>
  <c r="AZ70" i="1"/>
  <c r="GM70" i="1" s="1"/>
  <c r="DR102" i="1"/>
  <c r="GJ70" i="1"/>
  <c r="GK70" i="1" s="1"/>
  <c r="DD70" i="1"/>
  <c r="BE78" i="1"/>
  <c r="BW102" i="1"/>
  <c r="BZ102" i="1"/>
  <c r="HI70" i="1"/>
  <c r="Q45" i="1"/>
  <c r="CD86" i="1"/>
  <c r="Q75" i="1"/>
  <c r="BW86" i="1"/>
  <c r="V63" i="1"/>
  <c r="AF62" i="1"/>
  <c r="AM62" i="1" s="1"/>
  <c r="V94" i="1"/>
  <c r="R38" i="1"/>
  <c r="AE100" i="1"/>
  <c r="AC62" i="1"/>
  <c r="AE62" i="1"/>
  <c r="AD62" i="1"/>
  <c r="AH62" i="1" s="1"/>
  <c r="AC111" i="1"/>
  <c r="AF111" i="1"/>
  <c r="AI111" i="1" s="1"/>
  <c r="AE111" i="1"/>
  <c r="AJ111" i="1" s="1"/>
  <c r="V98" i="1"/>
  <c r="AF101" i="1"/>
  <c r="AI101" i="1" s="1"/>
  <c r="R104" i="1"/>
  <c r="X104" i="1" s="1"/>
  <c r="IW104" i="1" s="1"/>
  <c r="IG104" i="1" s="1"/>
  <c r="GV86" i="1"/>
  <c r="DG86" i="1"/>
  <c r="AF95" i="1"/>
  <c r="AM95" i="1" s="1"/>
  <c r="GL86" i="1"/>
  <c r="FK86" i="1"/>
  <c r="AZ86" i="1"/>
  <c r="Q68" i="1"/>
  <c r="V100" i="1"/>
  <c r="R106" i="1"/>
  <c r="X106" i="1" s="1"/>
  <c r="IW106" i="1" s="1"/>
  <c r="IG106" i="1" s="1"/>
  <c r="R70" i="1"/>
  <c r="X70" i="1" s="1"/>
  <c r="IW70" i="1" s="1"/>
  <c r="IG70" i="1" s="1"/>
  <c r="GW86" i="1"/>
  <c r="DF86" i="1"/>
  <c r="V66" i="1"/>
  <c r="DC86" i="1"/>
  <c r="AF46" i="1"/>
  <c r="AI46" i="1" s="1"/>
  <c r="Q108" i="1"/>
  <c r="BM86" i="1"/>
  <c r="GJ86" i="1"/>
  <c r="AZ54" i="1"/>
  <c r="GM54" i="1" s="1"/>
  <c r="V68" i="1"/>
  <c r="V101" i="1"/>
  <c r="AD46" i="1"/>
  <c r="AH46" i="1" s="1"/>
  <c r="DK86" i="1"/>
  <c r="GU86" i="1"/>
  <c r="BT86" i="1"/>
  <c r="DE86" i="1"/>
  <c r="BZ86" i="1"/>
  <c r="CI86" i="1"/>
  <c r="AJ102" i="1"/>
  <c r="Q100" i="1"/>
  <c r="AC46" i="1"/>
  <c r="EY86" i="1"/>
  <c r="DD86" i="1"/>
  <c r="DB86" i="1"/>
  <c r="DJ86" i="1"/>
  <c r="AC32" i="1"/>
  <c r="AE112" i="1"/>
  <c r="BK86" i="1"/>
  <c r="EU86" i="1"/>
  <c r="AF39" i="1"/>
  <c r="AM39" i="1" s="1"/>
  <c r="R65" i="1"/>
  <c r="X65" i="1" s="1"/>
  <c r="R69" i="1"/>
  <c r="X69" i="1" s="1"/>
  <c r="IW69" i="1" s="1"/>
  <c r="IG69" i="1" s="1"/>
  <c r="Q110" i="1"/>
  <c r="AC88" i="1"/>
  <c r="ET86" i="1"/>
  <c r="DH86" i="1"/>
  <c r="DI86" i="1"/>
  <c r="GK86" i="1"/>
  <c r="V70" i="1"/>
  <c r="BG86" i="1"/>
  <c r="GM86" i="1"/>
  <c r="HI86" i="1"/>
  <c r="DT86" i="1"/>
  <c r="AZ112" i="1"/>
  <c r="DB112" i="1"/>
  <c r="EP112" i="1"/>
  <c r="BZ112" i="1"/>
  <c r="FB112" i="1"/>
  <c r="BU112" i="1"/>
  <c r="DT112" i="1"/>
  <c r="Q111" i="1"/>
  <c r="V110" i="1"/>
  <c r="R110" i="1"/>
  <c r="X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G54" i="1"/>
  <c r="BZ52" i="1"/>
  <c r="GW52" i="1"/>
  <c r="BY52" i="1"/>
  <c r="HI52" i="1"/>
  <c r="BG52" i="1"/>
  <c r="AZ52" i="1"/>
  <c r="GM52" i="1" s="1"/>
  <c r="BD52" i="1"/>
  <c r="DH52" i="1" s="1"/>
  <c r="DC52" i="1"/>
  <c r="DE52" i="1"/>
  <c r="DB52" i="1"/>
  <c r="BV52" i="1"/>
  <c r="BW52" i="1"/>
  <c r="DD52" i="1"/>
  <c r="BH52" i="1"/>
  <c r="DG52" i="1"/>
  <c r="GL52" i="1"/>
  <c r="DF52" i="1"/>
  <c r="BF52" i="1"/>
  <c r="CO52" i="1"/>
  <c r="CI52" i="1"/>
  <c r="BH60" i="1"/>
  <c r="Q43" i="1"/>
  <c r="BZ13" i="1"/>
  <c r="BS13" i="1"/>
  <c r="DE13" i="1"/>
  <c r="DD13" i="1"/>
  <c r="DD59" i="1"/>
  <c r="GL54" i="1"/>
  <c r="BF54" i="1"/>
  <c r="V55" i="1"/>
  <c r="AD30" i="1"/>
  <c r="AH30" i="1" s="1"/>
  <c r="BH13" i="1"/>
  <c r="DC13" i="1"/>
  <c r="BW13" i="1"/>
  <c r="GL13" i="1"/>
  <c r="ES13" i="1"/>
  <c r="AZ13" i="1"/>
  <c r="GM13" i="1" s="1"/>
  <c r="BD13" i="1"/>
  <c r="DH13" i="1" s="1"/>
  <c r="BF13" i="1"/>
  <c r="DF13" i="1"/>
  <c r="BG13" i="1"/>
  <c r="DB13" i="1"/>
  <c r="CI13" i="1"/>
  <c r="HI13" i="1"/>
  <c r="DG13" i="1"/>
  <c r="GJ13" i="1"/>
  <c r="BY13" i="1"/>
  <c r="BT13" i="1"/>
  <c r="BV13" i="1"/>
  <c r="CT106" i="1"/>
  <c r="CI54" i="1"/>
  <c r="BV54" i="1"/>
  <c r="BZ54" i="1"/>
  <c r="BH54" i="1"/>
  <c r="DF54" i="1"/>
  <c r="BY54" i="1"/>
  <c r="DC54" i="1"/>
  <c r="AD53" i="1"/>
  <c r="AH53" i="1" s="1"/>
  <c r="BG36" i="1"/>
  <c r="BS36" i="1"/>
  <c r="BV36" i="1"/>
  <c r="GL36" i="1"/>
  <c r="DG36" i="1"/>
  <c r="BH36" i="1"/>
  <c r="BF36" i="1"/>
  <c r="DE36" i="1"/>
  <c r="BD36" i="1"/>
  <c r="DH36" i="1" s="1"/>
  <c r="R31" i="1"/>
  <c r="AE15" i="1"/>
  <c r="ET15" i="1" s="1"/>
  <c r="GW13" i="1"/>
  <c r="EX106" i="1"/>
  <c r="AD39" i="1"/>
  <c r="AH39" i="1" s="1"/>
  <c r="BG106" i="1"/>
  <c r="CN92" i="1"/>
  <c r="DG92" i="1"/>
  <c r="EH93" i="1"/>
  <c r="CC106" i="1"/>
  <c r="CS125" i="1"/>
  <c r="GF106" i="1"/>
  <c r="BY93" i="1"/>
  <c r="CV129" i="1"/>
  <c r="CM125" i="1"/>
  <c r="DU106" i="1"/>
  <c r="DW106" i="1"/>
  <c r="DN106" i="1"/>
  <c r="BD106" i="1"/>
  <c r="CV106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GZ92" i="1"/>
  <c r="FZ92" i="1"/>
  <c r="DN92" i="1"/>
  <c r="DQ93" i="1"/>
  <c r="ER125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BG74" i="1"/>
  <c r="GJ74" i="1"/>
  <c r="HI74" i="1"/>
  <c r="DG74" i="1"/>
  <c r="FB115" i="1"/>
  <c r="DO115" i="1"/>
  <c r="BN83" i="1"/>
  <c r="BP83" i="1" s="1"/>
  <c r="AZ74" i="1"/>
  <c r="GM74" i="1" s="1"/>
  <c r="CO74" i="1"/>
  <c r="BH74" i="1"/>
  <c r="BT74" i="1"/>
  <c r="DC42" i="1"/>
  <c r="DB42" i="1"/>
  <c r="DF42" i="1"/>
  <c r="BS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DG57" i="1"/>
  <c r="BZ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BT56" i="1"/>
  <c r="DG56" i="1"/>
  <c r="BW56" i="1"/>
  <c r="BF56" i="1"/>
  <c r="BI56" i="1" s="1"/>
  <c r="CB103" i="1"/>
  <c r="ET103" i="1"/>
  <c r="DL103" i="1"/>
  <c r="CT103" i="1"/>
  <c r="CW103" i="1"/>
  <c r="AZ103" i="1"/>
  <c r="BK103" i="1"/>
  <c r="DK103" i="1"/>
  <c r="AZ71" i="1"/>
  <c r="GM71" i="1" s="1"/>
  <c r="GJ71" i="1"/>
  <c r="GK71" i="1" s="1"/>
  <c r="DG71" i="1"/>
  <c r="BG71" i="1"/>
  <c r="DF71" i="1"/>
  <c r="BH71" i="1"/>
  <c r="GL71" i="1"/>
  <c r="BD71" i="1"/>
  <c r="DH71" i="1" s="1"/>
  <c r="GW71" i="1"/>
  <c r="DC71" i="1"/>
  <c r="BF71" i="1"/>
  <c r="BI71" i="1" s="1"/>
  <c r="DE71" i="1"/>
  <c r="BV71" i="1"/>
  <c r="BZ71" i="1"/>
  <c r="BW71" i="1"/>
  <c r="CO71" i="1"/>
  <c r="BT71" i="1"/>
  <c r="BS71" i="1"/>
  <c r="BY39" i="1"/>
  <c r="BZ39" i="1"/>
  <c r="CO39" i="1"/>
  <c r="GL39" i="1"/>
  <c r="CI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BW68" i="1"/>
  <c r="BS68" i="1"/>
  <c r="CI68" i="1"/>
  <c r="BF68" i="1"/>
  <c r="BI68" i="1" s="1"/>
  <c r="BZ68" i="1"/>
  <c r="DE68" i="1"/>
  <c r="CO68" i="1"/>
  <c r="BY68" i="1"/>
  <c r="DG68" i="1"/>
  <c r="BG68" i="1"/>
  <c r="DC68" i="1"/>
  <c r="BD68" i="1"/>
  <c r="DH68" i="1" s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AC38" i="1"/>
  <c r="AD38" i="1"/>
  <c r="AH38" i="1" s="1"/>
  <c r="AE38" i="1"/>
  <c r="ET38" i="1" s="1"/>
  <c r="AF38" i="1"/>
  <c r="AM38" i="1" s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GL74" i="1"/>
  <c r="DD74" i="1"/>
  <c r="DK74" i="1" s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89" i="1"/>
  <c r="FS128" i="1"/>
  <c r="CM129" i="1"/>
  <c r="GR106" i="1"/>
  <c r="FY106" i="1"/>
  <c r="BN106" i="1"/>
  <c r="CN106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GM76" i="1"/>
  <c r="GJ88" i="1"/>
  <c r="FF89" i="1"/>
  <c r="GJ129" i="1"/>
  <c r="CW125" i="1"/>
  <c r="EH106" i="1"/>
  <c r="CJ129" i="1"/>
  <c r="CQ129" i="1"/>
  <c r="CL125" i="1"/>
  <c r="CP125" i="1"/>
  <c r="HA106" i="1"/>
  <c r="HC106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CE106" i="1"/>
  <c r="BQ106" i="1"/>
  <c r="GQ106" i="1"/>
  <c r="CF106" i="1"/>
  <c r="DB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HB76" i="1"/>
  <c r="CF76" i="1"/>
  <c r="FB88" i="1"/>
  <c r="HI129" i="1"/>
  <c r="FK89" i="1"/>
  <c r="HD106" i="1"/>
  <c r="HH106" i="1"/>
  <c r="GC106" i="1"/>
  <c r="DF106" i="1"/>
  <c r="DG106" i="1"/>
  <c r="BK106" i="1"/>
  <c r="BJ106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BV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FT88" i="1"/>
  <c r="HB88" i="1"/>
  <c r="HD129" i="1"/>
  <c r="EW106" i="1"/>
  <c r="CP106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BD74" i="1"/>
  <c r="DH74" i="1" s="1"/>
  <c r="FC92" i="1"/>
  <c r="FH92" i="1"/>
  <c r="CE92" i="1"/>
  <c r="GC92" i="1"/>
  <c r="BA92" i="1"/>
  <c r="EB92" i="1"/>
  <c r="EJ92" i="1"/>
  <c r="CL92" i="1"/>
  <c r="HI92" i="1"/>
  <c r="BK89" i="1"/>
  <c r="DT93" i="1"/>
  <c r="BI125" i="1"/>
  <c r="BU125" i="1"/>
  <c r="DV93" i="1"/>
  <c r="BH76" i="1"/>
  <c r="EU128" i="1"/>
  <c r="BF88" i="1"/>
  <c r="DC56" i="1"/>
  <c r="EK88" i="1"/>
  <c r="CY129" i="1"/>
  <c r="GP128" i="1"/>
  <c r="CQ125" i="1"/>
  <c r="HE106" i="1"/>
  <c r="EV106" i="1"/>
  <c r="FE106" i="1"/>
  <c r="DK106" i="1"/>
  <c r="BH106" i="1"/>
  <c r="BV106" i="1"/>
  <c r="GW74" i="1"/>
  <c r="GV74" i="1" s="1"/>
  <c r="GX74" i="1" s="1"/>
  <c r="DC74" i="1"/>
  <c r="BY74" i="1"/>
  <c r="CR129" i="1"/>
  <c r="CX129" i="1"/>
  <c r="GX125" i="1"/>
  <c r="GD106" i="1"/>
  <c r="GH106" i="1"/>
  <c r="DZ106" i="1"/>
  <c r="EA106" i="1"/>
  <c r="DI106" i="1"/>
  <c r="FG106" i="1"/>
  <c r="BB106" i="1"/>
  <c r="FB106" i="1"/>
  <c r="EU106" i="1"/>
  <c r="CK106" i="1"/>
  <c r="CN129" i="1"/>
  <c r="CG125" i="1"/>
  <c r="DA125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BY71" i="1"/>
  <c r="ER128" i="1"/>
  <c r="FV88" i="1"/>
  <c r="DM88" i="1"/>
  <c r="EQ125" i="1"/>
  <c r="R49" i="1"/>
  <c r="AD43" i="1"/>
  <c r="V59" i="1"/>
  <c r="V60" i="1"/>
  <c r="Q12" i="1"/>
  <c r="CR122" i="1"/>
  <c r="CX109" i="1"/>
  <c r="CJ77" i="1"/>
  <c r="HE90" i="1"/>
  <c r="EL122" i="1"/>
  <c r="DA90" i="1"/>
  <c r="CK105" i="1"/>
  <c r="FT122" i="1"/>
  <c r="FJ122" i="1"/>
  <c r="Q13" i="1"/>
  <c r="AE22" i="1"/>
  <c r="ET22" i="1" s="1"/>
  <c r="FJ126" i="1"/>
  <c r="BU126" i="1"/>
  <c r="AF21" i="1"/>
  <c r="EU21" i="1" s="1"/>
  <c r="EY21" i="1" s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CR77" i="1"/>
  <c r="CP105" i="1"/>
  <c r="FH90" i="1"/>
  <c r="DG122" i="1"/>
  <c r="GJ122" i="1"/>
  <c r="DM122" i="1"/>
  <c r="EZ122" i="1"/>
  <c r="CM122" i="1"/>
  <c r="DO90" i="1"/>
  <c r="CI109" i="1"/>
  <c r="CK77" i="1"/>
  <c r="CR105" i="1"/>
  <c r="HD122" i="1"/>
  <c r="EJ122" i="1"/>
  <c r="DE122" i="1"/>
  <c r="EU122" i="1"/>
  <c r="EN122" i="1"/>
  <c r="GI90" i="1"/>
  <c r="CS90" i="1"/>
  <c r="DU77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L109" i="1"/>
  <c r="FW122" i="1"/>
  <c r="DL122" i="1"/>
  <c r="DT122" i="1"/>
  <c r="BT122" i="1"/>
  <c r="CO122" i="1"/>
  <c r="EW90" i="1"/>
  <c r="CG90" i="1"/>
  <c r="DD109" i="1"/>
  <c r="FN109" i="1"/>
  <c r="CU109" i="1"/>
  <c r="CL105" i="1"/>
  <c r="GL90" i="1"/>
  <c r="EE90" i="1"/>
  <c r="GV122" i="1"/>
  <c r="DH122" i="1"/>
  <c r="FX122" i="1"/>
  <c r="FA122" i="1"/>
  <c r="CI122" i="1"/>
  <c r="FZ90" i="1"/>
  <c r="FU109" i="1"/>
  <c r="CD105" i="1"/>
  <c r="CN77" i="1"/>
  <c r="GX105" i="1"/>
  <c r="GM122" i="1"/>
  <c r="DS122" i="1"/>
  <c r="FL122" i="1"/>
  <c r="BQ122" i="1"/>
  <c r="CP122" i="1"/>
  <c r="EY90" i="1"/>
  <c r="BU109" i="1"/>
  <c r="EE77" i="1"/>
  <c r="CE109" i="1"/>
  <c r="AF37" i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EE109" i="1"/>
  <c r="FO109" i="1"/>
  <c r="DT77" i="1"/>
  <c r="ER109" i="1"/>
  <c r="FC77" i="1"/>
  <c r="BJ77" i="1"/>
  <c r="DJ105" i="1"/>
  <c r="BT67" i="1"/>
  <c r="BG67" i="1"/>
  <c r="AZ67" i="1"/>
  <c r="GM67" i="1" s="1"/>
  <c r="CI67" i="1"/>
  <c r="GJ67" i="1"/>
  <c r="GK67" i="1" s="1"/>
  <c r="HI67" i="1"/>
  <c r="GL67" i="1"/>
  <c r="DF67" i="1"/>
  <c r="DD67" i="1"/>
  <c r="BS67" i="1"/>
  <c r="BV67" i="1"/>
  <c r="DB67" i="1"/>
  <c r="BW67" i="1"/>
  <c r="DC67" i="1"/>
  <c r="BH67" i="1"/>
  <c r="BD67" i="1"/>
  <c r="DH67" i="1" s="1"/>
  <c r="BY67" i="1"/>
  <c r="GW67" i="1"/>
  <c r="BF67" i="1"/>
  <c r="BI67" i="1" s="1"/>
  <c r="BZ67" i="1"/>
  <c r="CO67" i="1"/>
  <c r="DE67" i="1"/>
  <c r="GL58" i="1"/>
  <c r="BG58" i="1"/>
  <c r="DE58" i="1"/>
  <c r="DF58" i="1"/>
  <c r="BV58" i="1"/>
  <c r="BT58" i="1"/>
  <c r="BY58" i="1"/>
  <c r="CO58" i="1"/>
  <c r="DC58" i="1"/>
  <c r="BH58" i="1"/>
  <c r="GW58" i="1"/>
  <c r="AZ58" i="1"/>
  <c r="GM58" i="1" s="1"/>
  <c r="BD58" i="1"/>
  <c r="DH58" i="1" s="1"/>
  <c r="DB58" i="1"/>
  <c r="GJ58" i="1"/>
  <c r="GK58" i="1" s="1"/>
  <c r="DG58" i="1"/>
  <c r="HI58" i="1"/>
  <c r="CI58" i="1"/>
  <c r="DD58" i="1"/>
  <c r="DG33" i="1"/>
  <c r="BF32" i="1"/>
  <c r="DE32" i="1"/>
  <c r="GM87" i="1"/>
  <c r="BV87" i="1"/>
  <c r="DK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I58" i="1" s="1"/>
  <c r="EP77" i="1"/>
  <c r="EJ77" i="1"/>
  <c r="DB109" i="1"/>
  <c r="CT109" i="1"/>
  <c r="ET77" i="1"/>
  <c r="BV77" i="1"/>
  <c r="CH7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DI77" i="1"/>
  <c r="EX77" i="1"/>
  <c r="DC109" i="1"/>
  <c r="BY77" i="1"/>
  <c r="CC77" i="1"/>
  <c r="CN124" i="1"/>
  <c r="AE17" i="1"/>
  <c r="ET17" i="1" s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GJ55" i="1"/>
  <c r="GK55" i="1" s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N122" i="1"/>
  <c r="BD122" i="1"/>
  <c r="BF122" i="1"/>
  <c r="BI122" i="1"/>
  <c r="CS122" i="1"/>
  <c r="FG90" i="1"/>
  <c r="GM90" i="1"/>
  <c r="FK90" i="1"/>
  <c r="DY90" i="1"/>
  <c r="BS58" i="1"/>
  <c r="EK77" i="1"/>
  <c r="DO109" i="1"/>
  <c r="CC109" i="1"/>
  <c r="EF77" i="1"/>
  <c r="GG116" i="1"/>
  <c r="BY26" i="1"/>
  <c r="GL26" i="1"/>
  <c r="BD26" i="1"/>
  <c r="DH26" i="1" s="1"/>
  <c r="BF26" i="1"/>
  <c r="DE26" i="1"/>
  <c r="BS26" i="1"/>
  <c r="CI26" i="1"/>
  <c r="BZ26" i="1"/>
  <c r="AZ26" i="1"/>
  <c r="GM26" i="1" s="1"/>
  <c r="CO26" i="1"/>
  <c r="BW26" i="1"/>
  <c r="DD26" i="1"/>
  <c r="DF26" i="1"/>
  <c r="GW26" i="1"/>
  <c r="DB26" i="1"/>
  <c r="DG26" i="1"/>
  <c r="GJ26" i="1"/>
  <c r="GK26" i="1" s="1"/>
  <c r="BG26" i="1"/>
  <c r="BV26" i="1"/>
  <c r="BH26" i="1"/>
  <c r="DC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H77" i="1"/>
  <c r="EO77" i="1"/>
  <c r="EM77" i="1"/>
  <c r="EC77" i="1"/>
  <c r="DK77" i="1"/>
  <c r="GU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DG109" i="1"/>
  <c r="BS109" i="1"/>
  <c r="BT109" i="1"/>
  <c r="EQ77" i="1"/>
  <c r="BT77" i="1"/>
  <c r="AD22" i="1"/>
  <c r="AH22" i="1" s="1"/>
  <c r="BT26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ET11" i="1" s="1"/>
  <c r="BZ58" i="1"/>
  <c r="CK109" i="1"/>
  <c r="FZ77" i="1"/>
  <c r="EL109" i="1"/>
  <c r="DH109" i="1"/>
  <c r="BB109" i="1"/>
  <c r="BW77" i="1"/>
  <c r="BN87" i="1"/>
  <c r="BP87" i="1" s="1"/>
  <c r="BK77" i="1"/>
  <c r="HI26" i="1"/>
  <c r="DG67" i="1"/>
  <c r="GC116" i="1"/>
  <c r="BV116" i="1"/>
  <c r="BB105" i="1"/>
  <c r="AD40" i="1"/>
  <c r="Q30" i="1"/>
  <c r="AF42" i="1"/>
  <c r="AI42" i="1" s="1"/>
  <c r="AF44" i="1"/>
  <c r="AI44" i="1" s="1"/>
  <c r="Q18" i="1"/>
  <c r="R10" i="1"/>
  <c r="EI120" i="1"/>
  <c r="CC126" i="1"/>
  <c r="DH126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ET14" i="1" s="1"/>
  <c r="R18" i="1"/>
  <c r="AF36" i="1"/>
  <c r="AM36" i="1" s="1"/>
  <c r="FU121" i="1"/>
  <c r="FQ121" i="1"/>
  <c r="CV121" i="1"/>
  <c r="AE44" i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DB32" i="1"/>
  <c r="AC59" i="1"/>
  <c r="BD121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CT99" i="1"/>
  <c r="AF57" i="1"/>
  <c r="AI57" i="1" s="1"/>
  <c r="GJ121" i="1"/>
  <c r="EP120" i="1"/>
  <c r="GX127" i="1"/>
  <c r="HB121" i="1"/>
  <c r="FE121" i="1"/>
  <c r="CK121" i="1"/>
  <c r="AE36" i="1"/>
  <c r="ET36" i="1" s="1"/>
  <c r="DB126" i="1"/>
  <c r="GS120" i="1"/>
  <c r="GI126" i="1"/>
  <c r="R21" i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R53" i="1"/>
  <c r="HI121" i="1"/>
  <c r="EY121" i="1"/>
  <c r="EH121" i="1"/>
  <c r="CQ121" i="1"/>
  <c r="BV121" i="1"/>
  <c r="CO121" i="1"/>
  <c r="CT117" i="1"/>
  <c r="GV120" i="1"/>
  <c r="CL117" i="1"/>
  <c r="GM98" i="1"/>
  <c r="FR98" i="1"/>
  <c r="CR98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BG117" i="1"/>
  <c r="DT117" i="1"/>
  <c r="DA117" i="1"/>
  <c r="EC117" i="1"/>
  <c r="FZ117" i="1"/>
  <c r="EP117" i="1"/>
  <c r="CA117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AZ117" i="1"/>
  <c r="CU117" i="1"/>
  <c r="GE121" i="1"/>
  <c r="HG121" i="1"/>
  <c r="FU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F117" i="1"/>
  <c r="CV117" i="1"/>
  <c r="BQ117" i="1"/>
  <c r="CD117" i="1"/>
  <c r="BT117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BY121" i="1"/>
  <c r="BH117" i="1"/>
  <c r="CG117" i="1"/>
  <c r="HI98" i="1"/>
  <c r="EN98" i="1"/>
  <c r="AZ66" i="1"/>
  <c r="GM66" i="1" s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ET27" i="1" s="1"/>
  <c r="AF27" i="1"/>
  <c r="AC27" i="1"/>
  <c r="AD27" i="1"/>
  <c r="EE121" i="1"/>
  <c r="GO127" i="1"/>
  <c r="CS117" i="1"/>
  <c r="AF40" i="1"/>
  <c r="GZ98" i="1"/>
  <c r="EO98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M117" i="1"/>
  <c r="CY117" i="1"/>
  <c r="DI98" i="1"/>
  <c r="ET98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DC73" i="1"/>
  <c r="BT73" i="1"/>
  <c r="BV73" i="1"/>
  <c r="BS73" i="1"/>
  <c r="BF73" i="1"/>
  <c r="DE73" i="1"/>
  <c r="CI73" i="1"/>
  <c r="GW73" i="1"/>
  <c r="BG73" i="1"/>
  <c r="CO73" i="1"/>
  <c r="BH73" i="1"/>
  <c r="BZ73" i="1"/>
  <c r="DB73" i="1"/>
  <c r="GJ73" i="1"/>
  <c r="GK73" i="1" s="1"/>
  <c r="DF73" i="1"/>
  <c r="AZ73" i="1"/>
  <c r="GM73" i="1" s="1"/>
  <c r="DD73" i="1"/>
  <c r="BY73" i="1"/>
  <c r="BD73" i="1"/>
  <c r="DH73" i="1" s="1"/>
  <c r="BW73" i="1"/>
  <c r="GL73" i="1"/>
  <c r="HI73" i="1"/>
  <c r="GJ33" i="1"/>
  <c r="GK33" i="1" s="1"/>
  <c r="BT33" i="1"/>
  <c r="BZ33" i="1"/>
  <c r="BF33" i="1"/>
  <c r="BI33" i="1" s="1"/>
  <c r="BY33" i="1"/>
  <c r="GL33" i="1"/>
  <c r="CO33" i="1"/>
  <c r="BH33" i="1"/>
  <c r="BV33" i="1"/>
  <c r="AZ33" i="1"/>
  <c r="GM33" i="1" s="1"/>
  <c r="BW33" i="1"/>
  <c r="DD33" i="1"/>
  <c r="GW33" i="1"/>
  <c r="DE33" i="1"/>
  <c r="DF33" i="1"/>
  <c r="DB33" i="1"/>
  <c r="DC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BZ72" i="1"/>
  <c r="CO72" i="1"/>
  <c r="BT72" i="1"/>
  <c r="BG72" i="1"/>
  <c r="HI72" i="1"/>
  <c r="DE72" i="1"/>
  <c r="BD72" i="1"/>
  <c r="DH72" i="1" s="1"/>
  <c r="GJ72" i="1"/>
  <c r="GK72" i="1" s="1"/>
  <c r="BH72" i="1"/>
  <c r="GL72" i="1"/>
  <c r="BW72" i="1"/>
  <c r="DF72" i="1"/>
  <c r="GW72" i="1"/>
  <c r="AZ72" i="1"/>
  <c r="GM72" i="1" s="1"/>
  <c r="DC72" i="1"/>
  <c r="DG72" i="1"/>
  <c r="DB72" i="1"/>
  <c r="CI72" i="1"/>
  <c r="BV72" i="1"/>
  <c r="BY72" i="1"/>
  <c r="BF72" i="1"/>
  <c r="DD32" i="1"/>
  <c r="DC32" i="1"/>
  <c r="BD32" i="1"/>
  <c r="DH32" i="1" s="1"/>
  <c r="GW32" i="1"/>
  <c r="BV32" i="1"/>
  <c r="DF32" i="1"/>
  <c r="BS32" i="1"/>
  <c r="BW32" i="1"/>
  <c r="DG32" i="1"/>
  <c r="BZ32" i="1"/>
  <c r="HI32" i="1"/>
  <c r="BG32" i="1"/>
  <c r="CI32" i="1"/>
  <c r="BT32" i="1"/>
  <c r="CO32" i="1"/>
  <c r="BY32" i="1"/>
  <c r="BH32" i="1"/>
  <c r="AZ32" i="1"/>
  <c r="GM32" i="1" s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BZ55" i="1"/>
  <c r="BV55" i="1"/>
  <c r="DC55" i="1"/>
  <c r="GW55" i="1"/>
  <c r="BH55" i="1"/>
  <c r="DF55" i="1"/>
  <c r="DB55" i="1"/>
  <c r="GL55" i="1"/>
  <c r="BT55" i="1"/>
  <c r="AZ55" i="1"/>
  <c r="GM55" i="1" s="1"/>
  <c r="CI55" i="1"/>
  <c r="BF55" i="1"/>
  <c r="DE55" i="1"/>
  <c r="BD55" i="1"/>
  <c r="DH55" i="1" s="1"/>
  <c r="BW55" i="1"/>
  <c r="BY55" i="1"/>
  <c r="BS55" i="1"/>
  <c r="D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CD84" i="1"/>
  <c r="EV116" i="1"/>
  <c r="HH116" i="1"/>
  <c r="GZ116" i="1"/>
  <c r="R59" i="1"/>
  <c r="X59" i="1" s="1"/>
  <c r="IW59" i="1" s="1"/>
  <c r="IG59" i="1" s="1"/>
  <c r="Q59" i="1"/>
  <c r="GL32" i="1"/>
  <c r="DD55" i="1"/>
  <c r="HI55" i="1"/>
  <c r="BS72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DT104" i="1"/>
  <c r="EC104" i="1"/>
  <c r="DB104" i="1"/>
  <c r="FT104" i="1"/>
  <c r="FK104" i="1"/>
  <c r="AZ104" i="1"/>
  <c r="CD119" i="1"/>
  <c r="DZ119" i="1"/>
  <c r="EL119" i="1"/>
  <c r="CO55" i="1"/>
  <c r="BG55" i="1"/>
  <c r="GM104" i="1"/>
  <c r="BD33" i="1"/>
  <c r="DH33" i="1" s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EO104" i="1"/>
  <c r="DW104" i="1"/>
  <c r="EG104" i="1"/>
  <c r="DI104" i="1"/>
  <c r="DM104" i="1"/>
  <c r="DK119" i="1"/>
  <c r="EC119" i="1"/>
  <c r="FX119" i="1"/>
  <c r="BS33" i="1"/>
  <c r="BG33" i="1"/>
  <c r="DD72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HI33" i="1"/>
  <c r="CI33" i="1"/>
  <c r="DG55" i="1"/>
  <c r="AC53" i="1"/>
  <c r="AF59" i="1"/>
  <c r="EU59" i="1" s="1"/>
  <c r="EY59" i="1" s="1"/>
  <c r="AE23" i="1"/>
  <c r="ET23" i="1" s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BL87" i="1"/>
  <c r="BT87" i="1"/>
  <c r="BK87" i="1"/>
  <c r="BG87" i="1"/>
  <c r="BS87" i="1"/>
  <c r="FK87" i="1"/>
  <c r="HI87" i="1"/>
  <c r="GX87" i="1"/>
  <c r="DG87" i="1"/>
  <c r="BY87" i="1"/>
  <c r="GW87" i="1"/>
  <c r="BZ87" i="1"/>
  <c r="ET87" i="1"/>
  <c r="DH87" i="1"/>
  <c r="BJ87" i="1"/>
  <c r="CO87" i="1"/>
  <c r="BD87" i="1"/>
  <c r="CI87" i="1"/>
  <c r="GV87" i="1"/>
  <c r="BT23" i="1"/>
  <c r="BD23" i="1"/>
  <c r="DH23" i="1" s="1"/>
  <c r="DG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DK84" i="1"/>
  <c r="BV84" i="1"/>
  <c r="GK84" i="1"/>
  <c r="EU84" i="1"/>
  <c r="GL84" i="1"/>
  <c r="GM84" i="1"/>
  <c r="ES84" i="1"/>
  <c r="HI84" i="1"/>
  <c r="DC84" i="1"/>
  <c r="ET84" i="1"/>
  <c r="DI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EL116" i="1"/>
  <c r="AE53" i="1"/>
  <c r="ET53" i="1" s="1"/>
  <c r="R30" i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DD87" i="1"/>
  <c r="AC40" i="1"/>
  <c r="AE40" i="1"/>
  <c r="ET40" i="1" s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FU119" i="1"/>
  <c r="FP119" i="1"/>
  <c r="EW77" i="1"/>
  <c r="CD87" i="1"/>
  <c r="BF87" i="1"/>
  <c r="DE87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L87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FQ77" i="1"/>
  <c r="FM77" i="1"/>
  <c r="EZ116" i="1"/>
  <c r="Q50" i="1"/>
  <c r="Q27" i="1"/>
  <c r="GW57" i="1"/>
  <c r="CO57" i="1"/>
  <c r="DB57" i="1"/>
  <c r="GL57" i="1"/>
  <c r="BF57" i="1"/>
  <c r="BI57" i="1" s="1"/>
  <c r="BY57" i="1"/>
  <c r="DD57" i="1"/>
  <c r="AZ57" i="1"/>
  <c r="GM57" i="1" s="1"/>
  <c r="BW57" i="1"/>
  <c r="BV57" i="1"/>
  <c r="GJ57" i="1"/>
  <c r="CI57" i="1"/>
  <c r="DF57" i="1"/>
  <c r="BG57" i="1"/>
  <c r="HI57" i="1"/>
  <c r="DC57" i="1"/>
  <c r="BD57" i="1"/>
  <c r="DH57" i="1" s="1"/>
  <c r="DE57" i="1"/>
  <c r="BS57" i="1"/>
  <c r="BH57" i="1"/>
  <c r="AC42" i="1"/>
  <c r="R27" i="1"/>
  <c r="Q23" i="1"/>
  <c r="AD21" i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V86" i="1"/>
  <c r="BN86" i="1"/>
  <c r="BP86" i="1" s="1"/>
  <c r="BS86" i="1"/>
  <c r="BJ86" i="1"/>
  <c r="BO86" i="1" s="1"/>
  <c r="CH86" i="1" s="1"/>
  <c r="CO86" i="1"/>
  <c r="BF86" i="1"/>
  <c r="BI86" i="1"/>
  <c r="BY86" i="1"/>
  <c r="BH86" i="1"/>
  <c r="BD86" i="1"/>
  <c r="DD54" i="1"/>
  <c r="DK54" i="1" s="1"/>
  <c r="GJ54" i="1"/>
  <c r="GK54" i="1" s="1"/>
  <c r="EU54" i="1"/>
  <c r="EY54" i="1" s="1"/>
  <c r="DE54" i="1"/>
  <c r="BW54" i="1"/>
  <c r="BD54" i="1"/>
  <c r="DH54" i="1" s="1"/>
  <c r="HI54" i="1"/>
  <c r="BS54" i="1"/>
  <c r="GW54" i="1"/>
  <c r="DB54" i="1"/>
  <c r="CO54" i="1"/>
  <c r="BT54" i="1"/>
  <c r="BG54" i="1"/>
  <c r="GW36" i="1"/>
  <c r="GJ36" i="1"/>
  <c r="GK36" i="1" s="1"/>
  <c r="BT36" i="1"/>
  <c r="DD36" i="1"/>
  <c r="DF36" i="1"/>
  <c r="DB36" i="1"/>
  <c r="BY36" i="1"/>
  <c r="BZ36" i="1"/>
  <c r="DC36" i="1"/>
  <c r="BW36" i="1"/>
  <c r="AZ36" i="1"/>
  <c r="GM36" i="1" s="1"/>
  <c r="CO36" i="1"/>
  <c r="HI36" i="1"/>
  <c r="CI36" i="1"/>
  <c r="GJ52" i="1"/>
  <c r="GK52" i="1" s="1"/>
  <c r="BS52" i="1"/>
  <c r="BT52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EX126" i="1"/>
  <c r="DX126" i="1"/>
  <c r="GC126" i="1"/>
  <c r="FL126" i="1"/>
  <c r="FW126" i="1"/>
  <c r="GQ126" i="1"/>
  <c r="GV126" i="1"/>
  <c r="ES86" i="1"/>
  <c r="BL86" i="1"/>
  <c r="GX86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ER112" i="1"/>
  <c r="GX112" i="1"/>
  <c r="BW70" i="1"/>
  <c r="BD70" i="1"/>
  <c r="DH70" i="1" s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DL102" i="1"/>
  <c r="FN102" i="1"/>
  <c r="EU112" i="1"/>
  <c r="EM112" i="1"/>
  <c r="CR112" i="1"/>
  <c r="DC70" i="1"/>
  <c r="BY70" i="1"/>
  <c r="CX102" i="1"/>
  <c r="BO102" i="1"/>
  <c r="CY102" i="1"/>
  <c r="DV112" i="1"/>
  <c r="DG112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C112" i="1"/>
  <c r="DE70" i="1"/>
  <c r="CK102" i="1"/>
  <c r="CO102" i="1"/>
  <c r="CJ102" i="1"/>
  <c r="DQ112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CI78" i="1"/>
  <c r="BB112" i="1"/>
  <c r="CC112" i="1"/>
  <c r="BF70" i="1"/>
  <c r="CI70" i="1"/>
  <c r="CM102" i="1"/>
  <c r="CZ102" i="1"/>
  <c r="CW102" i="1"/>
  <c r="EB112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EZ112" i="1"/>
  <c r="BK112" i="1"/>
  <c r="ES112" i="1"/>
  <c r="BH70" i="1"/>
  <c r="DF70" i="1"/>
  <c r="CO70" i="1"/>
  <c r="BS70" i="1"/>
  <c r="EQ102" i="1"/>
  <c r="CS102" i="1"/>
  <c r="EM102" i="1"/>
  <c r="CP102" i="1"/>
  <c r="FM112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DN102" i="1"/>
  <c r="BA102" i="1"/>
  <c r="HD102" i="1"/>
  <c r="CH78" i="1"/>
  <c r="EO112" i="1"/>
  <c r="CH112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CE102" i="1"/>
  <c r="EL102" i="1"/>
  <c r="GL70" i="1"/>
  <c r="GW70" i="1"/>
  <c r="Q113" i="1"/>
  <c r="AF109" i="1"/>
  <c r="AM109" i="1" s="1"/>
  <c r="AF108" i="1"/>
  <c r="AM108" i="1" s="1"/>
  <c r="R105" i="1"/>
  <c r="X105" i="1" s="1"/>
  <c r="IW105" i="1" s="1"/>
  <c r="IG105" i="1" s="1"/>
  <c r="Q105" i="1"/>
  <c r="AC103" i="1"/>
  <c r="Q103" i="1"/>
  <c r="Q101" i="1"/>
  <c r="AD100" i="1"/>
  <c r="AH100" i="1" s="1"/>
  <c r="Q97" i="1"/>
  <c r="R94" i="1"/>
  <c r="X94" i="1" s="1"/>
  <c r="Q94" i="1"/>
  <c r="AF92" i="1"/>
  <c r="AI92" i="1" s="1"/>
  <c r="AF91" i="1"/>
  <c r="AI91" i="1" s="1"/>
  <c r="BW87" i="1"/>
  <c r="DC87" i="1"/>
  <c r="GU87" i="1"/>
  <c r="DT87" i="1"/>
  <c r="DJ87" i="1"/>
  <c r="AZ87" i="1"/>
  <c r="BM87" i="1"/>
  <c r="BR87" i="1" s="1"/>
  <c r="EY87" i="1"/>
  <c r="ES87" i="1"/>
  <c r="AE86" i="1"/>
  <c r="BZ84" i="1"/>
  <c r="BJ84" i="1"/>
  <c r="BO84" i="1" s="1"/>
  <c r="CH84" i="1" s="1"/>
  <c r="DB84" i="1"/>
  <c r="GV84" i="1"/>
  <c r="BH84" i="1"/>
  <c r="DF84" i="1"/>
  <c r="DJ84" i="1"/>
  <c r="BW84" i="1"/>
  <c r="DG84" i="1"/>
  <c r="BS84" i="1"/>
  <c r="BN84" i="1"/>
  <c r="BP84" i="1" s="1"/>
  <c r="BY84" i="1"/>
  <c r="BL84" i="1"/>
  <c r="BM84" i="1"/>
  <c r="FK84" i="1"/>
  <c r="GW84" i="1"/>
  <c r="BT84" i="1"/>
  <c r="AC80" i="1"/>
  <c r="Q69" i="1"/>
  <c r="GL68" i="1"/>
  <c r="BT68" i="1"/>
  <c r="DF68" i="1"/>
  <c r="BV68" i="1"/>
  <c r="BH68" i="1"/>
  <c r="DB68" i="1"/>
  <c r="DI68" i="1" s="1"/>
  <c r="GJ68" i="1"/>
  <c r="GK68" i="1" s="1"/>
  <c r="Q64" i="1"/>
  <c r="AE45" i="1"/>
  <c r="ET45" i="1" s="1"/>
  <c r="AE35" i="1"/>
  <c r="ET35" i="1" s="1"/>
  <c r="AE18" i="1"/>
  <c r="ET18" i="1" s="1"/>
  <c r="Q14" i="1"/>
  <c r="AF13" i="1"/>
  <c r="EU13" i="1" s="1"/>
  <c r="EY13" i="1" s="1"/>
  <c r="AH10" i="1"/>
  <c r="DK94" i="1"/>
  <c r="DD2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ET30" i="1" s="1"/>
  <c r="DC22" i="1"/>
  <c r="BZ30" i="1"/>
  <c r="DF30" i="1"/>
  <c r="DE62" i="1"/>
  <c r="DG94" i="1"/>
  <c r="EL94" i="1"/>
  <c r="GQ94" i="1"/>
  <c r="CI22" i="1"/>
  <c r="BT22" i="1"/>
  <c r="DE22" i="1"/>
  <c r="DG22" i="1"/>
  <c r="CO22" i="1"/>
  <c r="DB22" i="1"/>
  <c r="DF22" i="1"/>
  <c r="GJ22" i="1"/>
  <c r="GK22" i="1" s="1"/>
  <c r="BW22" i="1"/>
  <c r="AZ22" i="1"/>
  <c r="GM22" i="1" s="1"/>
  <c r="GW22" i="1"/>
  <c r="AF26" i="1"/>
  <c r="AI26" i="1" s="1"/>
  <c r="AC26" i="1"/>
  <c r="AE26" i="1"/>
  <c r="ET26" i="1" s="1"/>
  <c r="AD26" i="1"/>
  <c r="AH26" i="1" s="1"/>
  <c r="BG30" i="1"/>
  <c r="AZ30" i="1"/>
  <c r="GM30" i="1" s="1"/>
  <c r="GL30" i="1"/>
  <c r="AD35" i="1"/>
  <c r="AH35" i="1" s="1"/>
  <c r="BS22" i="1"/>
  <c r="EC94" i="1"/>
  <c r="CU94" i="1"/>
  <c r="GM94" i="1"/>
  <c r="AC30" i="1"/>
  <c r="DB44" i="1"/>
  <c r="BV44" i="1"/>
  <c r="GL44" i="1"/>
  <c r="GW44" i="1"/>
  <c r="Q22" i="1"/>
  <c r="R22" i="1"/>
  <c r="CI49" i="1"/>
  <c r="AZ49" i="1"/>
  <c r="GM49" i="1" s="1"/>
  <c r="CO49" i="1"/>
  <c r="GJ49" i="1"/>
  <c r="GK49" i="1" s="1"/>
  <c r="DB49" i="1"/>
  <c r="DB30" i="1"/>
  <c r="BD30" i="1"/>
  <c r="DH30" i="1" s="1"/>
  <c r="AC35" i="1"/>
  <c r="GL22" i="1"/>
  <c r="BH22" i="1"/>
  <c r="BY22" i="1"/>
  <c r="BG22" i="1"/>
  <c r="GL62" i="1"/>
  <c r="BK94" i="1"/>
  <c r="DD94" i="1"/>
  <c r="GW62" i="1"/>
  <c r="ES62" i="1"/>
  <c r="DD62" i="1"/>
  <c r="BS62" i="1"/>
  <c r="BH62" i="1"/>
  <c r="BT62" i="1"/>
  <c r="BD62" i="1"/>
  <c r="DH62" i="1" s="1"/>
  <c r="CO62" i="1"/>
  <c r="AZ62" i="1"/>
  <c r="GM62" i="1" s="1"/>
  <c r="BW62" i="1"/>
  <c r="DG62" i="1"/>
  <c r="DC62" i="1"/>
  <c r="BZ62" i="1"/>
  <c r="BF62" i="1"/>
  <c r="BL62" i="1" s="1"/>
  <c r="BY62" i="1"/>
  <c r="HI62" i="1"/>
  <c r="BG62" i="1"/>
  <c r="ET62" i="1"/>
  <c r="DB62" i="1"/>
  <c r="DD30" i="1"/>
  <c r="DG30" i="1"/>
  <c r="DE30" i="1"/>
  <c r="GW30" i="1"/>
  <c r="HI30" i="1"/>
  <c r="BV30" i="1"/>
  <c r="BY30" i="1"/>
  <c r="CI30" i="1"/>
  <c r="AF35" i="1"/>
  <c r="AM35" i="1" s="1"/>
  <c r="HI22" i="1"/>
  <c r="BZ22" i="1"/>
  <c r="CV94" i="1"/>
  <c r="BH94" i="1"/>
  <c r="AD37" i="1"/>
  <c r="AE37" i="1"/>
  <c r="ET37" i="1" s="1"/>
  <c r="BF30" i="1"/>
  <c r="CO30" i="1"/>
  <c r="R14" i="1"/>
  <c r="BV62" i="1"/>
  <c r="GJ62" i="1"/>
  <c r="GK62" i="1" s="1"/>
  <c r="FO94" i="1"/>
  <c r="CB94" i="1"/>
  <c r="GJ30" i="1"/>
  <c r="GK30" i="1" s="1"/>
  <c r="AF30" i="1"/>
  <c r="AI30" i="1" s="1"/>
  <c r="BF22" i="1"/>
  <c r="DF62" i="1"/>
  <c r="FE94" i="1"/>
  <c r="HD94" i="1"/>
  <c r="GJ44" i="1"/>
  <c r="GK44" i="1" s="1"/>
  <c r="DD44" i="1"/>
  <c r="DC30" i="1"/>
  <c r="BH30" i="1"/>
  <c r="BV22" i="1"/>
  <c r="BD22" i="1"/>
  <c r="DH22" i="1" s="1"/>
  <c r="FT94" i="1"/>
  <c r="BM94" i="1"/>
  <c r="BX94" i="1"/>
  <c r="AC14" i="1"/>
  <c r="AF12" i="1"/>
  <c r="AD18" i="1"/>
  <c r="AH18" i="1" s="1"/>
  <c r="AD51" i="1"/>
  <c r="BT28" i="1"/>
  <c r="DD38" i="1"/>
  <c r="DF38" i="1"/>
  <c r="DC28" i="1"/>
  <c r="GJ28" i="1"/>
  <c r="BY28" i="1"/>
  <c r="BH28" i="1"/>
  <c r="GL28" i="1"/>
  <c r="DD28" i="1"/>
  <c r="BV28" i="1"/>
  <c r="BD28" i="1"/>
  <c r="DH28" i="1" s="1"/>
  <c r="BF28" i="1"/>
  <c r="DF28" i="1"/>
  <c r="GW28" i="1"/>
  <c r="AZ28" i="1"/>
  <c r="GM28" i="1" s="1"/>
  <c r="DB28" i="1"/>
  <c r="BG28" i="1"/>
  <c r="CI28" i="1"/>
  <c r="Q26" i="1"/>
  <c r="R26" i="1"/>
  <c r="AE51" i="1"/>
  <c r="ET51" i="1" s="1"/>
  <c r="R23" i="1"/>
  <c r="AE12" i="1"/>
  <c r="ET12" i="1" s="1"/>
  <c r="AD45" i="1"/>
  <c r="AF45" i="1"/>
  <c r="R19" i="1"/>
  <c r="AD32" i="1"/>
  <c r="AH32" i="1" s="1"/>
  <c r="BS28" i="1"/>
  <c r="DG28" i="1"/>
  <c r="BD20" i="1"/>
  <c r="DH20" i="1" s="1"/>
  <c r="AD12" i="1"/>
  <c r="AC51" i="1"/>
  <c r="AF18" i="1"/>
  <c r="AC45" i="1"/>
  <c r="AF32" i="1"/>
  <c r="EU32" i="1" s="1"/>
  <c r="EY32" i="1" s="1"/>
  <c r="AE32" i="1"/>
  <c r="ET32" i="1" s="1"/>
  <c r="BW28" i="1"/>
  <c r="BZ28" i="1"/>
  <c r="Q52" i="1"/>
  <c r="R52" i="1"/>
  <c r="AZ38" i="1"/>
  <c r="GM38" i="1" s="1"/>
  <c r="BH38" i="1"/>
  <c r="BW38" i="1"/>
  <c r="BF38" i="1"/>
  <c r="HI38" i="1"/>
  <c r="DB38" i="1"/>
  <c r="BZ38" i="1"/>
  <c r="BT38" i="1"/>
  <c r="DC38" i="1"/>
  <c r="CI38" i="1"/>
  <c r="CO38" i="1"/>
  <c r="BV38" i="1"/>
  <c r="DE38" i="1"/>
  <c r="BY38" i="1"/>
  <c r="GL38" i="1"/>
  <c r="GW38" i="1"/>
  <c r="BD38" i="1"/>
  <c r="DH38" i="1" s="1"/>
  <c r="DG38" i="1"/>
  <c r="AF14" i="1"/>
  <c r="EU14" i="1" s="1"/>
  <c r="AC10" i="1"/>
  <c r="AF10" i="1"/>
  <c r="EU10" i="1" s="1"/>
  <c r="EY10" i="1" s="1"/>
  <c r="AE10" i="1"/>
  <c r="ET10" i="1" s="1"/>
  <c r="AF51" i="1"/>
  <c r="AC12" i="1"/>
  <c r="DE28" i="1"/>
  <c r="GL11" i="1"/>
  <c r="AC39" i="1"/>
  <c r="AE39" i="1"/>
  <c r="ET39" i="1" s="1"/>
  <c r="Q11" i="1"/>
  <c r="R11" i="1"/>
  <c r="AC18" i="1"/>
  <c r="HI28" i="1"/>
  <c r="CO28" i="1"/>
  <c r="GJ35" i="1"/>
  <c r="GK35" i="1" s="1"/>
  <c r="DC11" i="1"/>
  <c r="DG11" i="1"/>
  <c r="CO11" i="1"/>
  <c r="BT11" i="1"/>
  <c r="GJ11" i="1"/>
  <c r="GK11" i="1" s="1"/>
  <c r="BF11" i="1"/>
  <c r="CI11" i="1"/>
  <c r="DB11" i="1"/>
  <c r="DF11" i="1"/>
  <c r="DE11" i="1"/>
  <c r="BZ11" i="1"/>
  <c r="AZ11" i="1"/>
  <c r="GM11" i="1" s="1"/>
  <c r="DD11" i="1"/>
  <c r="BG11" i="1"/>
  <c r="BY11" i="1"/>
  <c r="BH11" i="1"/>
  <c r="HI11" i="1"/>
  <c r="BW11" i="1"/>
  <c r="GW11" i="1"/>
  <c r="BD11" i="1"/>
  <c r="DH11" i="1" s="1"/>
  <c r="BV11" i="1"/>
  <c r="DC35" i="1"/>
  <c r="CO35" i="1"/>
  <c r="BZ35" i="1"/>
  <c r="BD35" i="1"/>
  <c r="DH35" i="1" s="1"/>
  <c r="BW35" i="1"/>
  <c r="DD35" i="1"/>
  <c r="BG35" i="1"/>
  <c r="BV35" i="1"/>
  <c r="GL35" i="1"/>
  <c r="CI35" i="1"/>
  <c r="HI35" i="1"/>
  <c r="AZ35" i="1"/>
  <c r="GM35" i="1" s="1"/>
  <c r="BT35" i="1"/>
  <c r="GW35" i="1"/>
  <c r="BY35" i="1"/>
  <c r="BS35" i="1"/>
  <c r="BH35" i="1"/>
  <c r="BF35" i="1"/>
  <c r="BI35" i="1" s="1"/>
  <c r="DB35" i="1"/>
  <c r="DG35" i="1"/>
  <c r="DE35" i="1"/>
  <c r="R15" i="1"/>
  <c r="DF35" i="1"/>
  <c r="BS38" i="1"/>
  <c r="BG38" i="1"/>
  <c r="AD14" i="1"/>
  <c r="R42" i="1"/>
  <c r="AF60" i="1"/>
  <c r="AI60" i="1" s="1"/>
  <c r="BY49" i="1"/>
  <c r="AD42" i="1"/>
  <c r="AH42" i="1" s="1"/>
  <c r="AE42" i="1"/>
  <c r="Q41" i="1"/>
  <c r="R33" i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GW66" i="1"/>
  <c r="EQ95" i="1"/>
  <c r="CH100" i="1"/>
  <c r="DH100" i="1"/>
  <c r="BX100" i="1"/>
  <c r="EH80" i="1"/>
  <c r="DD75" i="1"/>
  <c r="BD75" i="1"/>
  <c r="DH75" i="1" s="1"/>
  <c r="BS75" i="1"/>
  <c r="DB75" i="1"/>
  <c r="BT75" i="1"/>
  <c r="BH75" i="1"/>
  <c r="BF75" i="1"/>
  <c r="DC75" i="1"/>
  <c r="CI75" i="1"/>
  <c r="BY75" i="1"/>
  <c r="ET75" i="1"/>
  <c r="BZ75" i="1"/>
  <c r="HI75" i="1"/>
  <c r="EU75" i="1"/>
  <c r="EY75" i="1" s="1"/>
  <c r="DF75" i="1"/>
  <c r="DG75" i="1"/>
  <c r="GJ75" i="1"/>
  <c r="GK75" i="1" s="1"/>
  <c r="CO75" i="1"/>
  <c r="BV75" i="1"/>
  <c r="DE75" i="1"/>
  <c r="ES75" i="1"/>
  <c r="GW75" i="1"/>
  <c r="BW75" i="1"/>
  <c r="GL75" i="1"/>
  <c r="AZ75" i="1"/>
  <c r="GM75" i="1" s="1"/>
  <c r="BG75" i="1"/>
  <c r="BG31" i="1"/>
  <c r="DC31" i="1"/>
  <c r="DD31" i="1"/>
  <c r="DB31" i="1"/>
  <c r="GL31" i="1"/>
  <c r="BW31" i="1"/>
  <c r="DF31" i="1"/>
  <c r="HI31" i="1"/>
  <c r="GJ31" i="1"/>
  <c r="BT31" i="1"/>
  <c r="CI31" i="1"/>
  <c r="DE31" i="1"/>
  <c r="BV31" i="1"/>
  <c r="AZ31" i="1"/>
  <c r="GM31" i="1" s="1"/>
  <c r="BF31" i="1"/>
  <c r="BD31" i="1"/>
  <c r="DH31" i="1" s="1"/>
  <c r="CO31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BY31" i="1"/>
  <c r="BR81" i="1"/>
  <c r="BQ100" i="1"/>
  <c r="HG80" i="1"/>
  <c r="DS81" i="1"/>
  <c r="EJ81" i="1"/>
  <c r="EK95" i="1"/>
  <c r="DD34" i="1"/>
  <c r="DE34" i="1"/>
  <c r="DB63" i="1"/>
  <c r="GL63" i="1"/>
  <c r="DD63" i="1"/>
  <c r="BH63" i="1"/>
  <c r="DE63" i="1"/>
  <c r="GJ63" i="1"/>
  <c r="GK63" i="1" s="1"/>
  <c r="GW63" i="1"/>
  <c r="BF63" i="1"/>
  <c r="BI63" i="1" s="1"/>
  <c r="AZ63" i="1"/>
  <c r="BT63" i="1"/>
  <c r="BG63" i="1"/>
  <c r="BY63" i="1"/>
  <c r="HI63" i="1"/>
  <c r="BS63" i="1"/>
  <c r="CI63" i="1"/>
  <c r="CO63" i="1"/>
  <c r="BD63" i="1"/>
  <c r="DH63" i="1" s="1"/>
  <c r="BZ63" i="1"/>
  <c r="BW63" i="1"/>
  <c r="BN85" i="1"/>
  <c r="BP85" i="1" s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BS31" i="1"/>
  <c r="CU80" i="1"/>
  <c r="DI85" i="1"/>
  <c r="BS85" i="1"/>
  <c r="BH81" i="1"/>
  <c r="HB100" i="1"/>
  <c r="CT100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GW31" i="1"/>
  <c r="GD98" i="1"/>
  <c r="CQ81" i="1"/>
  <c r="BY81" i="1"/>
  <c r="DE81" i="1"/>
  <c r="EB81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DC66" i="1"/>
  <c r="BH31" i="1"/>
  <c r="BZ31" i="1"/>
  <c r="BZ95" i="1"/>
  <c r="FB81" i="1"/>
  <c r="CM100" i="1"/>
  <c r="GM80" i="1"/>
  <c r="GV81" i="1"/>
  <c r="DF66" i="1"/>
  <c r="BH66" i="1"/>
  <c r="DE66" i="1"/>
  <c r="BF66" i="1"/>
  <c r="BI66" i="1" s="1"/>
  <c r="DG66" i="1"/>
  <c r="DB66" i="1"/>
  <c r="BD66" i="1"/>
  <c r="DH66" i="1" s="1"/>
  <c r="CI66" i="1"/>
  <c r="BS66" i="1"/>
  <c r="BY66" i="1"/>
  <c r="DD66" i="1"/>
  <c r="GJ66" i="1"/>
  <c r="BZ66" i="1"/>
  <c r="HI66" i="1"/>
  <c r="BT66" i="1"/>
  <c r="CO66" i="1"/>
  <c r="BW66" i="1"/>
  <c r="GL66" i="1"/>
  <c r="BL85" i="1"/>
  <c r="EU85" i="1"/>
  <c r="DG85" i="1"/>
  <c r="ET85" i="1"/>
  <c r="DE85" i="1"/>
  <c r="BI85" i="1"/>
  <c r="CD85" i="1"/>
  <c r="DC85" i="1"/>
  <c r="DK85" i="1"/>
  <c r="DD85" i="1"/>
  <c r="DB85" i="1"/>
  <c r="BW85" i="1"/>
  <c r="BV85" i="1"/>
  <c r="BT85" i="1"/>
  <c r="ES85" i="1"/>
  <c r="BM85" i="1"/>
  <c r="BD85" i="1"/>
  <c r="DH85" i="1"/>
  <c r="CO85" i="1"/>
  <c r="BY85" i="1"/>
  <c r="DF85" i="1"/>
  <c r="BJ85" i="1"/>
  <c r="BR85" i="1" s="1"/>
  <c r="BH85" i="1"/>
  <c r="DJ85" i="1"/>
  <c r="BF85" i="1"/>
  <c r="BZ85" i="1"/>
  <c r="FK85" i="1"/>
  <c r="DT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CS80" i="1"/>
  <c r="CZ80" i="1"/>
  <c r="DG31" i="1"/>
  <c r="DK80" i="1"/>
  <c r="EF81" i="1"/>
  <c r="GJ48" i="1"/>
  <c r="GA98" i="1"/>
  <c r="HH98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BG66" i="1"/>
  <c r="BV66" i="1"/>
  <c r="DF63" i="1"/>
  <c r="BK85" i="1"/>
  <c r="CQ80" i="1"/>
  <c r="Q57" i="1"/>
  <c r="GW56" i="1"/>
  <c r="BZ56" i="1"/>
  <c r="AZ56" i="1"/>
  <c r="GM56" i="1" s="1"/>
  <c r="BD56" i="1"/>
  <c r="DH56" i="1" s="1"/>
  <c r="BG56" i="1"/>
  <c r="BS56" i="1"/>
  <c r="GJ56" i="1"/>
  <c r="GK56" i="1" s="1"/>
  <c r="BY56" i="1"/>
  <c r="DD56" i="1"/>
  <c r="DB56" i="1"/>
  <c r="DF56" i="1"/>
  <c r="CI56" i="1"/>
  <c r="CO56" i="1"/>
  <c r="DE56" i="1"/>
  <c r="BV56" i="1"/>
  <c r="BH56" i="1"/>
  <c r="HI56" i="1"/>
  <c r="BT53" i="1"/>
  <c r="CI53" i="1"/>
  <c r="DG53" i="1"/>
  <c r="BG53" i="1"/>
  <c r="DF53" i="1"/>
  <c r="AZ53" i="1"/>
  <c r="CO53" i="1"/>
  <c r="BY53" i="1"/>
  <c r="BD53" i="1"/>
  <c r="DH53" i="1" s="1"/>
  <c r="BZ53" i="1"/>
  <c r="BF53" i="1"/>
  <c r="BI53" i="1" s="1"/>
  <c r="BS53" i="1"/>
  <c r="BH53" i="1"/>
  <c r="GW53" i="1"/>
  <c r="DD53" i="1"/>
  <c r="DC53" i="1"/>
  <c r="HI53" i="1"/>
  <c r="DB53" i="1"/>
  <c r="BV53" i="1"/>
  <c r="DE53" i="1"/>
  <c r="GJ53" i="1"/>
  <c r="GL53" i="1"/>
  <c r="R51" i="1"/>
  <c r="Q49" i="1"/>
  <c r="Q48" i="1"/>
  <c r="R37" i="1"/>
  <c r="BW23" i="1"/>
  <c r="BF23" i="1"/>
  <c r="BV23" i="1"/>
  <c r="GJ23" i="1"/>
  <c r="DD23" i="1"/>
  <c r="BZ23" i="1"/>
  <c r="DC23" i="1"/>
  <c r="DE23" i="1"/>
  <c r="DB23" i="1"/>
  <c r="CO23" i="1"/>
  <c r="BS23" i="1"/>
  <c r="BG23" i="1"/>
  <c r="HI23" i="1"/>
  <c r="AZ23" i="1"/>
  <c r="GM23" i="1" s="1"/>
  <c r="CI23" i="1"/>
  <c r="BY23" i="1"/>
  <c r="GL23" i="1"/>
  <c r="BH23" i="1"/>
  <c r="AH13" i="1"/>
  <c r="CW78" i="1"/>
  <c r="CV78" i="1"/>
  <c r="BJ78" i="1"/>
  <c r="FP78" i="1"/>
  <c r="CT78" i="1"/>
  <c r="AZ78" i="1"/>
  <c r="CU78" i="1"/>
  <c r="CS78" i="1"/>
  <c r="BO78" i="1"/>
  <c r="BF78" i="1"/>
  <c r="DD49" i="1"/>
  <c r="BV49" i="1"/>
  <c r="DG49" i="1"/>
  <c r="CD78" i="1"/>
  <c r="DH78" i="1"/>
  <c r="BN78" i="1"/>
  <c r="HI46" i="1"/>
  <c r="BF49" i="1"/>
  <c r="BI49" i="1" s="1"/>
  <c r="BT49" i="1"/>
  <c r="GW49" i="1"/>
  <c r="HI49" i="1"/>
  <c r="CJ78" i="1"/>
  <c r="CR78" i="1"/>
  <c r="EA78" i="1"/>
  <c r="DE78" i="1"/>
  <c r="BG49" i="1"/>
  <c r="BW49" i="1"/>
  <c r="CK78" i="1"/>
  <c r="CA78" i="1"/>
  <c r="BD46" i="1"/>
  <c r="DH46" i="1" s="1"/>
  <c r="BH78" i="1"/>
  <c r="DC49" i="1"/>
  <c r="BD49" i="1"/>
  <c r="DH49" i="1" s="1"/>
  <c r="CL78" i="1"/>
  <c r="CP78" i="1"/>
  <c r="CX78" i="1"/>
  <c r="BS46" i="1"/>
  <c r="DM78" i="1"/>
  <c r="GL49" i="1"/>
  <c r="BH49" i="1"/>
  <c r="CZ78" i="1"/>
  <c r="CF78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GW17" i="1"/>
  <c r="DF17" i="1"/>
  <c r="BW17" i="1"/>
  <c r="BF17" i="1"/>
  <c r="BY17" i="1"/>
  <c r="BH17" i="1"/>
  <c r="CO17" i="1"/>
  <c r="BG17" i="1"/>
  <c r="HI17" i="1"/>
  <c r="BD17" i="1"/>
  <c r="DH17" i="1" s="1"/>
  <c r="DB17" i="1"/>
  <c r="BV17" i="1"/>
  <c r="BT17" i="1"/>
  <c r="BZ17" i="1"/>
  <c r="DD17" i="1"/>
  <c r="GJ17" i="1"/>
  <c r="GK17" i="1" s="1"/>
  <c r="GL17" i="1"/>
  <c r="DC17" i="1"/>
  <c r="DG17" i="1"/>
  <c r="CI17" i="1"/>
  <c r="BS17" i="1"/>
  <c r="DE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DE47" i="1"/>
  <c r="GS114" i="1"/>
  <c r="BF50" i="1"/>
  <c r="BI50" i="1" s="1"/>
  <c r="AZ47" i="1"/>
  <c r="GM47" i="1" s="1"/>
  <c r="GP114" i="1"/>
  <c r="GV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CA82" i="1"/>
  <c r="CE82" i="1"/>
  <c r="BK82" i="1"/>
  <c r="CU82" i="1"/>
  <c r="CL82" i="1"/>
  <c r="DG14" i="1"/>
  <c r="FA111" i="1"/>
  <c r="EN111" i="1"/>
  <c r="DT111" i="1"/>
  <c r="ED111" i="1"/>
  <c r="DL111" i="1"/>
  <c r="FY111" i="1"/>
  <c r="BD69" i="1"/>
  <c r="DH69" i="1" s="1"/>
  <c r="CJ101" i="1"/>
  <c r="DC101" i="1"/>
  <c r="DG69" i="1"/>
  <c r="BY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DM79" i="1"/>
  <c r="CC123" i="1"/>
  <c r="CT123" i="1"/>
  <c r="ET59" i="1"/>
  <c r="GW59" i="1"/>
  <c r="BZ59" i="1"/>
  <c r="DG59" i="1"/>
  <c r="AZ59" i="1"/>
  <c r="GM59" i="1" s="1"/>
  <c r="GJ59" i="1"/>
  <c r="GK59" i="1" s="1"/>
  <c r="DF59" i="1"/>
  <c r="DB59" i="1"/>
  <c r="GL59" i="1"/>
  <c r="BW59" i="1"/>
  <c r="CO59" i="1"/>
  <c r="BY59" i="1"/>
  <c r="CI59" i="1"/>
  <c r="BS59" i="1"/>
  <c r="BV59" i="1"/>
  <c r="HI59" i="1"/>
  <c r="BD59" i="1"/>
  <c r="DH59" i="1" s="1"/>
  <c r="BH59" i="1"/>
  <c r="DC59" i="1"/>
  <c r="BG59" i="1"/>
  <c r="BF59" i="1"/>
  <c r="DE59" i="1"/>
  <c r="EN97" i="1"/>
  <c r="FK97" i="1"/>
  <c r="EU97" i="1"/>
  <c r="EM97" i="1"/>
  <c r="EI97" i="1"/>
  <c r="CV97" i="1"/>
  <c r="FB97" i="1"/>
  <c r="FV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BZ14" i="1"/>
  <c r="BH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CI14" i="1"/>
  <c r="CZ111" i="1"/>
  <c r="FB111" i="1"/>
  <c r="DX111" i="1"/>
  <c r="EC111" i="1"/>
  <c r="DV111" i="1"/>
  <c r="DR111" i="1"/>
  <c r="FA101" i="1"/>
  <c r="DD69" i="1"/>
  <c r="BT69" i="1"/>
  <c r="BF69" i="1"/>
  <c r="BI69" i="1" s="1"/>
  <c r="BV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BD14" i="1"/>
  <c r="DH14" i="1" s="1"/>
  <c r="EE79" i="1"/>
  <c r="EA123" i="1"/>
  <c r="HC123" i="1"/>
  <c r="BY123" i="1"/>
  <c r="BI123" i="1"/>
  <c r="DC123" i="1"/>
  <c r="DK91" i="1"/>
  <c r="DK114" i="1"/>
  <c r="DF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GK14" i="1" s="1"/>
  <c r="GM111" i="1"/>
  <c r="BT111" i="1"/>
  <c r="DY111" i="1"/>
  <c r="EM111" i="1"/>
  <c r="EE111" i="1"/>
  <c r="EA111" i="1"/>
  <c r="DF69" i="1"/>
  <c r="DP101" i="1"/>
  <c r="BZ69" i="1"/>
  <c r="DY96" i="1"/>
  <c r="ED108" i="1"/>
  <c r="EU108" i="1"/>
  <c r="BL108" i="1"/>
  <c r="EM108" i="1"/>
  <c r="BY108" i="1"/>
  <c r="AZ108" i="1"/>
  <c r="BH108" i="1"/>
  <c r="BF108" i="1"/>
  <c r="HI108" i="1"/>
  <c r="CU111" i="1"/>
  <c r="CB111" i="1"/>
  <c r="GV111" i="1"/>
  <c r="CL111" i="1"/>
  <c r="EF111" i="1"/>
  <c r="DJ111" i="1"/>
  <c r="FN111" i="1"/>
  <c r="CO97" i="1"/>
  <c r="BW97" i="1"/>
  <c r="GL65" i="1"/>
  <c r="CG111" i="1"/>
  <c r="FM79" i="1"/>
  <c r="BU123" i="1"/>
  <c r="GV123" i="1"/>
  <c r="DS123" i="1"/>
  <c r="GP79" i="1"/>
  <c r="DG64" i="1"/>
  <c r="CI64" i="1"/>
  <c r="DB64" i="1"/>
  <c r="BS64" i="1"/>
  <c r="HI64" i="1"/>
  <c r="DE64" i="1"/>
  <c r="BY64" i="1"/>
  <c r="DD64" i="1"/>
  <c r="BD64" i="1"/>
  <c r="DH64" i="1" s="1"/>
  <c r="GL64" i="1"/>
  <c r="BW64" i="1"/>
  <c r="CO64" i="1"/>
  <c r="DF64" i="1"/>
  <c r="GW64" i="1"/>
  <c r="DC64" i="1"/>
  <c r="BT64" i="1"/>
  <c r="GJ64" i="1"/>
  <c r="GK64" i="1" s="1"/>
  <c r="BV64" i="1"/>
  <c r="BZ64" i="1"/>
  <c r="BF64" i="1"/>
  <c r="AZ64" i="1"/>
  <c r="GM64" i="1" s="1"/>
  <c r="BH64" i="1"/>
  <c r="GQ114" i="1"/>
  <c r="FG114" i="1"/>
  <c r="GB114" i="1"/>
  <c r="BG14" i="1"/>
  <c r="BV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BW69" i="1"/>
  <c r="DC69" i="1"/>
  <c r="EP101" i="1"/>
  <c r="ET96" i="1"/>
  <c r="HC108" i="1"/>
  <c r="GM108" i="1"/>
  <c r="GK108" i="1"/>
  <c r="GD108" i="1"/>
  <c r="FJ108" i="1"/>
  <c r="EI108" i="1"/>
  <c r="GU108" i="1"/>
  <c r="FR108" i="1"/>
  <c r="BU108" i="1"/>
  <c r="BZ108" i="1"/>
  <c r="CG108" i="1"/>
  <c r="DI111" i="1"/>
  <c r="BN111" i="1"/>
  <c r="GZ111" i="1"/>
  <c r="HF111" i="1"/>
  <c r="GC111" i="1"/>
  <c r="DC111" i="1"/>
  <c r="BH111" i="1"/>
  <c r="DR97" i="1"/>
  <c r="DH97" i="1"/>
  <c r="FP123" i="1"/>
  <c r="FR123" i="1"/>
  <c r="CV123" i="1"/>
  <c r="BG64" i="1"/>
  <c r="GC82" i="1"/>
  <c r="GW47" i="1"/>
  <c r="GK114" i="1"/>
  <c r="AZ50" i="1"/>
  <c r="GM50" i="1" s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CO14" i="1"/>
  <c r="EB111" i="1"/>
  <c r="DF111" i="1"/>
  <c r="FL111" i="1"/>
  <c r="BI111" i="1"/>
  <c r="FX111" i="1"/>
  <c r="EG111" i="1"/>
  <c r="DE111" i="1"/>
  <c r="ET69" i="1"/>
  <c r="DG101" i="1"/>
  <c r="BB101" i="1"/>
  <c r="DE69" i="1"/>
  <c r="BG69" i="1"/>
  <c r="BH69" i="1"/>
  <c r="FP108" i="1"/>
  <c r="EW108" i="1"/>
  <c r="HA108" i="1"/>
  <c r="ER108" i="1"/>
  <c r="DK108" i="1"/>
  <c r="BA111" i="1"/>
  <c r="EO111" i="1"/>
  <c r="CO111" i="1"/>
  <c r="FJ111" i="1"/>
  <c r="GE111" i="1"/>
  <c r="FW111" i="1"/>
  <c r="CC111" i="1"/>
  <c r="BX111" i="1"/>
  <c r="CX97" i="1"/>
  <c r="BQ97" i="1"/>
  <c r="DP108" i="1"/>
  <c r="GW123" i="1"/>
  <c r="BJ123" i="1"/>
  <c r="DL123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DG47" i="1"/>
  <c r="BS47" i="1"/>
  <c r="BD47" i="1"/>
  <c r="DH47" i="1" s="1"/>
  <c r="BF47" i="1"/>
  <c r="BZ47" i="1"/>
  <c r="HI47" i="1"/>
  <c r="BT47" i="1"/>
  <c r="CO47" i="1"/>
  <c r="DD47" i="1"/>
  <c r="DC47" i="1"/>
  <c r="BW47" i="1"/>
  <c r="CI47" i="1"/>
  <c r="BH47" i="1"/>
  <c r="GJ47" i="1"/>
  <c r="GK47" i="1" s="1"/>
  <c r="GJ69" i="1"/>
  <c r="GK69" i="1" s="1"/>
  <c r="HI69" i="1"/>
  <c r="GW69" i="1"/>
  <c r="GL69" i="1"/>
  <c r="GL14" i="1"/>
  <c r="EO1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I14" i="1" s="1"/>
  <c r="BV14" i="1"/>
  <c r="GW14" i="1"/>
  <c r="BW14" i="1"/>
  <c r="DD111" i="1"/>
  <c r="DO111" i="1"/>
  <c r="FP111" i="1"/>
  <c r="DG111" i="1"/>
  <c r="FQ111" i="1"/>
  <c r="EQ111" i="1"/>
  <c r="EL111" i="1"/>
  <c r="CG101" i="1"/>
  <c r="BS69" i="1"/>
  <c r="EZ96" i="1"/>
  <c r="GJ18" i="1"/>
  <c r="GK18" i="1" s="1"/>
  <c r="BQ108" i="1"/>
  <c r="GH108" i="1"/>
  <c r="EA108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BN79" i="1"/>
  <c r="EC123" i="1"/>
  <c r="FY123" i="1"/>
  <c r="GR123" i="1"/>
  <c r="AZ65" i="1"/>
  <c r="GM65" i="1" s="1"/>
  <c r="BY65" i="1"/>
  <c r="BF65" i="1"/>
  <c r="BI65" i="1" s="1"/>
  <c r="CO65" i="1"/>
  <c r="BV65" i="1"/>
  <c r="DE65" i="1"/>
  <c r="BD65" i="1"/>
  <c r="DH65" i="1" s="1"/>
  <c r="BH65" i="1"/>
  <c r="BG65" i="1"/>
  <c r="CI65" i="1"/>
  <c r="DF65" i="1"/>
  <c r="BS65" i="1"/>
  <c r="DD65" i="1"/>
  <c r="DK65" i="1" s="1"/>
  <c r="BW65" i="1"/>
  <c r="BT65" i="1"/>
  <c r="DC65" i="1"/>
  <c r="GJ65" i="1"/>
  <c r="GK65" i="1" s="1"/>
  <c r="GW65" i="1"/>
  <c r="HI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DW111" i="1"/>
  <c r="DB60" i="1"/>
  <c r="AZ60" i="1"/>
  <c r="GM60" i="1" s="1"/>
  <c r="CI60" i="1"/>
  <c r="GW60" i="1"/>
  <c r="DD60" i="1"/>
  <c r="BD60" i="1"/>
  <c r="DH60" i="1" s="1"/>
  <c r="DG60" i="1"/>
  <c r="DF60" i="1"/>
  <c r="BG60" i="1"/>
  <c r="GL60" i="1"/>
  <c r="BY60" i="1"/>
  <c r="HI60" i="1"/>
  <c r="CO60" i="1"/>
  <c r="DC60" i="1"/>
  <c r="BV60" i="1"/>
  <c r="DC14" i="1"/>
  <c r="DF14" i="1"/>
  <c r="GZ82" i="1"/>
  <c r="DB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HI14" i="1"/>
  <c r="DH111" i="1"/>
  <c r="DS111" i="1"/>
  <c r="DB111" i="1"/>
  <c r="DP111" i="1"/>
  <c r="FT111" i="1"/>
  <c r="CE111" i="1"/>
  <c r="EZ111" i="1"/>
  <c r="BV101" i="1"/>
  <c r="CZ96" i="1"/>
  <c r="DB69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CT108" i="1"/>
  <c r="CX108" i="1"/>
  <c r="DB65" i="1"/>
  <c r="EM79" i="1"/>
  <c r="GL47" i="1"/>
  <c r="BT59" i="1"/>
  <c r="BD123" i="1"/>
  <c r="GL123" i="1"/>
  <c r="AZ17" i="1"/>
  <c r="AC52" i="1"/>
  <c r="GJ50" i="1"/>
  <c r="GK50" i="1" s="1"/>
  <c r="BD50" i="1"/>
  <c r="DH50" i="1" s="1"/>
  <c r="CO50" i="1"/>
  <c r="CI50" i="1"/>
  <c r="BG50" i="1"/>
  <c r="BS50" i="1"/>
  <c r="HI50" i="1"/>
  <c r="BV50" i="1"/>
  <c r="BZ50" i="1"/>
  <c r="BH50" i="1"/>
  <c r="DF50" i="1"/>
  <c r="BW50" i="1"/>
  <c r="BY50" i="1"/>
  <c r="DC50" i="1"/>
  <c r="DD50" i="1"/>
  <c r="DB50" i="1"/>
  <c r="DE50" i="1"/>
  <c r="DG50" i="1"/>
  <c r="BT50" i="1"/>
  <c r="GW50" i="1"/>
  <c r="GL50" i="1"/>
  <c r="BS49" i="1"/>
  <c r="DF49" i="1"/>
  <c r="DE49" i="1"/>
  <c r="BZ49" i="1"/>
  <c r="R48" i="1"/>
  <c r="BS48" i="1"/>
  <c r="BF48" i="1"/>
  <c r="GW48" i="1"/>
  <c r="BT48" i="1"/>
  <c r="DE48" i="1"/>
  <c r="BZ48" i="1"/>
  <c r="BW48" i="1"/>
  <c r="BH48" i="1"/>
  <c r="BG48" i="1"/>
  <c r="DD48" i="1"/>
  <c r="DF48" i="1"/>
  <c r="AZ48" i="1"/>
  <c r="GM48" i="1" s="1"/>
  <c r="DG48" i="1"/>
  <c r="HI48" i="1"/>
  <c r="BV48" i="1"/>
  <c r="BY48" i="1"/>
  <c r="DC48" i="1"/>
  <c r="BD48" i="1"/>
  <c r="DH48" i="1" s="1"/>
  <c r="GL48" i="1"/>
  <c r="DB48" i="1"/>
  <c r="CO48" i="1"/>
  <c r="CI48" i="1"/>
  <c r="AZ39" i="1"/>
  <c r="GM39" i="1" s="1"/>
  <c r="GW39" i="1"/>
  <c r="DD39" i="1"/>
  <c r="BV39" i="1"/>
  <c r="HI39" i="1"/>
  <c r="BF39" i="1"/>
  <c r="BI39" i="1" s="1"/>
  <c r="BD39" i="1"/>
  <c r="DH39" i="1" s="1"/>
  <c r="GJ39" i="1"/>
  <c r="BW39" i="1"/>
  <c r="BH39" i="1"/>
  <c r="DC39" i="1"/>
  <c r="BT39" i="1"/>
  <c r="DF39" i="1"/>
  <c r="DB39" i="1"/>
  <c r="BS39" i="1"/>
  <c r="DE39" i="1"/>
  <c r="DG39" i="1"/>
  <c r="Q34" i="1"/>
  <c r="GW34" i="1"/>
  <c r="BV34" i="1"/>
  <c r="DG34" i="1"/>
  <c r="GJ34" i="1"/>
  <c r="GK34" i="1" s="1"/>
  <c r="BF34" i="1"/>
  <c r="BH34" i="1"/>
  <c r="BD34" i="1"/>
  <c r="DH34" i="1" s="1"/>
  <c r="CO34" i="1"/>
  <c r="AZ34" i="1"/>
  <c r="GM34" i="1" s="1"/>
  <c r="BT34" i="1"/>
  <c r="BW34" i="1"/>
  <c r="GL34" i="1"/>
  <c r="CI34" i="1"/>
  <c r="BZ34" i="1"/>
  <c r="BS34" i="1"/>
  <c r="DB34" i="1"/>
  <c r="BG34" i="1"/>
  <c r="DC34" i="1"/>
  <c r="DF34" i="1"/>
  <c r="HI34" i="1"/>
  <c r="BY34" i="1"/>
  <c r="AE33" i="1"/>
  <c r="ET33" i="1" s="1"/>
  <c r="BW30" i="1"/>
  <c r="Q25" i="1"/>
  <c r="Q20" i="1"/>
  <c r="BV18" i="1"/>
  <c r="BG18" i="1"/>
  <c r="BT18" i="1"/>
  <c r="BS18" i="1"/>
  <c r="BD18" i="1"/>
  <c r="DH18" i="1" s="1"/>
  <c r="EU18" i="1"/>
  <c r="BW18" i="1"/>
  <c r="DB18" i="1"/>
  <c r="DE18" i="1"/>
  <c r="BF18" i="1"/>
  <c r="BL18" i="1" s="1"/>
  <c r="CI18" i="1"/>
  <c r="BY18" i="1"/>
  <c r="CO18" i="1"/>
  <c r="BZ18" i="1"/>
  <c r="HI18" i="1"/>
  <c r="GW18" i="1"/>
  <c r="DC18" i="1"/>
  <c r="DF18" i="1"/>
  <c r="DD18" i="1"/>
  <c r="ES18" i="1"/>
  <c r="AZ18" i="1"/>
  <c r="GM18" i="1" s="1"/>
  <c r="BH18" i="1"/>
  <c r="Q10" i="1"/>
  <c r="AZ9" i="1"/>
  <c r="GM9" i="1" s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BD83" i="1"/>
  <c r="BW83" i="1"/>
  <c r="BY83" i="1"/>
  <c r="DG83" i="1"/>
  <c r="HI83" i="1"/>
  <c r="GM83" i="1"/>
  <c r="BK83" i="1"/>
  <c r="BL83" i="1"/>
  <c r="EY83" i="1"/>
  <c r="GX83" i="1"/>
  <c r="BI83" i="1"/>
  <c r="DE83" i="1"/>
  <c r="EU83" i="1"/>
  <c r="AZ83" i="1"/>
  <c r="GL83" i="1"/>
  <c r="GV83" i="1"/>
  <c r="BZ83" i="1"/>
  <c r="BH83" i="1"/>
  <c r="DB83" i="1"/>
  <c r="BT83" i="1"/>
  <c r="BS83" i="1"/>
  <c r="DK83" i="1"/>
  <c r="BM83" i="1"/>
  <c r="DI83" i="1"/>
  <c r="CD83" i="1"/>
  <c r="BJ83" i="1"/>
  <c r="DJ83" i="1"/>
  <c r="GK83" i="1"/>
  <c r="FK83" i="1"/>
  <c r="DT83" i="1"/>
  <c r="GU83" i="1"/>
  <c r="GJ83" i="1"/>
  <c r="DF83" i="1"/>
  <c r="DH83" i="1"/>
  <c r="BF83" i="1"/>
  <c r="DC83" i="1"/>
  <c r="DD83" i="1"/>
  <c r="BG83" i="1"/>
  <c r="CO83" i="1"/>
  <c r="BV83" i="1"/>
  <c r="ES83" i="1"/>
  <c r="CI83" i="1"/>
  <c r="ET83" i="1"/>
  <c r="GW83" i="1"/>
  <c r="BY10" i="1"/>
  <c r="DF10" i="1"/>
  <c r="BT10" i="1"/>
  <c r="CO10" i="1"/>
  <c r="DG10" i="1"/>
  <c r="GL10" i="1"/>
  <c r="BV10" i="1"/>
  <c r="GJ10" i="1"/>
  <c r="GK10" i="1" s="1"/>
  <c r="CI10" i="1"/>
  <c r="BD10" i="1"/>
  <c r="DH10" i="1" s="1"/>
  <c r="BZ10" i="1"/>
  <c r="DB10" i="1"/>
  <c r="DD10" i="1"/>
  <c r="BS10" i="1"/>
  <c r="DE10" i="1"/>
  <c r="BH10" i="1"/>
  <c r="DC10" i="1"/>
  <c r="AZ10" i="1"/>
  <c r="GM10" i="1" s="1"/>
  <c r="BG10" i="1"/>
  <c r="GW10" i="1"/>
  <c r="BW10" i="1"/>
  <c r="ES10" i="1"/>
  <c r="BF10" i="1"/>
  <c r="HI10" i="1"/>
  <c r="BZ74" i="1"/>
  <c r="BS74" i="1"/>
  <c r="DE74" i="1"/>
  <c r="DF74" i="1"/>
  <c r="CI74" i="1"/>
  <c r="BW74" i="1"/>
  <c r="BF74" i="1"/>
  <c r="BI74" i="1" s="1"/>
  <c r="BH42" i="1"/>
  <c r="GW42" i="1"/>
  <c r="GL42" i="1"/>
  <c r="BG42" i="1"/>
  <c r="DE42" i="1"/>
  <c r="DD42" i="1"/>
  <c r="BW42" i="1"/>
  <c r="CI42" i="1"/>
  <c r="BF42" i="1"/>
  <c r="HI42" i="1"/>
  <c r="DG42" i="1"/>
  <c r="BY42" i="1"/>
  <c r="BT42" i="1"/>
  <c r="BZ42" i="1"/>
  <c r="CO42" i="1"/>
  <c r="ET42" i="1"/>
  <c r="AZ42" i="1"/>
  <c r="GM42" i="1" s="1"/>
  <c r="BD42" i="1"/>
  <c r="DH42" i="1" s="1"/>
  <c r="BV42" i="1"/>
  <c r="GJ42" i="1"/>
  <c r="BS42" i="1"/>
  <c r="BT9" i="1"/>
  <c r="GJ9" i="1"/>
  <c r="GW9" i="1"/>
  <c r="BZ9" i="1"/>
  <c r="BD9" i="1"/>
  <c r="DH9" i="1" s="1"/>
  <c r="CO9" i="1"/>
  <c r="DG9" i="1"/>
  <c r="CI9" i="1"/>
  <c r="BV9" i="1"/>
  <c r="BW9" i="1"/>
  <c r="DD9" i="1"/>
  <c r="BG9" i="1"/>
  <c r="DE9" i="1"/>
  <c r="BY9" i="1"/>
  <c r="DF9" i="1"/>
  <c r="GL9" i="1"/>
  <c r="DC9" i="1"/>
  <c r="HI9" i="1"/>
  <c r="BF9" i="1"/>
  <c r="BH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T46" i="1"/>
  <c r="DF46" i="1"/>
  <c r="GW46" i="1"/>
  <c r="GJ46" i="1"/>
  <c r="GK46" i="1" s="1"/>
  <c r="GL46" i="1"/>
  <c r="DC46" i="1"/>
  <c r="BF46" i="1"/>
  <c r="BI46" i="1" s="1"/>
  <c r="CI46" i="1"/>
  <c r="BV46" i="1"/>
  <c r="DB46" i="1"/>
  <c r="DD46" i="1"/>
  <c r="DE46" i="1"/>
  <c r="CO46" i="1"/>
  <c r="BG46" i="1"/>
  <c r="BH46" i="1"/>
  <c r="DG46" i="1"/>
  <c r="AZ46" i="1"/>
  <c r="BY46" i="1"/>
  <c r="BZ46" i="1"/>
  <c r="BW46" i="1"/>
  <c r="AZ15" i="1"/>
  <c r="GM15" i="1" s="1"/>
  <c r="DG15" i="1"/>
  <c r="BS15" i="1"/>
  <c r="BF15" i="1"/>
  <c r="BV15" i="1"/>
  <c r="CI15" i="1"/>
  <c r="BG15" i="1"/>
  <c r="DC15" i="1"/>
  <c r="CO15" i="1"/>
  <c r="GJ15" i="1"/>
  <c r="GK15" i="1" s="1"/>
  <c r="DD15" i="1"/>
  <c r="DF15" i="1"/>
  <c r="BD15" i="1"/>
  <c r="DH15" i="1" s="1"/>
  <c r="GW15" i="1"/>
  <c r="DB15" i="1"/>
  <c r="GL15" i="1"/>
  <c r="BW15" i="1"/>
  <c r="BT15" i="1"/>
  <c r="BH15" i="1"/>
  <c r="BZ15" i="1"/>
  <c r="BY15" i="1"/>
  <c r="DE15" i="1"/>
  <c r="HI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I71" i="1"/>
  <c r="B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CI61" i="1"/>
  <c r="BH61" i="1"/>
  <c r="DF61" i="1"/>
  <c r="BD61" i="1"/>
  <c r="DH61" i="1" s="1"/>
  <c r="GW61" i="1"/>
  <c r="BG61" i="1"/>
  <c r="BZ61" i="1"/>
  <c r="BS61" i="1"/>
  <c r="BW61" i="1"/>
  <c r="GJ61" i="1"/>
  <c r="GK61" i="1" s="1"/>
  <c r="DC61" i="1"/>
  <c r="BV61" i="1"/>
  <c r="DD61" i="1"/>
  <c r="BF61" i="1"/>
  <c r="BI61" i="1" s="1"/>
  <c r="GL61" i="1"/>
  <c r="DE61" i="1"/>
  <c r="BT61" i="1"/>
  <c r="HI61" i="1"/>
  <c r="DB61" i="1"/>
  <c r="DG61" i="1"/>
  <c r="CO61" i="1"/>
  <c r="AZ61" i="1"/>
  <c r="BY61" i="1"/>
  <c r="GW68" i="1"/>
  <c r="HI68" i="1"/>
  <c r="AZ68" i="1"/>
  <c r="GM68" i="1" s="1"/>
  <c r="DD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BS11" i="1"/>
  <c r="AZ20" i="1"/>
  <c r="BW20" i="1"/>
  <c r="DF20" i="1"/>
  <c r="BY20" i="1"/>
  <c r="DC20" i="1"/>
  <c r="BZ20" i="1"/>
  <c r="DB20" i="1"/>
  <c r="CO20" i="1"/>
  <c r="CI20" i="1"/>
  <c r="BS20" i="1"/>
  <c r="BG20" i="1"/>
  <c r="HI20" i="1"/>
  <c r="BF20" i="1"/>
  <c r="BI20" i="1" s="1"/>
  <c r="GJ20" i="1"/>
  <c r="GW20" i="1"/>
  <c r="GL20" i="1"/>
  <c r="BV20" i="1"/>
  <c r="BT20" i="1"/>
  <c r="DD20" i="1"/>
  <c r="DE20" i="1"/>
  <c r="BH20" i="1"/>
  <c r="DG20" i="1"/>
  <c r="BH41" i="1"/>
  <c r="BS41" i="1"/>
  <c r="BG41" i="1"/>
  <c r="DG41" i="1"/>
  <c r="GL41" i="1"/>
  <c r="DF41" i="1"/>
  <c r="AZ41" i="1"/>
  <c r="GM41" i="1" s="1"/>
  <c r="GJ41" i="1"/>
  <c r="GK41" i="1" s="1"/>
  <c r="BZ41" i="1"/>
  <c r="BF41" i="1"/>
  <c r="DD41" i="1"/>
  <c r="DB41" i="1"/>
  <c r="BV41" i="1"/>
  <c r="DC41" i="1"/>
  <c r="BD41" i="1"/>
  <c r="DH41" i="1" s="1"/>
  <c r="BW41" i="1"/>
  <c r="BY41" i="1"/>
  <c r="GW41" i="1"/>
  <c r="CI41" i="1"/>
  <c r="BT41" i="1"/>
  <c r="HI41" i="1"/>
  <c r="DE41" i="1"/>
  <c r="CO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GM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GM85" i="1"/>
  <c r="EY85" i="1"/>
  <c r="GJ85" i="1"/>
  <c r="GL85" i="1"/>
  <c r="AZ85" i="1"/>
  <c r="GU85" i="1"/>
  <c r="GK85" i="1"/>
  <c r="HI85" i="1"/>
  <c r="GW85" i="1"/>
  <c r="GX85" i="1"/>
  <c r="GV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HI44" i="1"/>
  <c r="BS44" i="1"/>
  <c r="DG44" i="1"/>
  <c r="BY44" i="1"/>
  <c r="BT44" i="1"/>
  <c r="CI44" i="1"/>
  <c r="BZ44" i="1"/>
  <c r="BF44" i="1"/>
  <c r="BW44" i="1"/>
  <c r="DF44" i="1"/>
  <c r="BD44" i="1"/>
  <c r="DH44" i="1" s="1"/>
  <c r="DE44" i="1"/>
  <c r="BH44" i="1"/>
  <c r="BG44" i="1"/>
  <c r="AZ44" i="1"/>
  <c r="DC44" i="1"/>
  <c r="DB87" i="1"/>
  <c r="GJ87" i="1"/>
  <c r="GK87" i="1"/>
  <c r="BO87" i="1"/>
  <c r="CH87" i="1" s="1"/>
  <c r="BH87" i="1"/>
  <c r="DF87" i="1"/>
  <c r="DI87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DT84" i="1"/>
  <c r="BG84" i="1"/>
  <c r="BK84" i="1"/>
  <c r="EY84" i="1"/>
  <c r="DD84" i="1"/>
  <c r="DE84" i="1"/>
  <c r="CO84" i="1"/>
  <c r="BI84" i="1"/>
  <c r="GJ84" i="1"/>
  <c r="CI84" i="1"/>
  <c r="FT116" i="1"/>
  <c r="GU116" i="1"/>
  <c r="EW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G24" i="1"/>
  <c r="BW24" i="1"/>
  <c r="CI24" i="1"/>
  <c r="BS24" i="1"/>
  <c r="BT24" i="1"/>
  <c r="BY24" i="1"/>
  <c r="GL24" i="1"/>
  <c r="HI24" i="1"/>
  <c r="GJ24" i="1"/>
  <c r="GK24" i="1" s="1"/>
  <c r="DG24" i="1"/>
  <c r="CO24" i="1"/>
  <c r="DE24" i="1"/>
  <c r="BZ24" i="1"/>
  <c r="BH24" i="1"/>
  <c r="DD24" i="1"/>
  <c r="BV24" i="1"/>
  <c r="DB24" i="1"/>
  <c r="DF24" i="1"/>
  <c r="DC24" i="1"/>
  <c r="BD24" i="1"/>
  <c r="DH24" i="1" s="1"/>
  <c r="AZ24" i="1"/>
  <c r="GW24" i="1"/>
  <c r="BF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AZ69" i="1"/>
  <c r="GM69" i="1" s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DE60" i="1"/>
  <c r="BT60" i="1"/>
  <c r="BW60" i="1"/>
  <c r="GJ60" i="1"/>
  <c r="GK60" i="1" s="1"/>
  <c r="AE116" i="1"/>
  <c r="AE92" i="1"/>
  <c r="AE93" i="1"/>
  <c r="AD92" i="1"/>
  <c r="AH92" i="1" s="1"/>
  <c r="AE52" i="1"/>
  <c r="ET52" i="1" s="1"/>
  <c r="AD52" i="1"/>
  <c r="AH52" i="1" s="1"/>
  <c r="AD29" i="1"/>
  <c r="AE29" i="1"/>
  <c r="ET29" i="1" s="1"/>
  <c r="AF29" i="1"/>
  <c r="AD96" i="1"/>
  <c r="AH96" i="1" s="1"/>
  <c r="AF33" i="1"/>
  <c r="AM33" i="1" s="1"/>
  <c r="AC123" i="1"/>
  <c r="AE43" i="1"/>
  <c r="ET43" i="1" s="1"/>
  <c r="AE108" i="1"/>
  <c r="AG108" i="1" s="1"/>
  <c r="AF43" i="1"/>
  <c r="AD126" i="1"/>
  <c r="AH126" i="1" s="1"/>
  <c r="AD120" i="1"/>
  <c r="AH120" i="1" s="1"/>
  <c r="AD16" i="1"/>
  <c r="AC100" i="1"/>
  <c r="AF116" i="1"/>
  <c r="AI116" i="1" s="1"/>
  <c r="AD67" i="1"/>
  <c r="AH67" i="1" s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ET60" i="1" s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C84" i="1"/>
  <c r="R100" i="1"/>
  <c r="X100" i="1" s="1"/>
  <c r="IR109" i="1" s="1"/>
  <c r="R108" i="1"/>
  <c r="X108" i="1" s="1"/>
  <c r="IW108" i="1" s="1"/>
  <c r="IG108" i="1" s="1"/>
  <c r="AE101" i="1"/>
  <c r="AJ118" i="1"/>
  <c r="R20" i="1"/>
  <c r="AF112" i="1"/>
  <c r="AM112" i="1" s="1"/>
  <c r="AC41" i="1"/>
  <c r="AF41" i="1"/>
  <c r="AI41" i="1" s="1"/>
  <c r="AC127" i="1"/>
  <c r="AC128" i="1"/>
  <c r="AE41" i="1"/>
  <c r="ET41" i="1" s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R87" i="1"/>
  <c r="X87" i="1" s="1"/>
  <c r="IW87" i="1" s="1"/>
  <c r="IG87" i="1" s="1"/>
  <c r="Q87" i="1"/>
  <c r="AM101" i="1"/>
  <c r="Q36" i="1"/>
  <c r="AF96" i="1"/>
  <c r="AI96" i="1" s="1"/>
  <c r="AF122" i="1"/>
  <c r="AM122" i="1" s="1"/>
  <c r="AD123" i="1"/>
  <c r="AH123" i="1" s="1"/>
  <c r="AE13" i="1"/>
  <c r="ET13" i="1" s="1"/>
  <c r="AF16" i="1"/>
  <c r="AE84" i="1"/>
  <c r="Q117" i="1"/>
  <c r="AD60" i="1"/>
  <c r="ES60" i="1" s="1"/>
  <c r="R67" i="1"/>
  <c r="X67" i="1" s="1"/>
  <c r="AD104" i="1"/>
  <c r="AH104" i="1" s="1"/>
  <c r="Q125" i="1"/>
  <c r="AD57" i="1"/>
  <c r="AH57" i="1" s="1"/>
  <c r="R92" i="1"/>
  <c r="X92" i="1" s="1"/>
  <c r="IR107" i="1" s="1"/>
  <c r="AF123" i="1"/>
  <c r="AG123" i="1" s="1"/>
  <c r="AE126" i="1"/>
  <c r="AC124" i="1"/>
  <c r="AD129" i="1"/>
  <c r="AH129" i="1" s="1"/>
  <c r="AE57" i="1"/>
  <c r="ET57" i="1" s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AD108" i="1"/>
  <c r="AD116" i="1"/>
  <c r="AH116" i="1" s="1"/>
  <c r="Q42" i="1"/>
  <c r="AF34" i="1"/>
  <c r="AM34" i="1" s="1"/>
  <c r="AD33" i="1"/>
  <c r="AH33" i="1" s="1"/>
  <c r="R17" i="1"/>
  <c r="AC13" i="1"/>
  <c r="R13" i="1"/>
  <c r="AF88" i="1"/>
  <c r="AI88" i="1" s="1"/>
  <c r="Q88" i="1"/>
  <c r="R88" i="1"/>
  <c r="X88" i="1" s="1"/>
  <c r="IW88" i="1" s="1"/>
  <c r="IG88" i="1" s="1"/>
  <c r="Q86" i="1"/>
  <c r="R86" i="1"/>
  <c r="X86" i="1" s="1"/>
  <c r="IW86" i="1" s="1"/>
  <c r="IG86" i="1" s="1"/>
  <c r="R84" i="1"/>
  <c r="X84" i="1" s="1"/>
  <c r="IW84" i="1" s="1"/>
  <c r="IG84" i="1" s="1"/>
  <c r="Q84" i="1"/>
  <c r="R83" i="1"/>
  <c r="X83" i="1" s="1"/>
  <c r="Q83" i="1"/>
  <c r="R81" i="1"/>
  <c r="X81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ET72" i="1" s="1"/>
  <c r="AE67" i="1"/>
  <c r="ET67" i="1" s="1"/>
  <c r="AE66" i="1"/>
  <c r="ET66" i="1" s="1"/>
  <c r="R64" i="1"/>
  <c r="X64" i="1" s="1"/>
  <c r="AE63" i="1"/>
  <c r="ET63" i="1" s="1"/>
  <c r="AD63" i="1"/>
  <c r="AH63" i="1" s="1"/>
  <c r="AC63" i="1"/>
  <c r="AF63" i="1"/>
  <c r="EU63" i="1" s="1"/>
  <c r="Q55" i="1"/>
  <c r="R55" i="1"/>
  <c r="X55" i="1" s="1"/>
  <c r="IW55" i="1" s="1"/>
  <c r="IG55" i="1" s="1"/>
  <c r="R39" i="1"/>
  <c r="Q39" i="1"/>
  <c r="AC33" i="1"/>
  <c r="R25" i="1"/>
  <c r="R16" i="1"/>
  <c r="AC16" i="1"/>
  <c r="AE16" i="1"/>
  <c r="ET16" i="1" s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IW126" i="1" s="1"/>
  <c r="IG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IW122" i="1" s="1"/>
  <c r="IG122" i="1" s="1"/>
  <c r="AC121" i="1"/>
  <c r="AD121" i="1"/>
  <c r="AH121" i="1" s="1"/>
  <c r="AF121" i="1"/>
  <c r="AE121" i="1"/>
  <c r="V120" i="1"/>
  <c r="R120" i="1"/>
  <c r="X120" i="1" s="1"/>
  <c r="IW120" i="1" s="1"/>
  <c r="IG120" i="1" s="1"/>
  <c r="AE120" i="1"/>
  <c r="AJ119" i="1"/>
  <c r="R119" i="1"/>
  <c r="X119" i="1" s="1"/>
  <c r="IW119" i="1" s="1"/>
  <c r="IG119" i="1" s="1"/>
  <c r="AG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IR122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IR120" i="1" s="1"/>
  <c r="AD112" i="1"/>
  <c r="AH112" i="1" s="1"/>
  <c r="AD110" i="1"/>
  <c r="AE110" i="1"/>
  <c r="AC110" i="1"/>
  <c r="AF110" i="1"/>
  <c r="V109" i="1"/>
  <c r="AC109" i="1"/>
  <c r="AD109" i="1"/>
  <c r="AH109" i="1" s="1"/>
  <c r="Q109" i="1"/>
  <c r="R109" i="1"/>
  <c r="X109" i="1" s="1"/>
  <c r="IR117" i="1" s="1"/>
  <c r="AE109" i="1"/>
  <c r="V107" i="1"/>
  <c r="AC107" i="1"/>
  <c r="AE107" i="1"/>
  <c r="AF107" i="1"/>
  <c r="AD107" i="1"/>
  <c r="AH107" i="1" s="1"/>
  <c r="R107" i="1"/>
  <c r="X107" i="1" s="1"/>
  <c r="IW107" i="1" s="1"/>
  <c r="IG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G102" i="1"/>
  <c r="V99" i="1"/>
  <c r="AC99" i="1"/>
  <c r="AD99" i="1"/>
  <c r="AH99" i="1" s="1"/>
  <c r="AF99" i="1"/>
  <c r="AE99" i="1"/>
  <c r="R99" i="1"/>
  <c r="X99" i="1" s="1"/>
  <c r="IR108" i="1" s="1"/>
  <c r="AC98" i="1"/>
  <c r="AE98" i="1"/>
  <c r="AF98" i="1"/>
  <c r="AD98" i="1"/>
  <c r="AH98" i="1" s="1"/>
  <c r="V96" i="1"/>
  <c r="R96" i="1"/>
  <c r="X96" i="1" s="1"/>
  <c r="IR103" i="1" s="1"/>
  <c r="AC96" i="1"/>
  <c r="AE96" i="1"/>
  <c r="V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IW89" i="1" s="1"/>
  <c r="IG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EU74" i="1" s="1"/>
  <c r="EY74" i="1" s="1"/>
  <c r="AE74" i="1"/>
  <c r="ET74" i="1" s="1"/>
  <c r="R74" i="1"/>
  <c r="X74" i="1" s="1"/>
  <c r="IW74" i="1" s="1"/>
  <c r="IG74" i="1" s="1"/>
  <c r="Q74" i="1"/>
  <c r="V73" i="1"/>
  <c r="AC73" i="1"/>
  <c r="AE73" i="1"/>
  <c r="ET73" i="1" s="1"/>
  <c r="AF73" i="1"/>
  <c r="EU73" i="1" s="1"/>
  <c r="EY73" i="1" s="1"/>
  <c r="AD73" i="1"/>
  <c r="AH73" i="1" s="1"/>
  <c r="V72" i="1"/>
  <c r="AF72" i="1"/>
  <c r="EU72" i="1" s="1"/>
  <c r="EY72" i="1" s="1"/>
  <c r="AC72" i="1"/>
  <c r="AD72" i="1"/>
  <c r="AH72" i="1" s="1"/>
  <c r="Q72" i="1"/>
  <c r="R72" i="1"/>
  <c r="X72" i="1" s="1"/>
  <c r="IW72" i="1" s="1"/>
  <c r="IG72" i="1" s="1"/>
  <c r="AF71" i="1"/>
  <c r="EU71" i="1" s="1"/>
  <c r="EY71" i="1" s="1"/>
  <c r="Q71" i="1"/>
  <c r="R71" i="1"/>
  <c r="X71" i="1" s="1"/>
  <c r="IW71" i="1" s="1"/>
  <c r="IG71" i="1" s="1"/>
  <c r="AE71" i="1"/>
  <c r="ET71" i="1" s="1"/>
  <c r="AD71" i="1"/>
  <c r="AH71" i="1" s="1"/>
  <c r="BL71" i="1" s="1"/>
  <c r="AC71" i="1"/>
  <c r="AD70" i="1"/>
  <c r="AH70" i="1" s="1"/>
  <c r="AE70" i="1"/>
  <c r="ET70" i="1" s="1"/>
  <c r="AC70" i="1"/>
  <c r="AF70" i="1"/>
  <c r="EU70" i="1" s="1"/>
  <c r="EY70" i="1" s="1"/>
  <c r="AC69" i="1"/>
  <c r="AD69" i="1"/>
  <c r="AH69" i="1" s="1"/>
  <c r="AF69" i="1"/>
  <c r="EU69" i="1" s="1"/>
  <c r="EY69" i="1" s="1"/>
  <c r="AF68" i="1"/>
  <c r="EU68" i="1" s="1"/>
  <c r="EY68" i="1" s="1"/>
  <c r="AD68" i="1"/>
  <c r="AH68" i="1" s="1"/>
  <c r="AE68" i="1"/>
  <c r="ET68" i="1" s="1"/>
  <c r="AC68" i="1"/>
  <c r="V67" i="1"/>
  <c r="AC67" i="1"/>
  <c r="Q67" i="1"/>
  <c r="AC66" i="1"/>
  <c r="AD66" i="1"/>
  <c r="AH66" i="1" s="1"/>
  <c r="AF66" i="1"/>
  <c r="EU66" i="1" s="1"/>
  <c r="R66" i="1"/>
  <c r="X66" i="1" s="1"/>
  <c r="Q66" i="1"/>
  <c r="AE65" i="1"/>
  <c r="ET65" i="1" s="1"/>
  <c r="AC65" i="1"/>
  <c r="AF65" i="1"/>
  <c r="EU65" i="1" s="1"/>
  <c r="AD65" i="1"/>
  <c r="AH65" i="1" s="1"/>
  <c r="V64" i="1"/>
  <c r="AF64" i="1"/>
  <c r="EU64" i="1" s="1"/>
  <c r="AE64" i="1"/>
  <c r="ET64" i="1" s="1"/>
  <c r="AC64" i="1"/>
  <c r="AD64" i="1"/>
  <c r="AH64" i="1" s="1"/>
  <c r="R63" i="1"/>
  <c r="X63" i="1" s="1"/>
  <c r="Q63" i="1"/>
  <c r="V61" i="1"/>
  <c r="AE61" i="1"/>
  <c r="ET61" i="1" s="1"/>
  <c r="AD61" i="1"/>
  <c r="AH61" i="1" s="1"/>
  <c r="AC61" i="1"/>
  <c r="R61" i="1"/>
  <c r="X61" i="1" s="1"/>
  <c r="IW61" i="1" s="1"/>
  <c r="IG61" i="1" s="1"/>
  <c r="Q61" i="1"/>
  <c r="Q60" i="1"/>
  <c r="R60" i="1"/>
  <c r="X60" i="1" s="1"/>
  <c r="IW60" i="1" s="1"/>
  <c r="IG60" i="1" s="1"/>
  <c r="AF58" i="1"/>
  <c r="EU58" i="1" s="1"/>
  <c r="EY58" i="1" s="1"/>
  <c r="R58" i="1"/>
  <c r="X58" i="1" s="1"/>
  <c r="Q58" i="1"/>
  <c r="AC58" i="1"/>
  <c r="AE58" i="1"/>
  <c r="ET58" i="1" s="1"/>
  <c r="AD58" i="1"/>
  <c r="AH58" i="1" s="1"/>
  <c r="V57" i="1"/>
  <c r="AD56" i="1"/>
  <c r="AH56" i="1" s="1"/>
  <c r="AE56" i="1"/>
  <c r="ET56" i="1" s="1"/>
  <c r="AC56" i="1"/>
  <c r="V56" i="1"/>
  <c r="R56" i="1"/>
  <c r="X56" i="1" s="1"/>
  <c r="IW56" i="1" s="1"/>
  <c r="IG56" i="1" s="1"/>
  <c r="Q56" i="1"/>
  <c r="AF56" i="1"/>
  <c r="EU56" i="1" s="1"/>
  <c r="AC55" i="1"/>
  <c r="AD55" i="1"/>
  <c r="AH55" i="1" s="1"/>
  <c r="AF55" i="1"/>
  <c r="EU55" i="1" s="1"/>
  <c r="EY55" i="1" s="1"/>
  <c r="AE55" i="1"/>
  <c r="ET55" i="1" s="1"/>
  <c r="AE34" i="1"/>
  <c r="ET34" i="1" s="1"/>
  <c r="AC34" i="1"/>
  <c r="AF20" i="1"/>
  <c r="EU20" i="1" s="1"/>
  <c r="EY20" i="1" s="1"/>
  <c r="AC20" i="1"/>
  <c r="AD34" i="1"/>
  <c r="AH34" i="1" s="1"/>
  <c r="AE20" i="1"/>
  <c r="ET20" i="1" s="1"/>
  <c r="AD20" i="1"/>
  <c r="AH20" i="1" s="1"/>
  <c r="R34" i="1"/>
  <c r="AC24" i="1"/>
  <c r="AE24" i="1"/>
  <c r="ET24" i="1" s="1"/>
  <c r="AD24" i="1"/>
  <c r="AH24" i="1" s="1"/>
  <c r="AF24" i="1"/>
  <c r="EU24" i="1" s="1"/>
  <c r="EY24" i="1" s="1"/>
  <c r="AE48" i="1"/>
  <c r="ET48" i="1" s="1"/>
  <c r="AD48" i="1"/>
  <c r="AH48" i="1" s="1"/>
  <c r="AF48" i="1"/>
  <c r="EU48" i="1" s="1"/>
  <c r="EY48" i="1" s="1"/>
  <c r="AC48" i="1"/>
  <c r="R24" i="1"/>
  <c r="Q24" i="1"/>
  <c r="R44" i="1"/>
  <c r="Q44" i="1"/>
  <c r="AE28" i="1"/>
  <c r="ET28" i="1" s="1"/>
  <c r="AE19" i="1"/>
  <c r="ET19" i="1" s="1"/>
  <c r="AC19" i="1"/>
  <c r="AF19" i="1"/>
  <c r="EU19" i="1" s="1"/>
  <c r="EY19" i="1" s="1"/>
  <c r="AD19" i="1"/>
  <c r="AD28" i="1"/>
  <c r="AH28" i="1" s="1"/>
  <c r="AF31" i="1"/>
  <c r="EU31" i="1" s="1"/>
  <c r="AC31" i="1"/>
  <c r="AE31" i="1"/>
  <c r="ET31" i="1" s="1"/>
  <c r="AD31" i="1"/>
  <c r="ES31" i="1" s="1"/>
  <c r="AE50" i="1"/>
  <c r="ET50" i="1" s="1"/>
  <c r="AC50" i="1"/>
  <c r="AD50" i="1"/>
  <c r="AH50" i="1" s="1"/>
  <c r="R28" i="1"/>
  <c r="Q28" i="1"/>
  <c r="AE49" i="1"/>
  <c r="ET49" i="1" s="1"/>
  <c r="AD49" i="1"/>
  <c r="AH49" i="1" s="1"/>
  <c r="Q35" i="1"/>
  <c r="R35" i="1"/>
  <c r="AF50" i="1"/>
  <c r="EU50" i="1" s="1"/>
  <c r="EY50" i="1" s="1"/>
  <c r="AF28" i="1"/>
  <c r="EU28" i="1" s="1"/>
  <c r="EY28" i="1" s="1"/>
  <c r="R29" i="1"/>
  <c r="AC28" i="1"/>
  <c r="AF49" i="1"/>
  <c r="EU49" i="1" s="1"/>
  <c r="EY49" i="1" s="1"/>
  <c r="R47" i="1"/>
  <c r="Q47" i="1"/>
  <c r="AF25" i="1"/>
  <c r="EU25" i="1" s="1"/>
  <c r="EY25" i="1" s="1"/>
  <c r="AE25" i="1"/>
  <c r="ET25" i="1" s="1"/>
  <c r="AD25" i="1"/>
  <c r="AF9" i="1"/>
  <c r="EU9" i="1" s="1"/>
  <c r="EY9" i="1" s="1"/>
  <c r="AE9" i="1"/>
  <c r="ET9" i="1" s="1"/>
  <c r="AD9" i="1"/>
  <c r="AH9" i="1" s="1"/>
  <c r="R46" i="1"/>
  <c r="Q46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S54" i="1" l="1"/>
  <c r="IX39" i="1"/>
  <c r="IS55" i="1"/>
  <c r="IS57" i="1"/>
  <c r="IS37" i="1"/>
  <c r="IS17" i="1"/>
  <c r="IS38" i="1"/>
  <c r="IS39" i="1"/>
  <c r="IX42" i="1"/>
  <c r="IX16" i="1"/>
  <c r="IX43" i="1"/>
  <c r="IS52" i="1"/>
  <c r="IX25" i="1"/>
  <c r="IX24" i="1"/>
  <c r="IS26" i="1"/>
  <c r="IS24" i="1"/>
  <c r="IS16" i="1"/>
  <c r="IX17" i="1"/>
  <c r="IX26" i="1"/>
  <c r="IS44" i="1"/>
  <c r="DI70" i="1"/>
  <c r="DT70" i="1" s="1"/>
  <c r="IS41" i="1"/>
  <c r="DJ70" i="1"/>
  <c r="GV70" i="1"/>
  <c r="GX70" i="1" s="1"/>
  <c r="CD70" i="1"/>
  <c r="BL70" i="1"/>
  <c r="BI70" i="1"/>
  <c r="ES70" i="1"/>
  <c r="FK70" i="1" s="1"/>
  <c r="IS43" i="1"/>
  <c r="IS42" i="1"/>
  <c r="IX29" i="1"/>
  <c r="V54" i="1"/>
  <c r="DK71" i="1"/>
  <c r="IX54" i="1"/>
  <c r="IS23" i="1"/>
  <c r="V38" i="1"/>
  <c r="GV71" i="1"/>
  <c r="GU71" i="1" s="1"/>
  <c r="DK63" i="1"/>
  <c r="DJ74" i="1"/>
  <c r="DK75" i="1"/>
  <c r="DJ75" i="1"/>
  <c r="DI75" i="1"/>
  <c r="CD75" i="1"/>
  <c r="GV75" i="1"/>
  <c r="GU75" i="1" s="1"/>
  <c r="FK75" i="1"/>
  <c r="BL75" i="1"/>
  <c r="BI75" i="1"/>
  <c r="CD74" i="1"/>
  <c r="GU74" i="1"/>
  <c r="DI74" i="1"/>
  <c r="DJ73" i="1"/>
  <c r="ES74" i="1"/>
  <c r="FK74" i="1" s="1"/>
  <c r="BL74" i="1"/>
  <c r="GV73" i="1"/>
  <c r="GX73" i="1" s="1"/>
  <c r="DJ72" i="1"/>
  <c r="CD73" i="1"/>
  <c r="DK73" i="1"/>
  <c r="DI73" i="1"/>
  <c r="BL73" i="1"/>
  <c r="BI73" i="1"/>
  <c r="ES73" i="1"/>
  <c r="FK73" i="1" s="1"/>
  <c r="GV72" i="1"/>
  <c r="GX72" i="1" s="1"/>
  <c r="DK72" i="1"/>
  <c r="DJ71" i="1"/>
  <c r="DI71" i="1"/>
  <c r="CD72" i="1"/>
  <c r="GX71" i="1"/>
  <c r="DI72" i="1"/>
  <c r="BL72" i="1"/>
  <c r="BI72" i="1"/>
  <c r="ES72" i="1"/>
  <c r="FK72" i="1" s="1"/>
  <c r="CD71" i="1"/>
  <c r="ES71" i="1"/>
  <c r="FK71" i="1" s="1"/>
  <c r="BL59" i="1"/>
  <c r="BL68" i="1"/>
  <c r="ES59" i="1"/>
  <c r="FK59" i="1" s="1"/>
  <c r="IS45" i="1"/>
  <c r="IX44" i="1"/>
  <c r="DK59" i="1"/>
  <c r="EU60" i="1"/>
  <c r="EY60" i="1" s="1"/>
  <c r="GV68" i="1"/>
  <c r="GU68" i="1" s="1"/>
  <c r="GV69" i="1"/>
  <c r="GX69" i="1" s="1"/>
  <c r="GV54" i="1"/>
  <c r="GX54" i="1" s="1"/>
  <c r="DJ68" i="1"/>
  <c r="BL65" i="1"/>
  <c r="DK68" i="1"/>
  <c r="V22" i="1"/>
  <c r="IS21" i="1"/>
  <c r="EU53" i="1"/>
  <c r="EY53" i="1" s="1"/>
  <c r="DK67" i="1"/>
  <c r="IX40" i="1"/>
  <c r="DI59" i="1"/>
  <c r="ES53" i="1"/>
  <c r="FK53" i="1" s="1"/>
  <c r="BI59" i="1"/>
  <c r="CD69" i="1"/>
  <c r="GV66" i="1"/>
  <c r="GX66" i="1" s="1"/>
  <c r="GV67" i="1"/>
  <c r="GX67" i="1" s="1"/>
  <c r="GU69" i="1"/>
  <c r="DJ67" i="1"/>
  <c r="BL66" i="1"/>
  <c r="CD67" i="1"/>
  <c r="DK60" i="1"/>
  <c r="DK66" i="1"/>
  <c r="CD58" i="1"/>
  <c r="GU67" i="1"/>
  <c r="DI66" i="1"/>
  <c r="DK69" i="1"/>
  <c r="GV59" i="1"/>
  <c r="GX59" i="1" s="1"/>
  <c r="CD68" i="1"/>
  <c r="GV60" i="1"/>
  <c r="GX60" i="1" s="1"/>
  <c r="CD59" i="1"/>
  <c r="CD66" i="1"/>
  <c r="DJ59" i="1"/>
  <c r="DJ66" i="1"/>
  <c r="DK58" i="1"/>
  <c r="GV58" i="1"/>
  <c r="GU58" i="1" s="1"/>
  <c r="DJ58" i="1"/>
  <c r="DI58" i="1"/>
  <c r="DJ69" i="1"/>
  <c r="DI67" i="1"/>
  <c r="DJ60" i="1"/>
  <c r="DI69" i="1"/>
  <c r="DI60" i="1"/>
  <c r="ES69" i="1"/>
  <c r="FK69" i="1" s="1"/>
  <c r="FK60" i="1"/>
  <c r="BL69" i="1"/>
  <c r="BL58" i="1"/>
  <c r="CD60" i="1"/>
  <c r="DJ54" i="1"/>
  <c r="IS51" i="1"/>
  <c r="BI60" i="1"/>
  <c r="EU67" i="1"/>
  <c r="EY67" i="1" s="1"/>
  <c r="ES67" i="1"/>
  <c r="FK67" i="1" s="1"/>
  <c r="BL67" i="1"/>
  <c r="ES68" i="1"/>
  <c r="FK68" i="1" s="1"/>
  <c r="ES58" i="1"/>
  <c r="FK58" i="1" s="1"/>
  <c r="EY66" i="1"/>
  <c r="GK66" i="1"/>
  <c r="ES66" i="1"/>
  <c r="FK66" i="1" s="1"/>
  <c r="IS27" i="1"/>
  <c r="EU62" i="1"/>
  <c r="EY62" i="1" s="1"/>
  <c r="IS29" i="1"/>
  <c r="GV65" i="1"/>
  <c r="GX65" i="1" s="1"/>
  <c r="DJ65" i="1"/>
  <c r="DI64" i="1"/>
  <c r="GV64" i="1"/>
  <c r="GU64" i="1" s="1"/>
  <c r="DI63" i="1"/>
  <c r="DI65" i="1"/>
  <c r="EY65" i="1"/>
  <c r="CD65" i="1"/>
  <c r="ES65" i="1"/>
  <c r="FK65" i="1" s="1"/>
  <c r="CD63" i="1"/>
  <c r="DK64" i="1"/>
  <c r="DJ64" i="1"/>
  <c r="CD64" i="1"/>
  <c r="EY64" i="1"/>
  <c r="BL64" i="1"/>
  <c r="BL61" i="1"/>
  <c r="BI64" i="1"/>
  <c r="ES64" i="1"/>
  <c r="FK64" i="1" s="1"/>
  <c r="GV63" i="1"/>
  <c r="GU63" i="1" s="1"/>
  <c r="DJ63" i="1"/>
  <c r="EY63" i="1"/>
  <c r="DI61" i="1"/>
  <c r="ES63" i="1"/>
  <c r="FK63" i="1" s="1"/>
  <c r="BL63" i="1"/>
  <c r="DJ62" i="1"/>
  <c r="DK61" i="1"/>
  <c r="DI62" i="1"/>
  <c r="FK62" i="1"/>
  <c r="DK62" i="1"/>
  <c r="GV62" i="1"/>
  <c r="GX62" i="1" s="1"/>
  <c r="BI62" i="1"/>
  <c r="CD62" i="1"/>
  <c r="CD61" i="1"/>
  <c r="GV61" i="1"/>
  <c r="GU61" i="1" s="1"/>
  <c r="DJ61" i="1"/>
  <c r="GM61" i="1"/>
  <c r="EU61" i="1"/>
  <c r="ES61" i="1"/>
  <c r="FK61" i="1" s="1"/>
  <c r="DI54" i="1"/>
  <c r="IS47" i="1"/>
  <c r="CD54" i="1"/>
  <c r="ES54" i="1"/>
  <c r="FK54" i="1" s="1"/>
  <c r="BL53" i="1"/>
  <c r="BL54" i="1"/>
  <c r="GV53" i="1"/>
  <c r="GX53" i="1" s="1"/>
  <c r="BI54" i="1"/>
  <c r="DJ53" i="1"/>
  <c r="DK53" i="1"/>
  <c r="DI53" i="1"/>
  <c r="GV52" i="1"/>
  <c r="GX52" i="1" s="1"/>
  <c r="DT51" i="1"/>
  <c r="IS40" i="1"/>
  <c r="EU35" i="1"/>
  <c r="EY35" i="1" s="1"/>
  <c r="IX28" i="1"/>
  <c r="IS20" i="1"/>
  <c r="V21" i="1"/>
  <c r="V41" i="1"/>
  <c r="V23" i="1"/>
  <c r="V45" i="1"/>
  <c r="V14" i="1"/>
  <c r="IS56" i="1"/>
  <c r="IS32" i="1"/>
  <c r="IS35" i="1"/>
  <c r="IX30" i="1"/>
  <c r="IS33" i="1"/>
  <c r="IS30" i="1"/>
  <c r="IS48" i="1"/>
  <c r="V27" i="1"/>
  <c r="IX31" i="1"/>
  <c r="V32" i="1"/>
  <c r="IX33" i="1"/>
  <c r="V46" i="1"/>
  <c r="V20" i="1"/>
  <c r="IS36" i="1"/>
  <c r="IS46" i="1"/>
  <c r="IX49" i="1"/>
  <c r="IX47" i="1"/>
  <c r="IX50" i="1"/>
  <c r="IX35" i="1"/>
  <c r="IS50" i="1"/>
  <c r="IX34" i="1"/>
  <c r="IX18" i="1"/>
  <c r="IS53" i="1"/>
  <c r="IX37" i="1"/>
  <c r="IX53" i="1"/>
  <c r="IS65" i="1"/>
  <c r="IS22" i="1"/>
  <c r="IX19" i="1"/>
  <c r="IS58" i="1"/>
  <c r="IX48" i="1"/>
  <c r="IS49" i="1"/>
  <c r="IS31" i="1"/>
  <c r="IX51" i="1"/>
  <c r="IW36" i="1"/>
  <c r="IG36" i="1" s="1"/>
  <c r="IS34" i="1"/>
  <c r="AG44" i="1"/>
  <c r="BK44" i="1" s="1"/>
  <c r="X35" i="1"/>
  <c r="IW35" i="1" s="1"/>
  <c r="IG35" i="1" s="1"/>
  <c r="X39" i="1"/>
  <c r="AQ39" i="1" s="1"/>
  <c r="X30" i="1"/>
  <c r="AQ30" i="1" s="1"/>
  <c r="X43" i="1"/>
  <c r="IW43" i="1" s="1"/>
  <c r="IG43" i="1" s="1"/>
  <c r="X50" i="1"/>
  <c r="AQ50" i="1" s="1"/>
  <c r="X49" i="1"/>
  <c r="AQ49" i="1" s="1"/>
  <c r="X38" i="1"/>
  <c r="IW38" i="1" s="1"/>
  <c r="IG38" i="1" s="1"/>
  <c r="X54" i="1"/>
  <c r="AQ54" i="1" s="1"/>
  <c r="X17" i="1"/>
  <c r="IW17" i="1" s="1"/>
  <c r="IG17" i="1" s="1"/>
  <c r="X11" i="1"/>
  <c r="AQ11" i="1" s="1"/>
  <c r="X46" i="1"/>
  <c r="IW46" i="1" s="1"/>
  <c r="IG46" i="1" s="1"/>
  <c r="X47" i="1"/>
  <c r="AQ47" i="1" s="1"/>
  <c r="X26" i="1"/>
  <c r="IW26" i="1" s="1"/>
  <c r="IG26" i="1" s="1"/>
  <c r="X14" i="1"/>
  <c r="AQ14" i="1" s="1"/>
  <c r="X27" i="1"/>
  <c r="AQ27" i="1" s="1"/>
  <c r="X21" i="1"/>
  <c r="AQ21" i="1" s="1"/>
  <c r="X18" i="1"/>
  <c r="AQ18" i="1" s="1"/>
  <c r="X24" i="1"/>
  <c r="IW24" i="1" s="1"/>
  <c r="IG24" i="1" s="1"/>
  <c r="X34" i="1"/>
  <c r="IW34" i="1" s="1"/>
  <c r="IG34" i="1" s="1"/>
  <c r="X42" i="1"/>
  <c r="IW42" i="1" s="1"/>
  <c r="IG42" i="1" s="1"/>
  <c r="X53" i="1"/>
  <c r="IR58" i="1" s="1"/>
  <c r="X10" i="1"/>
  <c r="AQ10" i="1" s="1"/>
  <c r="X15" i="1"/>
  <c r="AQ15" i="1" s="1"/>
  <c r="X48" i="1"/>
  <c r="AQ48" i="1" s="1"/>
  <c r="X37" i="1"/>
  <c r="IW37" i="1" s="1"/>
  <c r="IG37" i="1" s="1"/>
  <c r="X19" i="1"/>
  <c r="AQ19" i="1" s="1"/>
  <c r="X40" i="1"/>
  <c r="AQ40" i="1" s="1"/>
  <c r="X45" i="1"/>
  <c r="AQ45" i="1" s="1"/>
  <c r="X51" i="1"/>
  <c r="IW51" i="1" s="1"/>
  <c r="IG51" i="1" s="1"/>
  <c r="X31" i="1"/>
  <c r="AQ31" i="1" s="1"/>
  <c r="X23" i="1"/>
  <c r="AQ23" i="1" s="1"/>
  <c r="X32" i="1"/>
  <c r="IW32" i="1" s="1"/>
  <c r="IG32" i="1" s="1"/>
  <c r="X20" i="1"/>
  <c r="AQ20" i="1" s="1"/>
  <c r="X44" i="1"/>
  <c r="AQ44" i="1" s="1"/>
  <c r="X16" i="1"/>
  <c r="IW16" i="1" s="1"/>
  <c r="IG16" i="1" s="1"/>
  <c r="X13" i="1"/>
  <c r="AQ13" i="1" s="1"/>
  <c r="X33" i="1"/>
  <c r="AQ33" i="1" s="1"/>
  <c r="X22" i="1"/>
  <c r="AQ22" i="1" s="1"/>
  <c r="X12" i="1"/>
  <c r="AQ12" i="1" s="1"/>
  <c r="X29" i="1"/>
  <c r="AQ29" i="1" s="1"/>
  <c r="X28" i="1"/>
  <c r="AQ28" i="1" s="1"/>
  <c r="X25" i="1"/>
  <c r="IW25" i="1" s="1"/>
  <c r="IG25" i="1" s="1"/>
  <c r="X52" i="1"/>
  <c r="IW52" i="1" s="1"/>
  <c r="IG52" i="1" s="1"/>
  <c r="ES15" i="1"/>
  <c r="FK15" i="1" s="1"/>
  <c r="BL15" i="1"/>
  <c r="EU15" i="1"/>
  <c r="EY15" i="1" s="1"/>
  <c r="GV13" i="1"/>
  <c r="GX13" i="1" s="1"/>
  <c r="Q8" i="1"/>
  <c r="W14" i="1" s="1"/>
  <c r="W1" i="1" s="1"/>
  <c r="V1" i="1" s="1"/>
  <c r="X1" i="1" s="1"/>
  <c r="CF86" i="1"/>
  <c r="CL86" i="1" s="1"/>
  <c r="BO83" i="1"/>
  <c r="CH83" i="1" s="1"/>
  <c r="BQ85" i="1"/>
  <c r="CG85" i="1" s="1"/>
  <c r="BQ84" i="1"/>
  <c r="CG84" i="1" s="1"/>
  <c r="BQ86" i="1"/>
  <c r="CG86" i="1" s="1"/>
  <c r="BO85" i="1"/>
  <c r="CH85" i="1" s="1"/>
  <c r="BQ87" i="1"/>
  <c r="CG87" i="1" s="1"/>
  <c r="BR83" i="1"/>
  <c r="CJ83" i="1" s="1"/>
  <c r="CJ85" i="1"/>
  <c r="BR84" i="1"/>
  <c r="CJ84" i="1" s="1"/>
  <c r="BR86" i="1"/>
  <c r="CJ86" i="1" s="1"/>
  <c r="CM86" i="1" s="1"/>
  <c r="BQ83" i="1"/>
  <c r="CG83" i="1" s="1"/>
  <c r="CM85" i="1"/>
  <c r="CM84" i="1"/>
  <c r="AH14" i="1"/>
  <c r="BL14" i="1" s="1"/>
  <c r="ES14" i="1"/>
  <c r="FK14" i="1" s="1"/>
  <c r="GU43" i="1"/>
  <c r="BL42" i="1"/>
  <c r="ES42" i="1"/>
  <c r="FK42" i="1" s="1"/>
  <c r="EU42" i="1"/>
  <c r="EY42" i="1" s="1"/>
  <c r="ES23" i="1"/>
  <c r="FK23" i="1" s="1"/>
  <c r="GV18" i="1"/>
  <c r="GU18" i="1" s="1"/>
  <c r="BI47" i="1"/>
  <c r="ES26" i="1"/>
  <c r="FK26" i="1" s="1"/>
  <c r="EU26" i="1"/>
  <c r="EY26" i="1" s="1"/>
  <c r="DI34" i="1"/>
  <c r="ES17" i="1"/>
  <c r="FK17" i="1" s="1"/>
  <c r="BL17" i="1"/>
  <c r="DJ17" i="1"/>
  <c r="DI17" i="1"/>
  <c r="GV36" i="1"/>
  <c r="GX36" i="1" s="1"/>
  <c r="ES35" i="1"/>
  <c r="FK35" i="1" s="1"/>
  <c r="ES36" i="1"/>
  <c r="FK36" i="1" s="1"/>
  <c r="GV17" i="1"/>
  <c r="GU17" i="1" s="1"/>
  <c r="EU41" i="1"/>
  <c r="EY41" i="1" s="1"/>
  <c r="CD17" i="1"/>
  <c r="DK17" i="1"/>
  <c r="ES24" i="1"/>
  <c r="FK24" i="1" s="1"/>
  <c r="AH25" i="1"/>
  <c r="BL25" i="1" s="1"/>
  <c r="ES25" i="1"/>
  <c r="FK25" i="1" s="1"/>
  <c r="AI16" i="1"/>
  <c r="EU16" i="1"/>
  <c r="EY16" i="1" s="1"/>
  <c r="ES41" i="1"/>
  <c r="FK41" i="1" s="1"/>
  <c r="BL41" i="1"/>
  <c r="EU33" i="1"/>
  <c r="EY33" i="1" s="1"/>
  <c r="EU34" i="1"/>
  <c r="EY34" i="1" s="1"/>
  <c r="AH19" i="1"/>
  <c r="BL19" i="1" s="1"/>
  <c r="ES19" i="1"/>
  <c r="FK19" i="1" s="1"/>
  <c r="AM43" i="1"/>
  <c r="EU43" i="1"/>
  <c r="EY43" i="1" s="1"/>
  <c r="ES22" i="1"/>
  <c r="FK22" i="1" s="1"/>
  <c r="BL34" i="1"/>
  <c r="EU17" i="1"/>
  <c r="EY17" i="1" s="1"/>
  <c r="AH43" i="1"/>
  <c r="BL43" i="1" s="1"/>
  <c r="ES43" i="1"/>
  <c r="FK43" i="1" s="1"/>
  <c r="ES33" i="1"/>
  <c r="FK33" i="1" s="1"/>
  <c r="EU36" i="1"/>
  <c r="EY36" i="1" s="1"/>
  <c r="GU16" i="1"/>
  <c r="AH16" i="1"/>
  <c r="BL16" i="1" s="1"/>
  <c r="ES16" i="1"/>
  <c r="FK16" i="1" s="1"/>
  <c r="ES34" i="1"/>
  <c r="FK34" i="1" s="1"/>
  <c r="BL36" i="1"/>
  <c r="BI17" i="1"/>
  <c r="GM17" i="1"/>
  <c r="DT43" i="1"/>
  <c r="DK35" i="1"/>
  <c r="DJ35" i="1"/>
  <c r="CD35" i="1"/>
  <c r="DI35" i="1"/>
  <c r="GV35" i="1"/>
  <c r="GX35" i="1" s="1"/>
  <c r="BL35" i="1"/>
  <c r="DT16" i="1"/>
  <c r="DJ34" i="1"/>
  <c r="DK34" i="1"/>
  <c r="GV34" i="1"/>
  <c r="GU34" i="1" s="1"/>
  <c r="CD34" i="1"/>
  <c r="BI34" i="1"/>
  <c r="DJ42" i="1"/>
  <c r="DK33" i="1"/>
  <c r="GV42" i="1"/>
  <c r="GX42" i="1" s="1"/>
  <c r="BI42" i="1"/>
  <c r="DI42" i="1"/>
  <c r="CD42" i="1"/>
  <c r="DK42" i="1"/>
  <c r="GK42" i="1"/>
  <c r="DK15" i="1"/>
  <c r="DJ15" i="1"/>
  <c r="DI15" i="1"/>
  <c r="CD15" i="1"/>
  <c r="GV15" i="1"/>
  <c r="BI15" i="1"/>
  <c r="GV33" i="1"/>
  <c r="GX33" i="1" s="1"/>
  <c r="CD33" i="1"/>
  <c r="BL33" i="1"/>
  <c r="DI33" i="1"/>
  <c r="DJ33" i="1"/>
  <c r="DI41" i="1"/>
  <c r="BI36" i="1"/>
  <c r="DK18" i="1"/>
  <c r="DJ41" i="1"/>
  <c r="DK41" i="1"/>
  <c r="GV41" i="1"/>
  <c r="GU41" i="1" s="1"/>
  <c r="BI41" i="1"/>
  <c r="CD41" i="1"/>
  <c r="DI36" i="1"/>
  <c r="GU19" i="1"/>
  <c r="DT19" i="1"/>
  <c r="DK26" i="1"/>
  <c r="DJ26" i="1"/>
  <c r="GV26" i="1"/>
  <c r="GX26" i="1" s="1"/>
  <c r="DT25" i="1"/>
  <c r="CD26" i="1"/>
  <c r="DI26" i="1"/>
  <c r="BL26" i="1"/>
  <c r="BI26" i="1"/>
  <c r="GU25" i="1"/>
  <c r="DJ18" i="1"/>
  <c r="FK18" i="1"/>
  <c r="DI18" i="1"/>
  <c r="CD18" i="1"/>
  <c r="BI18" i="1"/>
  <c r="EY18" i="1"/>
  <c r="DK24" i="1"/>
  <c r="DJ24" i="1"/>
  <c r="CD24" i="1"/>
  <c r="GV24" i="1"/>
  <c r="GX24" i="1" s="1"/>
  <c r="DI24" i="1"/>
  <c r="BI24" i="1"/>
  <c r="GM24" i="1"/>
  <c r="BL24" i="1"/>
  <c r="DJ36" i="1"/>
  <c r="DK36" i="1"/>
  <c r="CD36" i="1"/>
  <c r="ES50" i="1"/>
  <c r="FK50" i="1" s="1"/>
  <c r="AI51" i="1"/>
  <c r="EU51" i="1"/>
  <c r="EY51" i="1" s="1"/>
  <c r="EU52" i="1"/>
  <c r="EY52" i="1" s="1"/>
  <c r="AH51" i="1"/>
  <c r="BL51" i="1" s="1"/>
  <c r="ES51" i="1"/>
  <c r="FK51" i="1" s="1"/>
  <c r="ES52" i="1"/>
  <c r="FK52" i="1" s="1"/>
  <c r="CD53" i="1"/>
  <c r="GK53" i="1"/>
  <c r="GM53" i="1"/>
  <c r="DK52" i="1"/>
  <c r="BL50" i="1"/>
  <c r="DI52" i="1"/>
  <c r="DJ52" i="1"/>
  <c r="BI52" i="1"/>
  <c r="BL52" i="1"/>
  <c r="GX51" i="1"/>
  <c r="CD52" i="1"/>
  <c r="DI50" i="1"/>
  <c r="DJ50" i="1"/>
  <c r="GV50" i="1"/>
  <c r="GX50" i="1" s="1"/>
  <c r="DK50" i="1"/>
  <c r="CD50" i="1"/>
  <c r="JD23" i="1" a="1"/>
  <c r="JD23" i="1" s="1"/>
  <c r="JD29" i="1" a="1"/>
  <c r="JD29" i="1" s="1"/>
  <c r="AM164" i="1" a="1"/>
  <c r="AM164" i="1" s="1"/>
  <c r="X41" i="1"/>
  <c r="IW41" i="1" s="1"/>
  <c r="IG41" i="1" s="1"/>
  <c r="IS18" i="1"/>
  <c r="IS25" i="1"/>
  <c r="ET21" i="1"/>
  <c r="AJ21" i="1"/>
  <c r="IW91" i="1"/>
  <c r="IG91" i="1" s="1"/>
  <c r="AI95" i="1"/>
  <c r="AG86" i="1"/>
  <c r="IR73" i="1"/>
  <c r="IR74" i="1"/>
  <c r="IR87" i="1"/>
  <c r="IR84" i="1"/>
  <c r="IR83" i="1"/>
  <c r="IR86" i="1"/>
  <c r="AJ97" i="1"/>
  <c r="IR99" i="1"/>
  <c r="AQ127" i="1"/>
  <c r="IW127" i="1"/>
  <c r="IG127" i="1" s="1"/>
  <c r="AQ124" i="1"/>
  <c r="GV11" i="1"/>
  <c r="GU11" i="1" s="1"/>
  <c r="EU22" i="1"/>
  <c r="EY22" i="1" s="1"/>
  <c r="GV56" i="1"/>
  <c r="GU56" i="1" s="1"/>
  <c r="EU23" i="1"/>
  <c r="EY23" i="1" s="1"/>
  <c r="GU12" i="1"/>
  <c r="DI10" i="1"/>
  <c r="DK10" i="1"/>
  <c r="DJ10" i="1"/>
  <c r="GK9" i="1"/>
  <c r="HS10" i="1"/>
  <c r="HL10" i="1" s="1"/>
  <c r="HS9" i="1"/>
  <c r="HL9" i="1" s="1"/>
  <c r="ES9" i="1"/>
  <c r="FK9" i="1" s="1"/>
  <c r="ES44" i="1"/>
  <c r="BL44" i="1"/>
  <c r="ES46" i="1"/>
  <c r="FK46" i="1" s="1"/>
  <c r="ES30" i="1"/>
  <c r="FK30" i="1" s="1"/>
  <c r="DI49" i="1"/>
  <c r="DJ22" i="1"/>
  <c r="BL23" i="1"/>
  <c r="EU46" i="1"/>
  <c r="EY46" i="1" s="1"/>
  <c r="BL10" i="1"/>
  <c r="ES38" i="1"/>
  <c r="FK38" i="1" s="1"/>
  <c r="EU57" i="1"/>
  <c r="EY57" i="1" s="1"/>
  <c r="DI9" i="1"/>
  <c r="EU11" i="1"/>
  <c r="EY11" i="1" s="1"/>
  <c r="EU47" i="1"/>
  <c r="EY47" i="1" s="1"/>
  <c r="AM47" i="1"/>
  <c r="DK28" i="1"/>
  <c r="DT21" i="1"/>
  <c r="ES39" i="1"/>
  <c r="FK39" i="1" s="1"/>
  <c r="DI38" i="1"/>
  <c r="EU38" i="1"/>
  <c r="EY38" i="1" s="1"/>
  <c r="ES11" i="1"/>
  <c r="FK11" i="1" s="1"/>
  <c r="DI20" i="1"/>
  <c r="DT40" i="1"/>
  <c r="DI55" i="1"/>
  <c r="BL9" i="1"/>
  <c r="ES48" i="1"/>
  <c r="FK48" i="1" s="1"/>
  <c r="ES56" i="1"/>
  <c r="FK56" i="1" s="1"/>
  <c r="AH27" i="1"/>
  <c r="BL27" i="1" s="1"/>
  <c r="ES27" i="1"/>
  <c r="FK27" i="1" s="1"/>
  <c r="BL13" i="1"/>
  <c r="AM29" i="1"/>
  <c r="EU29" i="1"/>
  <c r="EY29" i="1" s="1"/>
  <c r="AH29" i="1"/>
  <c r="BL29" i="1" s="1"/>
  <c r="ES29" i="1"/>
  <c r="FK29" i="1" s="1"/>
  <c r="EU44" i="1"/>
  <c r="EY44" i="1" s="1"/>
  <c r="EU39" i="1"/>
  <c r="EY39" i="1" s="1"/>
  <c r="BL28" i="1"/>
  <c r="AH37" i="1"/>
  <c r="BL37" i="1" s="1"/>
  <c r="ES37" i="1"/>
  <c r="FK37" i="1" s="1"/>
  <c r="ES47" i="1"/>
  <c r="FK47" i="1" s="1"/>
  <c r="ES28" i="1"/>
  <c r="FK28" i="1" s="1"/>
  <c r="AM45" i="1"/>
  <c r="EU45" i="1"/>
  <c r="EY45" i="1" s="1"/>
  <c r="AM27" i="1"/>
  <c r="EU27" i="1"/>
  <c r="EY27" i="1" s="1"/>
  <c r="AH40" i="1"/>
  <c r="BL40" i="1" s="1"/>
  <c r="ES40" i="1"/>
  <c r="FK40" i="1" s="1"/>
  <c r="AH45" i="1"/>
  <c r="BL45" i="1" s="1"/>
  <c r="ES45" i="1"/>
  <c r="FK45" i="1" s="1"/>
  <c r="AI12" i="1"/>
  <c r="EU12" i="1"/>
  <c r="EY12" i="1" s="1"/>
  <c r="EU30" i="1"/>
  <c r="EY30" i="1" s="1"/>
  <c r="ES55" i="1"/>
  <c r="FK55" i="1" s="1"/>
  <c r="ES32" i="1"/>
  <c r="FK32" i="1" s="1"/>
  <c r="BL32" i="1"/>
  <c r="AH12" i="1"/>
  <c r="BL12" i="1" s="1"/>
  <c r="ES12" i="1"/>
  <c r="FK12" i="1" s="1"/>
  <c r="ES20" i="1"/>
  <c r="FK20" i="1" s="1"/>
  <c r="BL48" i="1"/>
  <c r="ES49" i="1"/>
  <c r="FK49" i="1" s="1"/>
  <c r="BL55" i="1"/>
  <c r="AM40" i="1"/>
  <c r="EU40" i="1"/>
  <c r="EY40" i="1" s="1"/>
  <c r="AM37" i="1"/>
  <c r="EU37" i="1"/>
  <c r="EY37" i="1" s="1"/>
  <c r="ES57" i="1"/>
  <c r="FK57" i="1" s="1"/>
  <c r="AH21" i="1"/>
  <c r="BL21" i="1" s="1"/>
  <c r="ES21" i="1"/>
  <c r="ET44" i="1"/>
  <c r="BI44" i="1"/>
  <c r="GX45" i="1"/>
  <c r="DJ30" i="1"/>
  <c r="DK31" i="1"/>
  <c r="BI28" i="1"/>
  <c r="DT45" i="1"/>
  <c r="DJ47" i="1"/>
  <c r="DT12" i="1"/>
  <c r="GU37" i="1"/>
  <c r="DK9" i="1"/>
  <c r="DJ56" i="1"/>
  <c r="BL57" i="1"/>
  <c r="BI32" i="1"/>
  <c r="DJ28" i="1"/>
  <c r="DT27" i="1"/>
  <c r="GV39" i="1"/>
  <c r="GX39" i="1" s="1"/>
  <c r="GV9" i="1"/>
  <c r="FK10" i="1"/>
  <c r="DK38" i="1"/>
  <c r="GV44" i="1"/>
  <c r="GU44" i="1" s="1"/>
  <c r="DJ46" i="1"/>
  <c r="GU40" i="1"/>
  <c r="DT37" i="1"/>
  <c r="GV46" i="1"/>
  <c r="GU46" i="1" s="1"/>
  <c r="DJ14" i="1"/>
  <c r="DJ13" i="1"/>
  <c r="GX29" i="1"/>
  <c r="DT29" i="1"/>
  <c r="GV10" i="1"/>
  <c r="GX10" i="1" s="1"/>
  <c r="DJ11" i="1"/>
  <c r="DJ44" i="1"/>
  <c r="CD47" i="1"/>
  <c r="DI13" i="1"/>
  <c r="BL39" i="1"/>
  <c r="DJ20" i="1"/>
  <c r="DK46" i="1"/>
  <c r="DJ9" i="1"/>
  <c r="DI23" i="1"/>
  <c r="DK20" i="1"/>
  <c r="CD38" i="1"/>
  <c r="DI32" i="1"/>
  <c r="DK48" i="1"/>
  <c r="DJ23" i="1"/>
  <c r="DK22" i="1"/>
  <c r="DK13" i="1"/>
  <c r="BL20" i="1"/>
  <c r="DI56" i="1"/>
  <c r="CD32" i="1"/>
  <c r="DK57" i="1"/>
  <c r="DK44" i="1"/>
  <c r="GV20" i="1"/>
  <c r="GX20" i="1" s="1"/>
  <c r="GV14" i="1"/>
  <c r="GX14" i="1" s="1"/>
  <c r="DI11" i="1"/>
  <c r="GV30" i="1"/>
  <c r="GX30" i="1" s="1"/>
  <c r="DI48" i="1"/>
  <c r="GV48" i="1"/>
  <c r="GX48" i="1" s="1"/>
  <c r="GV47" i="1"/>
  <c r="GU47" i="1" s="1"/>
  <c r="DK14" i="1"/>
  <c r="DI22" i="1"/>
  <c r="CD44" i="1"/>
  <c r="DI30" i="1"/>
  <c r="GX27" i="1"/>
  <c r="DK39" i="1"/>
  <c r="BL56" i="1"/>
  <c r="DJ48" i="1"/>
  <c r="DK47" i="1"/>
  <c r="DJ31" i="1"/>
  <c r="GV57" i="1"/>
  <c r="GX57" i="1" s="1"/>
  <c r="DJ55" i="1"/>
  <c r="FK13" i="1"/>
  <c r="CD10" i="1"/>
  <c r="DK49" i="1"/>
  <c r="GV23" i="1"/>
  <c r="GX23" i="1" s="1"/>
  <c r="DI57" i="1"/>
  <c r="DK32" i="1"/>
  <c r="CD22" i="1"/>
  <c r="DK23" i="1"/>
  <c r="FK31" i="1"/>
  <c r="DK55" i="1"/>
  <c r="GV55" i="1"/>
  <c r="GU55" i="1" s="1"/>
  <c r="DI47" i="1"/>
  <c r="DI14" i="1"/>
  <c r="DK56" i="1"/>
  <c r="DK11" i="1"/>
  <c r="DJ38" i="1"/>
  <c r="GV22" i="1"/>
  <c r="GU22" i="1" s="1"/>
  <c r="CD13" i="1"/>
  <c r="GV28" i="1"/>
  <c r="GX28" i="1" s="1"/>
  <c r="BI13" i="1"/>
  <c r="CD46" i="1"/>
  <c r="DJ49" i="1"/>
  <c r="GV49" i="1"/>
  <c r="GU49" i="1" s="1"/>
  <c r="GK32" i="1"/>
  <c r="GV32" i="1"/>
  <c r="GX21" i="1"/>
  <c r="DI44" i="1"/>
  <c r="CD14" i="1"/>
  <c r="GV31" i="1"/>
  <c r="GX31" i="1" s="1"/>
  <c r="DI31" i="1"/>
  <c r="DK30" i="1"/>
  <c r="DJ32" i="1"/>
  <c r="CD9" i="1"/>
  <c r="BI9" i="1"/>
  <c r="GM20" i="1"/>
  <c r="EY14" i="1"/>
  <c r="CD20" i="1"/>
  <c r="GM44" i="1"/>
  <c r="DI46" i="1"/>
  <c r="GK39" i="1"/>
  <c r="DJ39" i="1"/>
  <c r="CD48" i="1"/>
  <c r="GK38" i="1"/>
  <c r="BI10" i="1"/>
  <c r="CD30" i="1"/>
  <c r="EY56" i="1"/>
  <c r="BI11" i="1"/>
  <c r="BL11" i="1"/>
  <c r="BL46" i="1"/>
  <c r="CD39" i="1"/>
  <c r="GK20" i="1"/>
  <c r="GM46" i="1"/>
  <c r="CD49" i="1"/>
  <c r="GK23" i="1"/>
  <c r="GK48" i="1"/>
  <c r="CD11" i="1"/>
  <c r="DI39" i="1"/>
  <c r="BL49" i="1"/>
  <c r="CD23" i="1"/>
  <c r="CD56" i="1"/>
  <c r="BL47" i="1"/>
  <c r="EY31" i="1"/>
  <c r="BI22" i="1"/>
  <c r="BL22" i="1"/>
  <c r="BI23" i="1"/>
  <c r="BI48" i="1"/>
  <c r="BI31" i="1"/>
  <c r="GK31" i="1"/>
  <c r="GK57" i="1"/>
  <c r="CD31" i="1"/>
  <c r="DI28" i="1"/>
  <c r="BI38" i="1"/>
  <c r="BL38" i="1"/>
  <c r="GV38" i="1"/>
  <c r="CD57" i="1"/>
  <c r="GK28" i="1"/>
  <c r="BL30" i="1"/>
  <c r="DJ57" i="1"/>
  <c r="BI30" i="1"/>
  <c r="CD28" i="1"/>
  <c r="CD55" i="1"/>
  <c r="GK13" i="1"/>
  <c r="BI55" i="1"/>
  <c r="AJ62" i="1"/>
  <c r="AI118" i="1"/>
  <c r="AM54" i="1"/>
  <c r="AQ74" i="1"/>
  <c r="IR82" i="1"/>
  <c r="AI108" i="1"/>
  <c r="IR105" i="1"/>
  <c r="IR106" i="1"/>
  <c r="IR92" i="1"/>
  <c r="IW83" i="1"/>
  <c r="IG83" i="1" s="1"/>
  <c r="IR104" i="1"/>
  <c r="AQ119" i="1"/>
  <c r="IR128" i="1"/>
  <c r="IR69" i="1"/>
  <c r="AQ123" i="1"/>
  <c r="IR132" i="1"/>
  <c r="AQ109" i="1"/>
  <c r="IW109" i="1"/>
  <c r="IG109" i="1" s="1"/>
  <c r="AI75" i="1"/>
  <c r="AQ128" i="1"/>
  <c r="IW128" i="1"/>
  <c r="IG128" i="1" s="1"/>
  <c r="AQ122" i="1"/>
  <c r="IR131" i="1"/>
  <c r="IR85" i="1"/>
  <c r="AI109" i="1"/>
  <c r="AQ120" i="1"/>
  <c r="IR129" i="1"/>
  <c r="AQ126" i="1"/>
  <c r="IR135" i="1"/>
  <c r="AQ92" i="1"/>
  <c r="IW92" i="1"/>
  <c r="IG92" i="1" s="1"/>
  <c r="AG75" i="1"/>
  <c r="BM75" i="1" s="1"/>
  <c r="IR72" i="1"/>
  <c r="AQ129" i="1"/>
  <c r="IW129" i="1"/>
  <c r="IG129" i="1" s="1"/>
  <c r="AQ125" i="1"/>
  <c r="IR134" i="1"/>
  <c r="IR88" i="1"/>
  <c r="AM120" i="1"/>
  <c r="AI86" i="1"/>
  <c r="IR70" i="1"/>
  <c r="AQ110" i="1"/>
  <c r="IW110" i="1"/>
  <c r="IG110" i="1" s="1"/>
  <c r="AQ90" i="1"/>
  <c r="IR90" i="1"/>
  <c r="AG97" i="1"/>
  <c r="IR102" i="1"/>
  <c r="IR89" i="1"/>
  <c r="AQ83" i="1"/>
  <c r="IR91" i="1"/>
  <c r="AQ103" i="1"/>
  <c r="IW103" i="1"/>
  <c r="IG103" i="1" s="1"/>
  <c r="IR68" i="1"/>
  <c r="AQ68" i="1"/>
  <c r="IW68" i="1"/>
  <c r="IG68" i="1" s="1"/>
  <c r="AQ73" i="1"/>
  <c r="IW73" i="1"/>
  <c r="IG73" i="1" s="1"/>
  <c r="IR71" i="1"/>
  <c r="IS19" i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W99" i="1"/>
  <c r="IG99" i="1" s="1"/>
  <c r="AQ84" i="1"/>
  <c r="IR93" i="1"/>
  <c r="AQ87" i="1"/>
  <c r="IR96" i="1"/>
  <c r="AQ79" i="1"/>
  <c r="IR100" i="1"/>
  <c r="IW79" i="1"/>
  <c r="IG79" i="1" s="1"/>
  <c r="IR62" i="1"/>
  <c r="AQ106" i="1"/>
  <c r="IR113" i="1"/>
  <c r="V9" i="1"/>
  <c r="IS28" i="1"/>
  <c r="IR67" i="1"/>
  <c r="IR66" i="1"/>
  <c r="AQ80" i="1"/>
  <c r="IW80" i="1"/>
  <c r="IG80" i="1" s="1"/>
  <c r="IR101" i="1"/>
  <c r="AQ112" i="1"/>
  <c r="IW112" i="1"/>
  <c r="IG112" i="1" s="1"/>
  <c r="AQ64" i="1"/>
  <c r="IW64" i="1"/>
  <c r="IG64" i="1" s="1"/>
  <c r="AQ86" i="1"/>
  <c r="IR95" i="1"/>
  <c r="AQ71" i="1"/>
  <c r="IR77" i="1"/>
  <c r="AQ96" i="1"/>
  <c r="IW96" i="1"/>
  <c r="IG96" i="1" s="1"/>
  <c r="AQ94" i="1"/>
  <c r="IW94" i="1"/>
  <c r="IG94" i="1" s="1"/>
  <c r="AQ105" i="1"/>
  <c r="IR112" i="1"/>
  <c r="AQ62" i="1"/>
  <c r="IW62" i="1"/>
  <c r="IG62" i="1" s="1"/>
  <c r="AQ67" i="1"/>
  <c r="IR81" i="1"/>
  <c r="IW67" i="1"/>
  <c r="IG67" i="1" s="1"/>
  <c r="AQ76" i="1"/>
  <c r="IW76" i="1"/>
  <c r="IG76" i="1" s="1"/>
  <c r="AQ107" i="1"/>
  <c r="IR114" i="1"/>
  <c r="AQ114" i="1"/>
  <c r="IW114" i="1"/>
  <c r="IG114" i="1" s="1"/>
  <c r="AQ81" i="1"/>
  <c r="IW81" i="1"/>
  <c r="IG81" i="1" s="1"/>
  <c r="AQ100" i="1"/>
  <c r="IW100" i="1"/>
  <c r="IG100" i="1" s="1"/>
  <c r="IR116" i="1"/>
  <c r="AQ69" i="1"/>
  <c r="IR75" i="1"/>
  <c r="AQ104" i="1"/>
  <c r="IR111" i="1"/>
  <c r="AQ116" i="1"/>
  <c r="IW116" i="1"/>
  <c r="IG116" i="1" s="1"/>
  <c r="AQ55" i="1"/>
  <c r="IR64" i="1"/>
  <c r="AQ66" i="1"/>
  <c r="IW66" i="1"/>
  <c r="IG66" i="1" s="1"/>
  <c r="IR80" i="1"/>
  <c r="AQ72" i="1"/>
  <c r="IR78" i="1"/>
  <c r="AQ93" i="1"/>
  <c r="IW93" i="1"/>
  <c r="IG93" i="1" s="1"/>
  <c r="AQ98" i="1"/>
  <c r="IW98" i="1"/>
  <c r="IG98" i="1" s="1"/>
  <c r="AQ65" i="1"/>
  <c r="IW65" i="1"/>
  <c r="IG65" i="1" s="1"/>
  <c r="IR79" i="1"/>
  <c r="AQ85" i="1"/>
  <c r="IR94" i="1"/>
  <c r="AQ117" i="1"/>
  <c r="IW117" i="1"/>
  <c r="IG117" i="1" s="1"/>
  <c r="AQ88" i="1"/>
  <c r="IR97" i="1"/>
  <c r="AQ77" i="1"/>
  <c r="IW77" i="1"/>
  <c r="IG77" i="1" s="1"/>
  <c r="AQ115" i="1"/>
  <c r="IW115" i="1"/>
  <c r="IG115" i="1" s="1"/>
  <c r="AQ78" i="1"/>
  <c r="IW78" i="1"/>
  <c r="IG78" i="1" s="1"/>
  <c r="AQ113" i="1"/>
  <c r="IW113" i="1"/>
  <c r="IG113" i="1" s="1"/>
  <c r="IR60" i="1"/>
  <c r="AQ63" i="1"/>
  <c r="IW63" i="1"/>
  <c r="IG63" i="1" s="1"/>
  <c r="AQ108" i="1"/>
  <c r="IR115" i="1"/>
  <c r="IR61" i="1"/>
  <c r="IW58" i="1"/>
  <c r="IG58" i="1" s="1"/>
  <c r="AQ89" i="1"/>
  <c r="IR98" i="1"/>
  <c r="AQ118" i="1"/>
  <c r="IW118" i="1"/>
  <c r="IG118" i="1" s="1"/>
  <c r="AQ70" i="1"/>
  <c r="IR76" i="1"/>
  <c r="AQ75" i="1"/>
  <c r="IW75" i="1"/>
  <c r="IG75" i="1" s="1"/>
  <c r="AQ95" i="1"/>
  <c r="IW95" i="1"/>
  <c r="IG95" i="1" s="1"/>
  <c r="M9" i="7"/>
  <c r="AG47" i="1"/>
  <c r="BJ47" i="1" s="1"/>
  <c r="AJ39" i="1"/>
  <c r="AG54" i="1"/>
  <c r="BJ54" i="1" s="1"/>
  <c r="AJ47" i="1"/>
  <c r="AJ59" i="1"/>
  <c r="AJ54" i="1"/>
  <c r="AG46" i="1"/>
  <c r="BK46" i="1" s="1"/>
  <c r="AM46" i="1"/>
  <c r="AG15" i="1"/>
  <c r="BN15" i="1" s="1"/>
  <c r="AQ61" i="1"/>
  <c r="AQ56" i="1"/>
  <c r="AQ58" i="1"/>
  <c r="AQ60" i="1"/>
  <c r="AQ59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BM62" i="1" s="1"/>
  <c r="AI18" i="1"/>
  <c r="AG18" i="1"/>
  <c r="BN18" i="1" s="1"/>
  <c r="AM11" i="1"/>
  <c r="AG11" i="1"/>
  <c r="BN11" i="1" s="1"/>
  <c r="AM13" i="1"/>
  <c r="AG13" i="1"/>
  <c r="BJ13" i="1" s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BK21" i="1" s="1"/>
  <c r="AG38" i="1"/>
  <c r="BK38" i="1" s="1"/>
  <c r="AG10" i="1"/>
  <c r="BM10" i="1" s="1"/>
  <c r="AI52" i="1"/>
  <c r="AM18" i="1"/>
  <c r="AG39" i="1"/>
  <c r="BJ39" i="1" s="1"/>
  <c r="AM44" i="1"/>
  <c r="AJ22" i="1"/>
  <c r="AM30" i="1"/>
  <c r="AI17" i="1"/>
  <c r="AJ51" i="1"/>
  <c r="AJ15" i="1"/>
  <c r="AJ38" i="1"/>
  <c r="AG36" i="1"/>
  <c r="BJ36" i="1" s="1"/>
  <c r="AM57" i="1"/>
  <c r="AG57" i="1"/>
  <c r="BJ57" i="1" s="1"/>
  <c r="AG22" i="1"/>
  <c r="BN22" i="1" s="1"/>
  <c r="AI22" i="1"/>
  <c r="AJ17" i="1"/>
  <c r="AI21" i="1"/>
  <c r="AM21" i="1"/>
  <c r="AM42" i="1"/>
  <c r="AG17" i="1"/>
  <c r="AG42" i="1"/>
  <c r="BK42" i="1" s="1"/>
  <c r="AJ11" i="1"/>
  <c r="AI37" i="1"/>
  <c r="AG59" i="1"/>
  <c r="BM59" i="1" s="1"/>
  <c r="AG37" i="1"/>
  <c r="AJ10" i="1"/>
  <c r="AI23" i="1"/>
  <c r="AI36" i="1"/>
  <c r="AG26" i="1"/>
  <c r="BJ26" i="1" s="1"/>
  <c r="AG23" i="1"/>
  <c r="BN23" i="1" s="1"/>
  <c r="AG27" i="1"/>
  <c r="AI35" i="1"/>
  <c r="AJ23" i="1"/>
  <c r="AG14" i="1"/>
  <c r="AJ27" i="1"/>
  <c r="AI13" i="1"/>
  <c r="AG30" i="1"/>
  <c r="BK30" i="1" s="1"/>
  <c r="AI45" i="1"/>
  <c r="AI40" i="1"/>
  <c r="AJ42" i="1"/>
  <c r="AG40" i="1"/>
  <c r="AG35" i="1"/>
  <c r="BJ35" i="1" s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G45" i="1"/>
  <c r="AG51" i="1"/>
  <c r="AG53" i="1"/>
  <c r="BJ53" i="1" s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BJ32" i="1" s="1"/>
  <c r="AG29" i="1"/>
  <c r="AI29" i="1"/>
  <c r="AM51" i="1"/>
  <c r="AJ18" i="1"/>
  <c r="AI34" i="1"/>
  <c r="AG60" i="1"/>
  <c r="BJ60" i="1" s="1"/>
  <c r="AG33" i="1"/>
  <c r="BM33" i="1" s="1"/>
  <c r="AI32" i="1"/>
  <c r="AM32" i="1"/>
  <c r="AM60" i="1"/>
  <c r="AI10" i="1"/>
  <c r="AM10" i="1"/>
  <c r="AJ29" i="1"/>
  <c r="AJ57" i="1"/>
  <c r="AJ52" i="1"/>
  <c r="AG43" i="1"/>
  <c r="AJ41" i="1"/>
  <c r="AG20" i="1"/>
  <c r="BN20" i="1" s="1"/>
  <c r="AZ151" i="1"/>
  <c r="BA75" i="1" s="1"/>
  <c r="GN75" i="1" s="1"/>
  <c r="GL2" i="1"/>
  <c r="AG88" i="1"/>
  <c r="AG52" i="1"/>
  <c r="BM52" i="1" s="1"/>
  <c r="AM96" i="1"/>
  <c r="AG96" i="1"/>
  <c r="AG41" i="1"/>
  <c r="BN41" i="1" s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BL60" i="1" s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BM34" i="1" s="1"/>
  <c r="AJ33" i="1"/>
  <c r="AM88" i="1"/>
  <c r="AJ82" i="1"/>
  <c r="AG80" i="1"/>
  <c r="AG78" i="1"/>
  <c r="AJ78" i="1"/>
  <c r="AI78" i="1"/>
  <c r="AM78" i="1"/>
  <c r="AJ76" i="1"/>
  <c r="AJ65" i="1"/>
  <c r="AM63" i="1"/>
  <c r="AG63" i="1"/>
  <c r="BK63" i="1" s="1"/>
  <c r="AI63" i="1"/>
  <c r="AG61" i="1"/>
  <c r="BK61" i="1" s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BJ65" i="1" s="1"/>
  <c r="AI65" i="1"/>
  <c r="AM65" i="1"/>
  <c r="AI64" i="1"/>
  <c r="AG64" i="1"/>
  <c r="BJ64" i="1" s="1"/>
  <c r="AM64" i="1"/>
  <c r="AJ64" i="1"/>
  <c r="AJ58" i="1"/>
  <c r="AG58" i="1"/>
  <c r="AI58" i="1"/>
  <c r="AM58" i="1"/>
  <c r="AI56" i="1"/>
  <c r="AM56" i="1"/>
  <c r="AG56" i="1"/>
  <c r="BN56" i="1" s="1"/>
  <c r="AJ56" i="1"/>
  <c r="AJ55" i="1"/>
  <c r="AM55" i="1"/>
  <c r="AG55" i="1"/>
  <c r="BM55" i="1" s="1"/>
  <c r="AI55" i="1"/>
  <c r="AJ34" i="1"/>
  <c r="AJ48" i="1"/>
  <c r="AI48" i="1"/>
  <c r="AM48" i="1"/>
  <c r="AG48" i="1"/>
  <c r="BK48" i="1" s="1"/>
  <c r="AM24" i="1"/>
  <c r="AG24" i="1"/>
  <c r="BN24" i="1" s="1"/>
  <c r="AI24" i="1"/>
  <c r="AJ24" i="1"/>
  <c r="AJ28" i="1"/>
  <c r="AG19" i="1"/>
  <c r="AM19" i="1"/>
  <c r="AI19" i="1"/>
  <c r="AJ25" i="1"/>
  <c r="AJ19" i="1"/>
  <c r="AJ31" i="1"/>
  <c r="AH31" i="1"/>
  <c r="BL31" i="1" s="1"/>
  <c r="AI31" i="1"/>
  <c r="AM31" i="1"/>
  <c r="AG31" i="1"/>
  <c r="BJ31" i="1" s="1"/>
  <c r="AJ9" i="1"/>
  <c r="AG28" i="1"/>
  <c r="BJ28" i="1" s="1"/>
  <c r="AM28" i="1"/>
  <c r="AI28" i="1"/>
  <c r="AM50" i="1"/>
  <c r="AG50" i="1"/>
  <c r="BN50" i="1" s="1"/>
  <c r="AI50" i="1"/>
  <c r="AJ49" i="1"/>
  <c r="AJ50" i="1"/>
  <c r="AG49" i="1"/>
  <c r="BJ49" i="1" s="1"/>
  <c r="AI49" i="1"/>
  <c r="AM49" i="1"/>
  <c r="AI25" i="1"/>
  <c r="AG25" i="1"/>
  <c r="AM25" i="1"/>
  <c r="AG9" i="1"/>
  <c r="BM9" i="1" s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IR52" i="1" l="1"/>
  <c r="IR63" i="1"/>
  <c r="IR37" i="1"/>
  <c r="IR39" i="1"/>
  <c r="IR41" i="1"/>
  <c r="IR26" i="1"/>
  <c r="IR16" i="1"/>
  <c r="IR25" i="1"/>
  <c r="IR17" i="1"/>
  <c r="IR24" i="1"/>
  <c r="GU70" i="1"/>
  <c r="BJ70" i="1"/>
  <c r="BM70" i="1"/>
  <c r="BN70" i="1"/>
  <c r="BK70" i="1"/>
  <c r="IR56" i="1"/>
  <c r="GX75" i="1"/>
  <c r="DT74" i="1"/>
  <c r="DT75" i="1"/>
  <c r="IW54" i="1"/>
  <c r="IG54" i="1" s="1"/>
  <c r="DT71" i="1"/>
  <c r="BK75" i="1"/>
  <c r="GU73" i="1"/>
  <c r="BJ75" i="1"/>
  <c r="BN75" i="1"/>
  <c r="BJ74" i="1"/>
  <c r="BM74" i="1"/>
  <c r="BN74" i="1"/>
  <c r="BK74" i="1"/>
  <c r="DT73" i="1"/>
  <c r="GU72" i="1"/>
  <c r="BN73" i="1"/>
  <c r="BJ73" i="1"/>
  <c r="BM73" i="1"/>
  <c r="BK73" i="1"/>
  <c r="DT72" i="1"/>
  <c r="BK72" i="1"/>
  <c r="BM72" i="1"/>
  <c r="BJ72" i="1"/>
  <c r="BN72" i="1"/>
  <c r="BK71" i="1"/>
  <c r="BJ71" i="1"/>
  <c r="BM71" i="1"/>
  <c r="BN71" i="1"/>
  <c r="IR55" i="1"/>
  <c r="IW53" i="1"/>
  <c r="IG53" i="1" s="1"/>
  <c r="IR54" i="1"/>
  <c r="GU52" i="1"/>
  <c r="IW44" i="1"/>
  <c r="IG44" i="1" s="1"/>
  <c r="IR43" i="1"/>
  <c r="IR45" i="1"/>
  <c r="GX68" i="1"/>
  <c r="GU54" i="1"/>
  <c r="DT68" i="1"/>
  <c r="IR42" i="1"/>
  <c r="DT59" i="1"/>
  <c r="GU53" i="1"/>
  <c r="GU60" i="1"/>
  <c r="DT67" i="1"/>
  <c r="GU66" i="1"/>
  <c r="DT60" i="1"/>
  <c r="DT66" i="1"/>
  <c r="DT69" i="1"/>
  <c r="DT58" i="1"/>
  <c r="GX58" i="1"/>
  <c r="GU65" i="1"/>
  <c r="GU59" i="1"/>
  <c r="BA66" i="1"/>
  <c r="GN66" i="1" s="1"/>
  <c r="BA60" i="1"/>
  <c r="GN60" i="1" s="1"/>
  <c r="BJ44" i="1"/>
  <c r="BJ69" i="1"/>
  <c r="BM69" i="1"/>
  <c r="BK69" i="1"/>
  <c r="BN68" i="1"/>
  <c r="BJ68" i="1"/>
  <c r="BK68" i="1"/>
  <c r="BM68" i="1"/>
  <c r="BN69" i="1"/>
  <c r="BN67" i="1"/>
  <c r="BM67" i="1"/>
  <c r="BK67" i="1"/>
  <c r="BJ67" i="1"/>
  <c r="BN44" i="1"/>
  <c r="BP44" i="1" s="1"/>
  <c r="DT54" i="1"/>
  <c r="BM58" i="1"/>
  <c r="BJ58" i="1"/>
  <c r="BK58" i="1"/>
  <c r="BN58" i="1"/>
  <c r="BK60" i="1"/>
  <c r="BN60" i="1"/>
  <c r="BM60" i="1"/>
  <c r="BQ60" i="1" s="1"/>
  <c r="BK59" i="1"/>
  <c r="BN59" i="1"/>
  <c r="BJ59" i="1"/>
  <c r="BK66" i="1"/>
  <c r="BM66" i="1"/>
  <c r="BN66" i="1"/>
  <c r="BJ66" i="1"/>
  <c r="IR29" i="1"/>
  <c r="IW28" i="1"/>
  <c r="IG28" i="1" s="1"/>
  <c r="DT65" i="1"/>
  <c r="BM44" i="1"/>
  <c r="GX64" i="1"/>
  <c r="DT63" i="1"/>
  <c r="DT64" i="1"/>
  <c r="GX63" i="1"/>
  <c r="IW29" i="1"/>
  <c r="IG29" i="1" s="1"/>
  <c r="BA64" i="1"/>
  <c r="GN64" i="1" s="1"/>
  <c r="BA65" i="1"/>
  <c r="GN65" i="1" s="1"/>
  <c r="BM65" i="1"/>
  <c r="BQ65" i="1" s="1"/>
  <c r="BN65" i="1"/>
  <c r="BK65" i="1"/>
  <c r="IR38" i="1"/>
  <c r="IR40" i="1"/>
  <c r="DT61" i="1"/>
  <c r="BK64" i="1"/>
  <c r="BN64" i="1"/>
  <c r="BM64" i="1"/>
  <c r="BQ64" i="1" s="1"/>
  <c r="GU62" i="1"/>
  <c r="DT62" i="1"/>
  <c r="BJ63" i="1"/>
  <c r="BM63" i="1"/>
  <c r="BA54" i="1"/>
  <c r="GN54" i="1" s="1"/>
  <c r="BA63" i="1"/>
  <c r="GN63" i="1" s="1"/>
  <c r="BN63" i="1"/>
  <c r="BP63" i="1" s="1"/>
  <c r="GX61" i="1"/>
  <c r="BA62" i="1"/>
  <c r="GN62" i="1" s="1"/>
  <c r="BJ62" i="1"/>
  <c r="BN62" i="1"/>
  <c r="BK62" i="1"/>
  <c r="BA61" i="1"/>
  <c r="GN61" i="1" s="1"/>
  <c r="BJ61" i="1"/>
  <c r="BN61" i="1"/>
  <c r="BP61" i="1" s="1"/>
  <c r="BM61" i="1"/>
  <c r="EY61" i="1"/>
  <c r="GX56" i="1"/>
  <c r="IW40" i="1"/>
  <c r="IG40" i="1" s="1"/>
  <c r="DT53" i="1"/>
  <c r="BM54" i="1"/>
  <c r="BQ54" i="1" s="1"/>
  <c r="BK54" i="1"/>
  <c r="BN54" i="1"/>
  <c r="BK53" i="1"/>
  <c r="BN53" i="1"/>
  <c r="BM53" i="1"/>
  <c r="BQ53" i="1" s="1"/>
  <c r="BN51" i="1"/>
  <c r="IR27" i="1"/>
  <c r="IW39" i="1"/>
  <c r="IG39" i="1" s="1"/>
  <c r="IW27" i="1"/>
  <c r="IG27" i="1" s="1"/>
  <c r="IR28" i="1"/>
  <c r="IR57" i="1"/>
  <c r="IR44" i="1"/>
  <c r="IW30" i="1"/>
  <c r="IG30" i="1" s="1"/>
  <c r="IW45" i="1"/>
  <c r="IG45" i="1" s="1"/>
  <c r="IR30" i="1"/>
  <c r="IR19" i="1"/>
  <c r="AQ46" i="1"/>
  <c r="IR36" i="1"/>
  <c r="IR33" i="1"/>
  <c r="IR21" i="1"/>
  <c r="IR18" i="1"/>
  <c r="IR46" i="1"/>
  <c r="IW21" i="1"/>
  <c r="IG21" i="1" s="1"/>
  <c r="IR47" i="1"/>
  <c r="IW23" i="1"/>
  <c r="IG23" i="1" s="1"/>
  <c r="IR22" i="1"/>
  <c r="IW18" i="1"/>
  <c r="IG18" i="1" s="1"/>
  <c r="IW49" i="1"/>
  <c r="IG49" i="1" s="1"/>
  <c r="IW19" i="1"/>
  <c r="IG19" i="1" s="1"/>
  <c r="IW31" i="1"/>
  <c r="IG31" i="1" s="1"/>
  <c r="IR20" i="1"/>
  <c r="IW22" i="1"/>
  <c r="IG22" i="1" s="1"/>
  <c r="IR31" i="1"/>
  <c r="IR50" i="1"/>
  <c r="IR65" i="1"/>
  <c r="IR53" i="1"/>
  <c r="IW50" i="1"/>
  <c r="IG50" i="1" s="1"/>
  <c r="AQ35" i="1"/>
  <c r="AQ53" i="1"/>
  <c r="AQ17" i="1"/>
  <c r="IR51" i="1"/>
  <c r="IR48" i="1"/>
  <c r="IW20" i="1"/>
  <c r="IG20" i="1" s="1"/>
  <c r="IR34" i="1"/>
  <c r="IR23" i="1"/>
  <c r="IR35" i="1"/>
  <c r="IR59" i="1"/>
  <c r="IW48" i="1"/>
  <c r="IG48" i="1" s="1"/>
  <c r="IR32" i="1"/>
  <c r="IR49" i="1"/>
  <c r="IW47" i="1"/>
  <c r="IG47" i="1" s="1"/>
  <c r="IW33" i="1"/>
  <c r="IG33" i="1" s="1"/>
  <c r="AQ34" i="1"/>
  <c r="AQ38" i="1"/>
  <c r="AQ37" i="1"/>
  <c r="AQ52" i="1"/>
  <c r="AQ16" i="1"/>
  <c r="AQ26" i="1"/>
  <c r="AQ51" i="1"/>
  <c r="AQ24" i="1"/>
  <c r="AQ25" i="1"/>
  <c r="BN19" i="1"/>
  <c r="AQ32" i="1"/>
  <c r="AQ43" i="1"/>
  <c r="AQ42" i="1"/>
  <c r="BN14" i="1"/>
  <c r="CF87" i="1"/>
  <c r="CL87" i="1" s="1"/>
  <c r="CJ87" i="1"/>
  <c r="CF84" i="1"/>
  <c r="CL84" i="1" s="1"/>
  <c r="CF83" i="1"/>
  <c r="CL83" i="1" s="1"/>
  <c r="CM83" i="1"/>
  <c r="CF85" i="1"/>
  <c r="CL85" i="1" s="1"/>
  <c r="BA43" i="1"/>
  <c r="GN43" i="1" s="1"/>
  <c r="BA58" i="1"/>
  <c r="GN58" i="1" s="1"/>
  <c r="BA71" i="1"/>
  <c r="GN71" i="1" s="1"/>
  <c r="BA72" i="1"/>
  <c r="GN72" i="1" s="1"/>
  <c r="BA70" i="1"/>
  <c r="GN70" i="1" s="1"/>
  <c r="BA67" i="1"/>
  <c r="GN67" i="1" s="1"/>
  <c r="BA74" i="1"/>
  <c r="GN74" i="1" s="1"/>
  <c r="BA73" i="1"/>
  <c r="GN73" i="1" s="1"/>
  <c r="BA69" i="1"/>
  <c r="GN69" i="1" s="1"/>
  <c r="BA84" i="1"/>
  <c r="GN84" i="1" s="1"/>
  <c r="BA86" i="1"/>
  <c r="GN86" i="1" s="1"/>
  <c r="BA87" i="1"/>
  <c r="GN87" i="1" s="1"/>
  <c r="BA59" i="1"/>
  <c r="GN59" i="1" s="1"/>
  <c r="BA83" i="1"/>
  <c r="GN83" i="1" s="1"/>
  <c r="BA85" i="1"/>
  <c r="GN85" i="1" s="1"/>
  <c r="BA68" i="1"/>
  <c r="GN68" i="1" s="1"/>
  <c r="GX15" i="1"/>
  <c r="GU15" i="1"/>
  <c r="GX18" i="1"/>
  <c r="BN26" i="1"/>
  <c r="GU26" i="1"/>
  <c r="BM26" i="1"/>
  <c r="BK26" i="1"/>
  <c r="GU36" i="1"/>
  <c r="GX17" i="1"/>
  <c r="DT17" i="1"/>
  <c r="BK35" i="1"/>
  <c r="BN35" i="1"/>
  <c r="BJ34" i="1"/>
  <c r="BQ34" i="1" s="1"/>
  <c r="BM18" i="1"/>
  <c r="BM15" i="1"/>
  <c r="GU35" i="1"/>
  <c r="BK18" i="1"/>
  <c r="BP18" i="1" s="1"/>
  <c r="BM35" i="1"/>
  <c r="BJ24" i="1"/>
  <c r="BJ25" i="1"/>
  <c r="BK25" i="1"/>
  <c r="BN25" i="1"/>
  <c r="BM25" i="1"/>
  <c r="BJ16" i="1"/>
  <c r="BM16" i="1"/>
  <c r="BK17" i="1"/>
  <c r="BM17" i="1"/>
  <c r="M8" i="7" a="1"/>
  <c r="M8" i="7" s="1"/>
  <c r="BM24" i="1"/>
  <c r="BN42" i="1"/>
  <c r="BP42" i="1" s="1"/>
  <c r="BJ33" i="1"/>
  <c r="BQ33" i="1" s="1"/>
  <c r="BK15" i="1"/>
  <c r="BP15" i="1" s="1"/>
  <c r="BJ17" i="1"/>
  <c r="BJ41" i="1"/>
  <c r="BM42" i="1"/>
  <c r="BK34" i="1"/>
  <c r="BK19" i="1"/>
  <c r="BM19" i="1"/>
  <c r="BJ19" i="1"/>
  <c r="BM43" i="1"/>
  <c r="BJ43" i="1"/>
  <c r="BN43" i="1"/>
  <c r="BK43" i="1"/>
  <c r="BN33" i="1"/>
  <c r="BN34" i="1"/>
  <c r="BM41" i="1"/>
  <c r="BJ18" i="1"/>
  <c r="BK36" i="1"/>
  <c r="BJ42" i="1"/>
  <c r="BK24" i="1"/>
  <c r="BP24" i="1" s="1"/>
  <c r="BJ15" i="1"/>
  <c r="BK41" i="1"/>
  <c r="BP41" i="1" s="1"/>
  <c r="BN36" i="1"/>
  <c r="BN16" i="1"/>
  <c r="BK33" i="1"/>
  <c r="BK16" i="1"/>
  <c r="BM36" i="1"/>
  <c r="BN17" i="1"/>
  <c r="BA17" i="1"/>
  <c r="GN17" i="1" s="1"/>
  <c r="DT35" i="1"/>
  <c r="BA35" i="1"/>
  <c r="GN35" i="1" s="1"/>
  <c r="GX34" i="1"/>
  <c r="DT34" i="1"/>
  <c r="BA34" i="1"/>
  <c r="GN34" i="1" s="1"/>
  <c r="BA16" i="1"/>
  <c r="GN16" i="1" s="1"/>
  <c r="GU42" i="1"/>
  <c r="DT42" i="1"/>
  <c r="DT15" i="1"/>
  <c r="BA15" i="1"/>
  <c r="GN15" i="1" s="1"/>
  <c r="BA42" i="1"/>
  <c r="GN42" i="1" s="1"/>
  <c r="FK21" i="1"/>
  <c r="GU33" i="1"/>
  <c r="DT41" i="1"/>
  <c r="DT33" i="1"/>
  <c r="BA41" i="1"/>
  <c r="GN41" i="1" s="1"/>
  <c r="BA33" i="1"/>
  <c r="GN33" i="1" s="1"/>
  <c r="GX41" i="1"/>
  <c r="DT26" i="1"/>
  <c r="BA18" i="1"/>
  <c r="GN18" i="1" s="1"/>
  <c r="BA19" i="1"/>
  <c r="GN19" i="1" s="1"/>
  <c r="BA26" i="1"/>
  <c r="GN26" i="1" s="1"/>
  <c r="DT18" i="1"/>
  <c r="DT24" i="1"/>
  <c r="BA53" i="1"/>
  <c r="GN53" i="1" s="1"/>
  <c r="BA25" i="1"/>
  <c r="GN25" i="1" s="1"/>
  <c r="GU24" i="1"/>
  <c r="DT36" i="1"/>
  <c r="BA24" i="1"/>
  <c r="GN24" i="1" s="1"/>
  <c r="BA36" i="1"/>
  <c r="GN36" i="1" s="1"/>
  <c r="GU50" i="1"/>
  <c r="BK50" i="1"/>
  <c r="BP50" i="1" s="1"/>
  <c r="BN52" i="1"/>
  <c r="BM50" i="1"/>
  <c r="BJ50" i="1"/>
  <c r="BJ52" i="1"/>
  <c r="BQ52" i="1" s="1"/>
  <c r="BK52" i="1"/>
  <c r="BJ51" i="1"/>
  <c r="BM51" i="1"/>
  <c r="BK51" i="1"/>
  <c r="DT52" i="1"/>
  <c r="BA51" i="1"/>
  <c r="GN51" i="1" s="1"/>
  <c r="BA52" i="1"/>
  <c r="GN52" i="1" s="1"/>
  <c r="DT50" i="1"/>
  <c r="BA46" i="1"/>
  <c r="GN46" i="1" s="1"/>
  <c r="BA50" i="1"/>
  <c r="GN50" i="1" s="1"/>
  <c r="AQ41" i="1"/>
  <c r="W16" i="1"/>
  <c r="W144" i="1"/>
  <c r="W148" i="1"/>
  <c r="AK143" i="1"/>
  <c r="AL142" i="1"/>
  <c r="AN142" i="1" s="1"/>
  <c r="JA142" i="1" s="1"/>
  <c r="AK148" i="1"/>
  <c r="AL148" i="1"/>
  <c r="AN148" i="1" s="1"/>
  <c r="JA148" i="1" s="1"/>
  <c r="W143" i="1"/>
  <c r="W147" i="1"/>
  <c r="W145" i="1"/>
  <c r="W140" i="1"/>
  <c r="W149" i="1"/>
  <c r="W142" i="1"/>
  <c r="W141" i="1"/>
  <c r="W139" i="1"/>
  <c r="W146" i="1"/>
  <c r="W150" i="1"/>
  <c r="HW10" i="1"/>
  <c r="GU9" i="1"/>
  <c r="FK44" i="1"/>
  <c r="HW9" i="1"/>
  <c r="HU9" i="1"/>
  <c r="HT9" i="1"/>
  <c r="ID9" i="1"/>
  <c r="GX46" i="1"/>
  <c r="BM46" i="1"/>
  <c r="BM20" i="1"/>
  <c r="BN46" i="1"/>
  <c r="BP46" i="1" s="1"/>
  <c r="BJ11" i="1"/>
  <c r="BN13" i="1"/>
  <c r="BM56" i="1"/>
  <c r="BJ30" i="1"/>
  <c r="BN10" i="1"/>
  <c r="BM31" i="1"/>
  <c r="BQ31" i="1" s="1"/>
  <c r="BJ46" i="1"/>
  <c r="BM39" i="1"/>
  <c r="BQ39" i="1" s="1"/>
  <c r="BN55" i="1"/>
  <c r="BM49" i="1"/>
  <c r="BQ49" i="1" s="1"/>
  <c r="BK56" i="1"/>
  <c r="BP56" i="1" s="1"/>
  <c r="BJ56" i="1"/>
  <c r="BN40" i="1"/>
  <c r="BJ40" i="1"/>
  <c r="BK40" i="1"/>
  <c r="BM40" i="1"/>
  <c r="BM37" i="1"/>
  <c r="BN37" i="1"/>
  <c r="BJ37" i="1"/>
  <c r="BN57" i="1"/>
  <c r="BN49" i="1"/>
  <c r="BN9" i="1"/>
  <c r="BJ55" i="1"/>
  <c r="BQ55" i="1" s="1"/>
  <c r="BM14" i="1"/>
  <c r="BM30" i="1"/>
  <c r="BJ14" i="1"/>
  <c r="BJ20" i="1"/>
  <c r="BN28" i="1"/>
  <c r="BM27" i="1"/>
  <c r="BJ27" i="1"/>
  <c r="BN27" i="1"/>
  <c r="BM38" i="1"/>
  <c r="BK49" i="1"/>
  <c r="BK22" i="1"/>
  <c r="BP22" i="1" s="1"/>
  <c r="BN32" i="1"/>
  <c r="BN30" i="1"/>
  <c r="BP30" i="1" s="1"/>
  <c r="BK57" i="1"/>
  <c r="BJ38" i="1"/>
  <c r="BK31" i="1"/>
  <c r="BN21" i="1"/>
  <c r="BP21" i="1" s="1"/>
  <c r="BM21" i="1"/>
  <c r="BJ21" i="1"/>
  <c r="BN31" i="1"/>
  <c r="BJ9" i="1"/>
  <c r="BQ9" i="1" s="1"/>
  <c r="BJ22" i="1"/>
  <c r="BK32" i="1"/>
  <c r="BM32" i="1"/>
  <c r="BQ32" i="1" s="1"/>
  <c r="BM48" i="1"/>
  <c r="BK55" i="1"/>
  <c r="BK23" i="1"/>
  <c r="BP23" i="1" s="1"/>
  <c r="BJ10" i="1"/>
  <c r="BQ10" i="1" s="1"/>
  <c r="BN38" i="1"/>
  <c r="BP38" i="1" s="1"/>
  <c r="BM22" i="1"/>
  <c r="BJ23" i="1"/>
  <c r="BM12" i="1"/>
  <c r="BN12" i="1"/>
  <c r="BK12" i="1"/>
  <c r="BJ12" i="1"/>
  <c r="BM13" i="1"/>
  <c r="BQ13" i="1" s="1"/>
  <c r="BN39" i="1"/>
  <c r="BM23" i="1"/>
  <c r="BK11" i="1"/>
  <c r="BP11" i="1" s="1"/>
  <c r="BK20" i="1"/>
  <c r="BP20" i="1" s="1"/>
  <c r="BK14" i="1"/>
  <c r="BK9" i="1"/>
  <c r="BN47" i="1"/>
  <c r="BK45" i="1"/>
  <c r="BJ45" i="1"/>
  <c r="BM45" i="1"/>
  <c r="BN45" i="1"/>
  <c r="BN29" i="1"/>
  <c r="BK29" i="1"/>
  <c r="BM29" i="1"/>
  <c r="BJ29" i="1"/>
  <c r="BM57" i="1"/>
  <c r="BQ57" i="1" s="1"/>
  <c r="BK39" i="1"/>
  <c r="BM47" i="1"/>
  <c r="BK28" i="1"/>
  <c r="BK47" i="1"/>
  <c r="BK13" i="1"/>
  <c r="BJ48" i="1"/>
  <c r="BM11" i="1"/>
  <c r="BN48" i="1"/>
  <c r="BP48" i="1" s="1"/>
  <c r="BK10" i="1"/>
  <c r="BM28" i="1"/>
  <c r="BQ28" i="1" s="1"/>
  <c r="BK37" i="1"/>
  <c r="BK27" i="1"/>
  <c r="GU10" i="1"/>
  <c r="GU39" i="1"/>
  <c r="GU30" i="1"/>
  <c r="GX47" i="1"/>
  <c r="DT32" i="1"/>
  <c r="GX11" i="1"/>
  <c r="GX44" i="1"/>
  <c r="DT9" i="1"/>
  <c r="DT31" i="1"/>
  <c r="GX9" i="1"/>
  <c r="DT30" i="1"/>
  <c r="DT56" i="1"/>
  <c r="GU57" i="1"/>
  <c r="GU14" i="1"/>
  <c r="DT10" i="1"/>
  <c r="GU23" i="1"/>
  <c r="DT38" i="1"/>
  <c r="DT44" i="1"/>
  <c r="DT49" i="1"/>
  <c r="DT13" i="1"/>
  <c r="DT22" i="1"/>
  <c r="DT47" i="1"/>
  <c r="DT48" i="1"/>
  <c r="DT20" i="1"/>
  <c r="GU38" i="1"/>
  <c r="DT55" i="1"/>
  <c r="DT11" i="1"/>
  <c r="DT57" i="1"/>
  <c r="DT14" i="1"/>
  <c r="GX55" i="1"/>
  <c r="GU31" i="1"/>
  <c r="GX49" i="1"/>
  <c r="GU20" i="1"/>
  <c r="GU28" i="1"/>
  <c r="DT23" i="1"/>
  <c r="GU13" i="1"/>
  <c r="GX22" i="1"/>
  <c r="GU48" i="1"/>
  <c r="GM2" i="1"/>
  <c r="GU32" i="1"/>
  <c r="GX32" i="1"/>
  <c r="BA13" i="1"/>
  <c r="GN13" i="1" s="1"/>
  <c r="BA56" i="1"/>
  <c r="GN56" i="1" s="1"/>
  <c r="BA55" i="1"/>
  <c r="GN55" i="1" s="1"/>
  <c r="BA28" i="1"/>
  <c r="GN28" i="1" s="1"/>
  <c r="DT46" i="1"/>
  <c r="BA27" i="1"/>
  <c r="GN27" i="1" s="1"/>
  <c r="BA12" i="1"/>
  <c r="GN12" i="1" s="1"/>
  <c r="BA40" i="1"/>
  <c r="GN40" i="1" s="1"/>
  <c r="BA45" i="1"/>
  <c r="GN45" i="1" s="1"/>
  <c r="BA29" i="1"/>
  <c r="GN29" i="1" s="1"/>
  <c r="BA37" i="1"/>
  <c r="GN37" i="1" s="1"/>
  <c r="BA21" i="1"/>
  <c r="GN21" i="1" s="1"/>
  <c r="BA22" i="1"/>
  <c r="GN22" i="1" s="1"/>
  <c r="BA57" i="1"/>
  <c r="GN57" i="1" s="1"/>
  <c r="BA38" i="1"/>
  <c r="GN38" i="1" s="1"/>
  <c r="BA11" i="1"/>
  <c r="GN11" i="1" s="1"/>
  <c r="BA49" i="1"/>
  <c r="GN49" i="1" s="1"/>
  <c r="BA47" i="1"/>
  <c r="GN47" i="1" s="1"/>
  <c r="BA14" i="1"/>
  <c r="GN14" i="1" s="1"/>
  <c r="BA39" i="1"/>
  <c r="GN39" i="1" s="1"/>
  <c r="BA48" i="1"/>
  <c r="GN48" i="1" s="1"/>
  <c r="BA9" i="1"/>
  <c r="BA30" i="1"/>
  <c r="GN30" i="1" s="1"/>
  <c r="GX38" i="1"/>
  <c r="BA10" i="1"/>
  <c r="GN10" i="1" s="1"/>
  <c r="BA32" i="1"/>
  <c r="GN32" i="1" s="1"/>
  <c r="DT39" i="1"/>
  <c r="DT28" i="1"/>
  <c r="BA44" i="1"/>
  <c r="GN44" i="1" s="1"/>
  <c r="BA31" i="1"/>
  <c r="GN31" i="1" s="1"/>
  <c r="BA23" i="1"/>
  <c r="GN23" i="1" s="1"/>
  <c r="BA20" i="1"/>
  <c r="GN20" i="1" s="1"/>
  <c r="K56" i="7"/>
  <c r="B56" i="7"/>
  <c r="D56" i="7"/>
  <c r="E56" i="7"/>
  <c r="F56" i="7"/>
  <c r="AA56" i="7" s="1"/>
  <c r="C56" i="7"/>
  <c r="O56" i="7" s="1"/>
  <c r="G56" i="7"/>
  <c r="AB56" i="7" s="1"/>
  <c r="H56" i="7"/>
  <c r="K58" i="7"/>
  <c r="B58" i="7"/>
  <c r="D58" i="7"/>
  <c r="E58" i="7"/>
  <c r="F58" i="7"/>
  <c r="AA58" i="7" s="1"/>
  <c r="C58" i="7"/>
  <c r="O58" i="7" s="1"/>
  <c r="G58" i="7"/>
  <c r="AB58" i="7" s="1"/>
  <c r="H58" i="7"/>
  <c r="K33" i="7"/>
  <c r="B33" i="7"/>
  <c r="N33" i="7" s="1"/>
  <c r="D33" i="7"/>
  <c r="P33" i="7" s="1"/>
  <c r="S33" i="7" s="1"/>
  <c r="E33" i="7"/>
  <c r="Z33" i="7" s="1"/>
  <c r="F33" i="7"/>
  <c r="C33" i="7"/>
  <c r="O33" i="7" s="1"/>
  <c r="G33" i="7"/>
  <c r="AB33" i="7" s="1"/>
  <c r="H33" i="7"/>
  <c r="K19" i="7"/>
  <c r="B19" i="7"/>
  <c r="N19" i="7" s="1"/>
  <c r="C19" i="7"/>
  <c r="O19" i="7" s="1"/>
  <c r="D19" i="7"/>
  <c r="P19" i="7" s="1"/>
  <c r="S19" i="7" s="1"/>
  <c r="E19" i="7"/>
  <c r="Z19" i="7" s="1"/>
  <c r="F19" i="7"/>
  <c r="AA19" i="7" s="1"/>
  <c r="G19" i="7"/>
  <c r="AB19" i="7" s="1"/>
  <c r="H19" i="7"/>
  <c r="K16" i="7"/>
  <c r="B16" i="7"/>
  <c r="N16" i="7" s="1"/>
  <c r="C16" i="7"/>
  <c r="O16" i="7" s="1"/>
  <c r="D16" i="7"/>
  <c r="P16" i="7" s="1"/>
  <c r="S16" i="7" s="1"/>
  <c r="E16" i="7"/>
  <c r="Z16" i="7" s="1"/>
  <c r="F16" i="7"/>
  <c r="AA16" i="7" s="1"/>
  <c r="G16" i="7"/>
  <c r="AB16" i="7" s="1"/>
  <c r="H16" i="7"/>
  <c r="K14" i="7"/>
  <c r="B14" i="7"/>
  <c r="N14" i="7" s="1"/>
  <c r="C14" i="7"/>
  <c r="O14" i="7" s="1"/>
  <c r="D14" i="7"/>
  <c r="P14" i="7" s="1"/>
  <c r="S14" i="7" s="1"/>
  <c r="E14" i="7"/>
  <c r="Z14" i="7" s="1"/>
  <c r="F14" i="7"/>
  <c r="AA14" i="7" s="1"/>
  <c r="G14" i="7"/>
  <c r="AB14" i="7" s="1"/>
  <c r="H14" i="7"/>
  <c r="K20" i="7"/>
  <c r="B20" i="7"/>
  <c r="N20" i="7" s="1"/>
  <c r="C20" i="7"/>
  <c r="O20" i="7" s="1"/>
  <c r="D20" i="7"/>
  <c r="E20" i="7"/>
  <c r="Z20" i="7" s="1"/>
  <c r="F20" i="7"/>
  <c r="AA20" i="7" s="1"/>
  <c r="G20" i="7"/>
  <c r="AB20" i="7" s="1"/>
  <c r="H20" i="7"/>
  <c r="B107" i="7"/>
  <c r="C107" i="7"/>
  <c r="D107" i="7"/>
  <c r="E107" i="7"/>
  <c r="F107" i="7"/>
  <c r="G107" i="7"/>
  <c r="H107" i="7"/>
  <c r="K107" i="7"/>
  <c r="B95" i="7"/>
  <c r="C95" i="7"/>
  <c r="D95" i="7"/>
  <c r="E95" i="7"/>
  <c r="F95" i="7"/>
  <c r="G95" i="7"/>
  <c r="H95" i="7"/>
  <c r="K95" i="7"/>
  <c r="B119" i="7"/>
  <c r="C119" i="7"/>
  <c r="D119" i="7"/>
  <c r="E119" i="7"/>
  <c r="F119" i="7"/>
  <c r="G119" i="7"/>
  <c r="H119" i="7"/>
  <c r="K119" i="7"/>
  <c r="B110" i="7"/>
  <c r="C110" i="7"/>
  <c r="D110" i="7"/>
  <c r="E110" i="7"/>
  <c r="F110" i="7"/>
  <c r="G110" i="7"/>
  <c r="H110" i="7"/>
  <c r="K110" i="7"/>
  <c r="B106" i="7"/>
  <c r="C106" i="7"/>
  <c r="D106" i="7"/>
  <c r="E106" i="7"/>
  <c r="F106" i="7"/>
  <c r="G106" i="7"/>
  <c r="H106" i="7"/>
  <c r="K106" i="7"/>
  <c r="B96" i="7"/>
  <c r="C96" i="7"/>
  <c r="D96" i="7"/>
  <c r="E96" i="7"/>
  <c r="F96" i="7"/>
  <c r="G96" i="7"/>
  <c r="H96" i="7"/>
  <c r="K96" i="7"/>
  <c r="B142" i="7"/>
  <c r="C142" i="7"/>
  <c r="D142" i="7"/>
  <c r="E142" i="7"/>
  <c r="F142" i="7"/>
  <c r="G142" i="7"/>
  <c r="H142" i="7"/>
  <c r="K142" i="7"/>
  <c r="B136" i="7"/>
  <c r="C136" i="7"/>
  <c r="D136" i="7"/>
  <c r="E136" i="7"/>
  <c r="F136" i="7"/>
  <c r="G136" i="7"/>
  <c r="H136" i="7"/>
  <c r="K136" i="7"/>
  <c r="B130" i="7"/>
  <c r="C130" i="7"/>
  <c r="D130" i="7"/>
  <c r="E130" i="7"/>
  <c r="F130" i="7"/>
  <c r="G130" i="7"/>
  <c r="H130" i="7"/>
  <c r="K130" i="7"/>
  <c r="K57" i="7"/>
  <c r="B57" i="7"/>
  <c r="D57" i="7"/>
  <c r="E57" i="7"/>
  <c r="F57" i="7"/>
  <c r="AA57" i="7" s="1"/>
  <c r="C57" i="7"/>
  <c r="O57" i="7" s="1"/>
  <c r="G57" i="7"/>
  <c r="H57" i="7"/>
  <c r="K76" i="7"/>
  <c r="B76" i="7"/>
  <c r="D76" i="7"/>
  <c r="E76" i="7"/>
  <c r="F76" i="7"/>
  <c r="C76" i="7"/>
  <c r="G76" i="7"/>
  <c r="H76" i="7"/>
  <c r="K50" i="7"/>
  <c r="B50" i="7"/>
  <c r="N50" i="7" s="1"/>
  <c r="D50" i="7"/>
  <c r="E50" i="7"/>
  <c r="F50" i="7"/>
  <c r="AA50" i="7" s="1"/>
  <c r="C50" i="7"/>
  <c r="O50" i="7" s="1"/>
  <c r="G50" i="7"/>
  <c r="AB50" i="7" s="1"/>
  <c r="H50" i="7"/>
  <c r="K63" i="7"/>
  <c r="B63" i="7"/>
  <c r="D63" i="7"/>
  <c r="E63" i="7"/>
  <c r="F63" i="7"/>
  <c r="C63" i="7"/>
  <c r="G63" i="7"/>
  <c r="H63" i="7"/>
  <c r="K23" i="7"/>
  <c r="B23" i="7"/>
  <c r="N23" i="7" s="1"/>
  <c r="C23" i="7"/>
  <c r="O23" i="7" s="1"/>
  <c r="D23" i="7"/>
  <c r="P23" i="7" s="1"/>
  <c r="S23" i="7" s="1"/>
  <c r="E23" i="7"/>
  <c r="Z23" i="7" s="1"/>
  <c r="F23" i="7"/>
  <c r="AA23" i="7" s="1"/>
  <c r="G23" i="7"/>
  <c r="AB23" i="7" s="1"/>
  <c r="H23" i="7"/>
  <c r="K46" i="7"/>
  <c r="B46" i="7"/>
  <c r="N46" i="7" s="1"/>
  <c r="D46" i="7"/>
  <c r="P46" i="7" s="1"/>
  <c r="S46" i="7" s="1"/>
  <c r="E46" i="7"/>
  <c r="F46" i="7"/>
  <c r="AA46" i="7" s="1"/>
  <c r="G46" i="7"/>
  <c r="AB46" i="7" s="1"/>
  <c r="H46" i="7"/>
  <c r="C46" i="7"/>
  <c r="O46" i="7" s="1"/>
  <c r="K44" i="7"/>
  <c r="B44" i="7"/>
  <c r="D44" i="7"/>
  <c r="E44" i="7"/>
  <c r="F44" i="7"/>
  <c r="AA44" i="7" s="1"/>
  <c r="C44" i="7"/>
  <c r="O44" i="7" s="1"/>
  <c r="G44" i="7"/>
  <c r="AB44" i="7" s="1"/>
  <c r="H44" i="7"/>
  <c r="K42" i="7"/>
  <c r="B42" i="7"/>
  <c r="N42" i="7" s="1"/>
  <c r="D42" i="7"/>
  <c r="E42" i="7"/>
  <c r="F42" i="7"/>
  <c r="AA42" i="7" s="1"/>
  <c r="C42" i="7"/>
  <c r="O42" i="7" s="1"/>
  <c r="G42" i="7"/>
  <c r="H42" i="7"/>
  <c r="K11" i="7"/>
  <c r="B11" i="7"/>
  <c r="N11" i="7" s="1"/>
  <c r="C11" i="7"/>
  <c r="O11" i="7" s="1"/>
  <c r="D11" i="7"/>
  <c r="P11" i="7" s="1"/>
  <c r="S11" i="7" s="1"/>
  <c r="E11" i="7"/>
  <c r="Z11" i="7" s="1"/>
  <c r="F11" i="7"/>
  <c r="AA11" i="7" s="1"/>
  <c r="G11" i="7"/>
  <c r="AB11" i="7" s="1"/>
  <c r="H11" i="7"/>
  <c r="B101" i="7"/>
  <c r="C101" i="7"/>
  <c r="D101" i="7"/>
  <c r="E101" i="7"/>
  <c r="F101" i="7"/>
  <c r="G101" i="7"/>
  <c r="H101" i="7"/>
  <c r="K101" i="7"/>
  <c r="K78" i="7"/>
  <c r="B78" i="7"/>
  <c r="D78" i="7"/>
  <c r="E78" i="7"/>
  <c r="F78" i="7"/>
  <c r="G78" i="7"/>
  <c r="H78" i="7"/>
  <c r="C78" i="7"/>
  <c r="K87" i="7"/>
  <c r="B87" i="7"/>
  <c r="D87" i="7"/>
  <c r="E87" i="7"/>
  <c r="F87" i="7"/>
  <c r="C87" i="7"/>
  <c r="G87" i="7"/>
  <c r="H87" i="7"/>
  <c r="K83" i="7"/>
  <c r="B83" i="7"/>
  <c r="D83" i="7"/>
  <c r="E83" i="7"/>
  <c r="F83" i="7"/>
  <c r="H83" i="7"/>
  <c r="C83" i="7"/>
  <c r="G83" i="7"/>
  <c r="B104" i="7"/>
  <c r="C104" i="7"/>
  <c r="D104" i="7"/>
  <c r="E104" i="7"/>
  <c r="F104" i="7"/>
  <c r="G104" i="7"/>
  <c r="H104" i="7"/>
  <c r="K104" i="7"/>
  <c r="B132" i="7"/>
  <c r="C132" i="7"/>
  <c r="D132" i="7"/>
  <c r="E132" i="7"/>
  <c r="F132" i="7"/>
  <c r="G132" i="7"/>
  <c r="H132" i="7"/>
  <c r="K132" i="7"/>
  <c r="B150" i="7"/>
  <c r="C150" i="7"/>
  <c r="E150" i="7"/>
  <c r="F150" i="7"/>
  <c r="D150" i="7"/>
  <c r="G150" i="7"/>
  <c r="H150" i="7"/>
  <c r="K150" i="7"/>
  <c r="B144" i="7"/>
  <c r="C144" i="7"/>
  <c r="D144" i="7"/>
  <c r="E144" i="7"/>
  <c r="F144" i="7"/>
  <c r="G144" i="7"/>
  <c r="H144" i="7"/>
  <c r="K144" i="7"/>
  <c r="B138" i="7"/>
  <c r="C138" i="7"/>
  <c r="D138" i="7"/>
  <c r="E138" i="7"/>
  <c r="F138" i="7"/>
  <c r="G138" i="7"/>
  <c r="H138" i="7"/>
  <c r="K138" i="7"/>
  <c r="K70" i="7"/>
  <c r="B70" i="7"/>
  <c r="D70" i="7"/>
  <c r="E70" i="7"/>
  <c r="F70" i="7"/>
  <c r="G70" i="7"/>
  <c r="H70" i="7"/>
  <c r="C70" i="7"/>
  <c r="K67" i="7"/>
  <c r="B67" i="7"/>
  <c r="D67" i="7"/>
  <c r="E67" i="7"/>
  <c r="F67" i="7"/>
  <c r="H67" i="7"/>
  <c r="C67" i="7"/>
  <c r="G67" i="7"/>
  <c r="K49" i="7"/>
  <c r="B49" i="7"/>
  <c r="N49" i="7" s="1"/>
  <c r="D49" i="7"/>
  <c r="P49" i="7" s="1"/>
  <c r="S49" i="7" s="1"/>
  <c r="E49" i="7"/>
  <c r="F49" i="7"/>
  <c r="AA49" i="7" s="1"/>
  <c r="C49" i="7"/>
  <c r="O49" i="7" s="1"/>
  <c r="G49" i="7"/>
  <c r="AB49" i="7" s="1"/>
  <c r="H49" i="7"/>
  <c r="K51" i="7"/>
  <c r="B51" i="7"/>
  <c r="N51" i="7" s="1"/>
  <c r="D51" i="7"/>
  <c r="P51" i="7" s="1"/>
  <c r="S51" i="7" s="1"/>
  <c r="E51" i="7"/>
  <c r="F51" i="7"/>
  <c r="AA51" i="7" s="1"/>
  <c r="H51" i="7"/>
  <c r="C51" i="7"/>
  <c r="O51" i="7" s="1"/>
  <c r="G51" i="7"/>
  <c r="AB51" i="7" s="1"/>
  <c r="K59" i="7"/>
  <c r="B59" i="7"/>
  <c r="N59" i="7" s="1"/>
  <c r="D59" i="7"/>
  <c r="P59" i="7" s="1"/>
  <c r="S59" i="7" s="1"/>
  <c r="E59" i="7"/>
  <c r="F59" i="7"/>
  <c r="AA59" i="7" s="1"/>
  <c r="H59" i="7"/>
  <c r="C59" i="7"/>
  <c r="O59" i="7" s="1"/>
  <c r="G59" i="7"/>
  <c r="AB59" i="7" s="1"/>
  <c r="K40" i="7"/>
  <c r="B40" i="7"/>
  <c r="N40" i="7" s="1"/>
  <c r="D40" i="7"/>
  <c r="P40" i="7" s="1"/>
  <c r="S40" i="7" s="1"/>
  <c r="E40" i="7"/>
  <c r="F40" i="7"/>
  <c r="AA40" i="7" s="1"/>
  <c r="C40" i="7"/>
  <c r="O40" i="7" s="1"/>
  <c r="G40" i="7"/>
  <c r="AB40" i="7" s="1"/>
  <c r="H40" i="7"/>
  <c r="K38" i="7"/>
  <c r="B38" i="7"/>
  <c r="N38" i="7" s="1"/>
  <c r="D38" i="7"/>
  <c r="P38" i="7" s="1"/>
  <c r="S38" i="7" s="1"/>
  <c r="E38" i="7"/>
  <c r="Z38" i="7" s="1"/>
  <c r="F38" i="7"/>
  <c r="AA38" i="7" s="1"/>
  <c r="G38" i="7"/>
  <c r="AB38" i="7" s="1"/>
  <c r="H38" i="7"/>
  <c r="C38" i="7"/>
  <c r="O38" i="7" s="1"/>
  <c r="K36" i="7"/>
  <c r="B36" i="7"/>
  <c r="N36" i="7" s="1"/>
  <c r="D36" i="7"/>
  <c r="P36" i="7" s="1"/>
  <c r="S36" i="7" s="1"/>
  <c r="E36" i="7"/>
  <c r="Z36" i="7" s="1"/>
  <c r="F36" i="7"/>
  <c r="AA36" i="7" s="1"/>
  <c r="C36" i="7"/>
  <c r="O36" i="7" s="1"/>
  <c r="G36" i="7"/>
  <c r="AB36" i="7" s="1"/>
  <c r="H36" i="7"/>
  <c r="K34" i="7"/>
  <c r="B34" i="7"/>
  <c r="N34" i="7" s="1"/>
  <c r="D34" i="7"/>
  <c r="P34" i="7" s="1"/>
  <c r="S34" i="7" s="1"/>
  <c r="E34" i="7"/>
  <c r="Z34" i="7" s="1"/>
  <c r="F34" i="7"/>
  <c r="AA34" i="7" s="1"/>
  <c r="C34" i="7"/>
  <c r="O34" i="7" s="1"/>
  <c r="G34" i="7"/>
  <c r="AB34" i="7" s="1"/>
  <c r="H34" i="7"/>
  <c r="K25" i="7"/>
  <c r="B25" i="7"/>
  <c r="N25" i="7" s="1"/>
  <c r="C25" i="7"/>
  <c r="O25" i="7" s="1"/>
  <c r="D25" i="7"/>
  <c r="P25" i="7" s="1"/>
  <c r="S25" i="7" s="1"/>
  <c r="E25" i="7"/>
  <c r="Z25" i="7" s="1"/>
  <c r="F25" i="7"/>
  <c r="AA25" i="7" s="1"/>
  <c r="G25" i="7"/>
  <c r="AB25" i="7" s="1"/>
  <c r="H25" i="7"/>
  <c r="B120" i="7"/>
  <c r="C120" i="7"/>
  <c r="D120" i="7"/>
  <c r="E120" i="7"/>
  <c r="F120" i="7"/>
  <c r="G120" i="7"/>
  <c r="H120" i="7"/>
  <c r="K120" i="7"/>
  <c r="B97" i="7"/>
  <c r="C97" i="7"/>
  <c r="D97" i="7"/>
  <c r="E97" i="7"/>
  <c r="F97" i="7"/>
  <c r="G97" i="7"/>
  <c r="H97" i="7"/>
  <c r="K97" i="7"/>
  <c r="B93" i="7"/>
  <c r="D93" i="7"/>
  <c r="E93" i="7"/>
  <c r="F93" i="7"/>
  <c r="C93" i="7"/>
  <c r="G93" i="7"/>
  <c r="H93" i="7"/>
  <c r="K93" i="7"/>
  <c r="K86" i="7"/>
  <c r="B86" i="7"/>
  <c r="D86" i="7"/>
  <c r="E86" i="7"/>
  <c r="F86" i="7"/>
  <c r="G86" i="7"/>
  <c r="H86" i="7"/>
  <c r="C86" i="7"/>
  <c r="B113" i="7"/>
  <c r="C113" i="7"/>
  <c r="D113" i="7"/>
  <c r="E113" i="7"/>
  <c r="F113" i="7"/>
  <c r="G113" i="7"/>
  <c r="H113" i="7"/>
  <c r="K113" i="7"/>
  <c r="B125" i="7"/>
  <c r="C125" i="7"/>
  <c r="D125" i="7"/>
  <c r="E125" i="7"/>
  <c r="F125" i="7"/>
  <c r="G125" i="7"/>
  <c r="H125" i="7"/>
  <c r="K125" i="7"/>
  <c r="B140" i="7"/>
  <c r="C140" i="7"/>
  <c r="D140" i="7"/>
  <c r="E140" i="7"/>
  <c r="F140" i="7"/>
  <c r="G140" i="7"/>
  <c r="H140" i="7"/>
  <c r="K140" i="7"/>
  <c r="B148" i="7"/>
  <c r="C148" i="7"/>
  <c r="D148" i="7"/>
  <c r="E148" i="7"/>
  <c r="F148" i="7"/>
  <c r="G148" i="7"/>
  <c r="H148" i="7"/>
  <c r="K148" i="7"/>
  <c r="B146" i="7"/>
  <c r="C146" i="7"/>
  <c r="D146" i="7"/>
  <c r="E146" i="7"/>
  <c r="F146" i="7"/>
  <c r="G146" i="7"/>
  <c r="H146" i="7"/>
  <c r="K146" i="7"/>
  <c r="K72" i="7"/>
  <c r="B72" i="7"/>
  <c r="D72" i="7"/>
  <c r="E72" i="7"/>
  <c r="F72" i="7"/>
  <c r="C72" i="7"/>
  <c r="G72" i="7"/>
  <c r="H72" i="7"/>
  <c r="B9" i="7"/>
  <c r="N9" i="7" s="1"/>
  <c r="K9" i="7"/>
  <c r="C9" i="7"/>
  <c r="O9" i="7" s="1"/>
  <c r="D9" i="7"/>
  <c r="P9" i="7" s="1"/>
  <c r="S9" i="7" s="1"/>
  <c r="E9" i="7"/>
  <c r="Z9" i="7" s="1"/>
  <c r="F9" i="7"/>
  <c r="AA9" i="7" s="1"/>
  <c r="G9" i="7"/>
  <c r="AB9" i="7" s="1"/>
  <c r="H9" i="7"/>
  <c r="K66" i="7"/>
  <c r="B66" i="7"/>
  <c r="D66" i="7"/>
  <c r="E66" i="7"/>
  <c r="F66" i="7"/>
  <c r="C66" i="7"/>
  <c r="G66" i="7"/>
  <c r="H66" i="7"/>
  <c r="K64" i="7"/>
  <c r="B64" i="7"/>
  <c r="D64" i="7"/>
  <c r="E64" i="7"/>
  <c r="F64" i="7"/>
  <c r="C64" i="7"/>
  <c r="G64" i="7"/>
  <c r="H64" i="7"/>
  <c r="K32" i="7"/>
  <c r="B32" i="7"/>
  <c r="N32" i="7" s="1"/>
  <c r="C32" i="7"/>
  <c r="O32" i="7" s="1"/>
  <c r="D32" i="7"/>
  <c r="P32" i="7" s="1"/>
  <c r="S32" i="7" s="1"/>
  <c r="E32" i="7"/>
  <c r="Z32" i="7" s="1"/>
  <c r="F32" i="7"/>
  <c r="AA32" i="7" s="1"/>
  <c r="G32" i="7"/>
  <c r="AB32" i="7" s="1"/>
  <c r="H32" i="7"/>
  <c r="K30" i="7"/>
  <c r="B30" i="7"/>
  <c r="N30" i="7" s="1"/>
  <c r="C30" i="7"/>
  <c r="O30" i="7" s="1"/>
  <c r="D30" i="7"/>
  <c r="P30" i="7" s="1"/>
  <c r="S30" i="7" s="1"/>
  <c r="E30" i="7"/>
  <c r="Z30" i="7" s="1"/>
  <c r="F30" i="7"/>
  <c r="AA30" i="7" s="1"/>
  <c r="G30" i="7"/>
  <c r="AB30" i="7" s="1"/>
  <c r="H30" i="7"/>
  <c r="K27" i="7"/>
  <c r="B27" i="7"/>
  <c r="N27" i="7" s="1"/>
  <c r="C27" i="7"/>
  <c r="O27" i="7" s="1"/>
  <c r="D27" i="7"/>
  <c r="P27" i="7" s="1"/>
  <c r="S27" i="7" s="1"/>
  <c r="E27" i="7"/>
  <c r="Z27" i="7" s="1"/>
  <c r="F27" i="7"/>
  <c r="AA27" i="7" s="1"/>
  <c r="G27" i="7"/>
  <c r="AB27" i="7" s="1"/>
  <c r="H27" i="7"/>
  <c r="K24" i="7"/>
  <c r="B24" i="7"/>
  <c r="N24" i="7" s="1"/>
  <c r="C24" i="7"/>
  <c r="O24" i="7" s="1"/>
  <c r="D24" i="7"/>
  <c r="P24" i="7" s="1"/>
  <c r="S24" i="7" s="1"/>
  <c r="E24" i="7"/>
  <c r="Z24" i="7" s="1"/>
  <c r="F24" i="7"/>
  <c r="AA24" i="7" s="1"/>
  <c r="G24" i="7"/>
  <c r="AB24" i="7" s="1"/>
  <c r="H24" i="7"/>
  <c r="K17" i="7"/>
  <c r="B17" i="7"/>
  <c r="N17" i="7" s="1"/>
  <c r="C17" i="7"/>
  <c r="O17" i="7" s="1"/>
  <c r="D17" i="7"/>
  <c r="P17" i="7" s="1"/>
  <c r="S17" i="7" s="1"/>
  <c r="E17" i="7"/>
  <c r="Z17" i="7" s="1"/>
  <c r="F17" i="7"/>
  <c r="AA17" i="7" s="1"/>
  <c r="G17" i="7"/>
  <c r="AB17" i="7" s="1"/>
  <c r="H17" i="7"/>
  <c r="K90" i="7"/>
  <c r="B90" i="7"/>
  <c r="D90" i="7"/>
  <c r="E90" i="7"/>
  <c r="F90" i="7"/>
  <c r="C90" i="7"/>
  <c r="G90" i="7"/>
  <c r="H90" i="7"/>
  <c r="B109" i="7"/>
  <c r="C109" i="7"/>
  <c r="D109" i="7"/>
  <c r="E109" i="7"/>
  <c r="F109" i="7"/>
  <c r="G109" i="7"/>
  <c r="H109" i="7"/>
  <c r="K109" i="7"/>
  <c r="B100" i="7"/>
  <c r="C100" i="7"/>
  <c r="D100" i="7"/>
  <c r="E100" i="7"/>
  <c r="F100" i="7"/>
  <c r="G100" i="7"/>
  <c r="H100" i="7"/>
  <c r="K100" i="7"/>
  <c r="K77" i="7"/>
  <c r="B77" i="7"/>
  <c r="D77" i="7"/>
  <c r="E77" i="7"/>
  <c r="F77" i="7"/>
  <c r="C77" i="7"/>
  <c r="G77" i="7"/>
  <c r="H77" i="7"/>
  <c r="K89" i="7"/>
  <c r="B89" i="7"/>
  <c r="D89" i="7"/>
  <c r="E89" i="7"/>
  <c r="F89" i="7"/>
  <c r="C89" i="7"/>
  <c r="G89" i="7"/>
  <c r="H89" i="7"/>
  <c r="B133" i="7"/>
  <c r="C133" i="7"/>
  <c r="D133" i="7"/>
  <c r="E133" i="7"/>
  <c r="F133" i="7"/>
  <c r="G133" i="7"/>
  <c r="H133" i="7"/>
  <c r="K133" i="7"/>
  <c r="B127" i="7"/>
  <c r="C127" i="7"/>
  <c r="D127" i="7"/>
  <c r="E127" i="7"/>
  <c r="F127" i="7"/>
  <c r="G127" i="7"/>
  <c r="H127" i="7"/>
  <c r="K127" i="7"/>
  <c r="B121" i="7"/>
  <c r="C121" i="7"/>
  <c r="D121" i="7"/>
  <c r="E121" i="7"/>
  <c r="F121" i="7"/>
  <c r="G121" i="7"/>
  <c r="H121" i="7"/>
  <c r="K121" i="7"/>
  <c r="B123" i="7"/>
  <c r="C123" i="7"/>
  <c r="D123" i="7"/>
  <c r="E123" i="7"/>
  <c r="F123" i="7"/>
  <c r="G123" i="7"/>
  <c r="H123" i="7"/>
  <c r="K123" i="7"/>
  <c r="K52" i="7"/>
  <c r="B52" i="7"/>
  <c r="N52" i="7" s="1"/>
  <c r="D52" i="7"/>
  <c r="P52" i="7" s="1"/>
  <c r="S52" i="7" s="1"/>
  <c r="E52" i="7"/>
  <c r="Z52" i="7" s="1"/>
  <c r="F52" i="7"/>
  <c r="AA52" i="7" s="1"/>
  <c r="C52" i="7"/>
  <c r="O52" i="7" s="1"/>
  <c r="G52" i="7"/>
  <c r="AB52" i="7" s="1"/>
  <c r="H52" i="7"/>
  <c r="K74" i="7"/>
  <c r="B74" i="7"/>
  <c r="D74" i="7"/>
  <c r="E74" i="7"/>
  <c r="F74" i="7"/>
  <c r="C74" i="7"/>
  <c r="G74" i="7"/>
  <c r="H74" i="7"/>
  <c r="K61" i="7"/>
  <c r="B61" i="7"/>
  <c r="D61" i="7"/>
  <c r="E61" i="7"/>
  <c r="F61" i="7"/>
  <c r="C61" i="7"/>
  <c r="G61" i="7"/>
  <c r="H61" i="7"/>
  <c r="K22" i="7"/>
  <c r="B22" i="7"/>
  <c r="N22" i="7" s="1"/>
  <c r="C22" i="7"/>
  <c r="O22" i="7" s="1"/>
  <c r="D22" i="7"/>
  <c r="P22" i="7" s="1"/>
  <c r="S22" i="7" s="1"/>
  <c r="E22" i="7"/>
  <c r="Z22" i="7" s="1"/>
  <c r="F22" i="7"/>
  <c r="AA22" i="7" s="1"/>
  <c r="G22" i="7"/>
  <c r="AB22" i="7" s="1"/>
  <c r="H22" i="7"/>
  <c r="K18" i="7"/>
  <c r="B18" i="7"/>
  <c r="N18" i="7" s="1"/>
  <c r="C18" i="7"/>
  <c r="O18" i="7" s="1"/>
  <c r="D18" i="7"/>
  <c r="P18" i="7" s="1"/>
  <c r="S18" i="7" s="1"/>
  <c r="E18" i="7"/>
  <c r="Z18" i="7" s="1"/>
  <c r="F18" i="7"/>
  <c r="AA18" i="7" s="1"/>
  <c r="G18" i="7"/>
  <c r="AB18" i="7" s="1"/>
  <c r="H18" i="7"/>
  <c r="K15" i="7"/>
  <c r="B15" i="7"/>
  <c r="N15" i="7" s="1"/>
  <c r="C15" i="7"/>
  <c r="O15" i="7" s="1"/>
  <c r="D15" i="7"/>
  <c r="P15" i="7" s="1"/>
  <c r="S15" i="7" s="1"/>
  <c r="E15" i="7"/>
  <c r="Z15" i="7" s="1"/>
  <c r="F15" i="7"/>
  <c r="AA15" i="7" s="1"/>
  <c r="G15" i="7"/>
  <c r="AB15" i="7" s="1"/>
  <c r="H15" i="7"/>
  <c r="K10" i="7"/>
  <c r="B10" i="7"/>
  <c r="N10" i="7" s="1"/>
  <c r="C10" i="7"/>
  <c r="O10" i="7" s="1"/>
  <c r="D10" i="7"/>
  <c r="P10" i="7" s="1"/>
  <c r="S10" i="7" s="1"/>
  <c r="E10" i="7"/>
  <c r="Z10" i="7" s="1"/>
  <c r="F10" i="7"/>
  <c r="AA10" i="7" s="1"/>
  <c r="G10" i="7"/>
  <c r="AB10" i="7" s="1"/>
  <c r="H10" i="7"/>
  <c r="K12" i="7"/>
  <c r="B12" i="7"/>
  <c r="N12" i="7" s="1"/>
  <c r="C12" i="7"/>
  <c r="O12" i="7" s="1"/>
  <c r="D12" i="7"/>
  <c r="P12" i="7" s="1"/>
  <c r="S12" i="7" s="1"/>
  <c r="E12" i="7"/>
  <c r="Z12" i="7" s="1"/>
  <c r="F12" i="7"/>
  <c r="AA12" i="7" s="1"/>
  <c r="G12" i="7"/>
  <c r="AB12" i="7" s="1"/>
  <c r="H12" i="7"/>
  <c r="B105" i="7"/>
  <c r="C105" i="7"/>
  <c r="D105" i="7"/>
  <c r="E105" i="7"/>
  <c r="F105" i="7"/>
  <c r="G105" i="7"/>
  <c r="H105" i="7"/>
  <c r="K105" i="7"/>
  <c r="K84" i="7"/>
  <c r="B84" i="7"/>
  <c r="D84" i="7"/>
  <c r="E84" i="7"/>
  <c r="F84" i="7"/>
  <c r="C84" i="7"/>
  <c r="G84" i="7"/>
  <c r="H84" i="7"/>
  <c r="B114" i="7"/>
  <c r="C114" i="7"/>
  <c r="D114" i="7"/>
  <c r="E114" i="7"/>
  <c r="F114" i="7"/>
  <c r="G114" i="7"/>
  <c r="H114" i="7"/>
  <c r="K114" i="7"/>
  <c r="K81" i="7"/>
  <c r="B81" i="7"/>
  <c r="D81" i="7"/>
  <c r="E81" i="7"/>
  <c r="F81" i="7"/>
  <c r="C81" i="7"/>
  <c r="G81" i="7"/>
  <c r="H81" i="7"/>
  <c r="B111" i="7"/>
  <c r="C111" i="7"/>
  <c r="D111" i="7"/>
  <c r="E111" i="7"/>
  <c r="F111" i="7"/>
  <c r="G111" i="7"/>
  <c r="H111" i="7"/>
  <c r="K111" i="7"/>
  <c r="B141" i="7"/>
  <c r="C141" i="7"/>
  <c r="D141" i="7"/>
  <c r="E141" i="7"/>
  <c r="F141" i="7"/>
  <c r="G141" i="7"/>
  <c r="H141" i="7"/>
  <c r="K141" i="7"/>
  <c r="B135" i="7"/>
  <c r="C135" i="7"/>
  <c r="D135" i="7"/>
  <c r="E135" i="7"/>
  <c r="F135" i="7"/>
  <c r="G135" i="7"/>
  <c r="H135" i="7"/>
  <c r="K135" i="7"/>
  <c r="B129" i="7"/>
  <c r="C129" i="7"/>
  <c r="D129" i="7"/>
  <c r="E129" i="7"/>
  <c r="F129" i="7"/>
  <c r="G129" i="7"/>
  <c r="H129" i="7"/>
  <c r="K129" i="7"/>
  <c r="B131" i="7"/>
  <c r="C131" i="7"/>
  <c r="D131" i="7"/>
  <c r="E131" i="7"/>
  <c r="F131" i="7"/>
  <c r="G131" i="7"/>
  <c r="H131" i="7"/>
  <c r="K131" i="7"/>
  <c r="K69" i="7"/>
  <c r="B69" i="7"/>
  <c r="D69" i="7"/>
  <c r="E69" i="7"/>
  <c r="F69" i="7"/>
  <c r="C69" i="7"/>
  <c r="G69" i="7"/>
  <c r="H69" i="7"/>
  <c r="K55" i="7"/>
  <c r="B55" i="7"/>
  <c r="N55" i="7" s="1"/>
  <c r="D55" i="7"/>
  <c r="P55" i="7" s="1"/>
  <c r="S55" i="7" s="1"/>
  <c r="E55" i="7"/>
  <c r="Z55" i="7" s="1"/>
  <c r="F55" i="7"/>
  <c r="AA55" i="7" s="1"/>
  <c r="C55" i="7"/>
  <c r="O55" i="7" s="1"/>
  <c r="G55" i="7"/>
  <c r="AB55" i="7" s="1"/>
  <c r="H55" i="7"/>
  <c r="K60" i="7"/>
  <c r="B60" i="7"/>
  <c r="N60" i="7" s="1"/>
  <c r="D60" i="7"/>
  <c r="P60" i="7" s="1"/>
  <c r="S60" i="7" s="1"/>
  <c r="E60" i="7"/>
  <c r="Z60" i="7" s="1"/>
  <c r="F60" i="7"/>
  <c r="AA60" i="7" s="1"/>
  <c r="C60" i="7"/>
  <c r="O60" i="7" s="1"/>
  <c r="G60" i="7"/>
  <c r="AB60" i="7" s="1"/>
  <c r="H60" i="7"/>
  <c r="K47" i="7"/>
  <c r="B47" i="7"/>
  <c r="N47" i="7" s="1"/>
  <c r="D47" i="7"/>
  <c r="P47" i="7" s="1"/>
  <c r="S47" i="7" s="1"/>
  <c r="E47" i="7"/>
  <c r="Z47" i="7" s="1"/>
  <c r="F47" i="7"/>
  <c r="AA47" i="7" s="1"/>
  <c r="C47" i="7"/>
  <c r="O47" i="7" s="1"/>
  <c r="G47" i="7"/>
  <c r="AB47" i="7" s="1"/>
  <c r="H47" i="7"/>
  <c r="K45" i="7"/>
  <c r="B45" i="7"/>
  <c r="N45" i="7" s="1"/>
  <c r="D45" i="7"/>
  <c r="P45" i="7" s="1"/>
  <c r="S45" i="7" s="1"/>
  <c r="E45" i="7"/>
  <c r="Z45" i="7" s="1"/>
  <c r="F45" i="7"/>
  <c r="AA45" i="7" s="1"/>
  <c r="C45" i="7"/>
  <c r="O45" i="7" s="1"/>
  <c r="G45" i="7"/>
  <c r="AB45" i="7" s="1"/>
  <c r="H45" i="7"/>
  <c r="K43" i="7"/>
  <c r="B43" i="7"/>
  <c r="N43" i="7" s="1"/>
  <c r="D43" i="7"/>
  <c r="P43" i="7" s="1"/>
  <c r="S43" i="7" s="1"/>
  <c r="E43" i="7"/>
  <c r="Z43" i="7" s="1"/>
  <c r="F43" i="7"/>
  <c r="AA43" i="7" s="1"/>
  <c r="H43" i="7"/>
  <c r="C43" i="7"/>
  <c r="O43" i="7" s="1"/>
  <c r="G43" i="7"/>
  <c r="AB43" i="7" s="1"/>
  <c r="K29" i="7"/>
  <c r="B29" i="7"/>
  <c r="N29" i="7" s="1"/>
  <c r="C29" i="7"/>
  <c r="O29" i="7" s="1"/>
  <c r="D29" i="7"/>
  <c r="P29" i="7" s="1"/>
  <c r="S29" i="7" s="1"/>
  <c r="E29" i="7"/>
  <c r="Z29" i="7" s="1"/>
  <c r="F29" i="7"/>
  <c r="AA29" i="7" s="1"/>
  <c r="G29" i="7"/>
  <c r="AB29" i="7" s="1"/>
  <c r="H29" i="7"/>
  <c r="K91" i="7"/>
  <c r="B91" i="7"/>
  <c r="D91" i="7"/>
  <c r="E91" i="7"/>
  <c r="F91" i="7"/>
  <c r="H91" i="7"/>
  <c r="C91" i="7"/>
  <c r="G91" i="7"/>
  <c r="B115" i="7"/>
  <c r="C115" i="7"/>
  <c r="D115" i="7"/>
  <c r="E115" i="7"/>
  <c r="F115" i="7"/>
  <c r="G115" i="7"/>
  <c r="H115" i="7"/>
  <c r="K115" i="7"/>
  <c r="B118" i="7"/>
  <c r="C118" i="7"/>
  <c r="D118" i="7"/>
  <c r="E118" i="7"/>
  <c r="F118" i="7"/>
  <c r="G118" i="7"/>
  <c r="H118" i="7"/>
  <c r="K118" i="7"/>
  <c r="B112" i="7"/>
  <c r="C112" i="7"/>
  <c r="D112" i="7"/>
  <c r="E112" i="7"/>
  <c r="F112" i="7"/>
  <c r="G112" i="7"/>
  <c r="H112" i="7"/>
  <c r="K112" i="7"/>
  <c r="B99" i="7"/>
  <c r="C99" i="7"/>
  <c r="D99" i="7"/>
  <c r="E99" i="7"/>
  <c r="F99" i="7"/>
  <c r="G99" i="7"/>
  <c r="H99" i="7"/>
  <c r="K99" i="7"/>
  <c r="K85" i="7"/>
  <c r="B85" i="7"/>
  <c r="D85" i="7"/>
  <c r="E85" i="7"/>
  <c r="F85" i="7"/>
  <c r="C85" i="7"/>
  <c r="G85" i="7"/>
  <c r="H85" i="7"/>
  <c r="B149" i="7"/>
  <c r="C149" i="7"/>
  <c r="D149" i="7"/>
  <c r="E149" i="7"/>
  <c r="F149" i="7"/>
  <c r="G149" i="7"/>
  <c r="H149" i="7"/>
  <c r="K149" i="7"/>
  <c r="B143" i="7"/>
  <c r="C143" i="7"/>
  <c r="D143" i="7"/>
  <c r="E143" i="7"/>
  <c r="F143" i="7"/>
  <c r="G143" i="7"/>
  <c r="H143" i="7"/>
  <c r="K143" i="7"/>
  <c r="B137" i="7"/>
  <c r="C137" i="7"/>
  <c r="D137" i="7"/>
  <c r="E137" i="7"/>
  <c r="F137" i="7"/>
  <c r="G137" i="7"/>
  <c r="H137" i="7"/>
  <c r="K137" i="7"/>
  <c r="B139" i="7"/>
  <c r="C139" i="7"/>
  <c r="D139" i="7"/>
  <c r="E139" i="7"/>
  <c r="F139" i="7"/>
  <c r="G139" i="7"/>
  <c r="H139" i="7"/>
  <c r="K139" i="7"/>
  <c r="K73" i="7"/>
  <c r="B73" i="7"/>
  <c r="D73" i="7"/>
  <c r="E73" i="7"/>
  <c r="F73" i="7"/>
  <c r="C73" i="7"/>
  <c r="G73" i="7"/>
  <c r="H73" i="7"/>
  <c r="K48" i="7"/>
  <c r="B48" i="7"/>
  <c r="N48" i="7" s="1"/>
  <c r="D48" i="7"/>
  <c r="P48" i="7" s="1"/>
  <c r="S48" i="7" s="1"/>
  <c r="E48" i="7"/>
  <c r="Z48" i="7" s="1"/>
  <c r="F48" i="7"/>
  <c r="AA48" i="7" s="1"/>
  <c r="C48" i="7"/>
  <c r="O48" i="7" s="1"/>
  <c r="G48" i="7"/>
  <c r="AB48" i="7" s="1"/>
  <c r="H48" i="7"/>
  <c r="K71" i="7"/>
  <c r="B71" i="7"/>
  <c r="D71" i="7"/>
  <c r="E71" i="7"/>
  <c r="F71" i="7"/>
  <c r="C71" i="7"/>
  <c r="G71" i="7"/>
  <c r="H71" i="7"/>
  <c r="K65" i="7"/>
  <c r="B65" i="7"/>
  <c r="D65" i="7"/>
  <c r="E65" i="7"/>
  <c r="F65" i="7"/>
  <c r="C65" i="7"/>
  <c r="G65" i="7"/>
  <c r="H65" i="7"/>
  <c r="K39" i="7"/>
  <c r="B39" i="7"/>
  <c r="N39" i="7" s="1"/>
  <c r="D39" i="7"/>
  <c r="P39" i="7" s="1"/>
  <c r="S39" i="7" s="1"/>
  <c r="E39" i="7"/>
  <c r="Z39" i="7" s="1"/>
  <c r="F39" i="7"/>
  <c r="AA39" i="7" s="1"/>
  <c r="C39" i="7"/>
  <c r="O39" i="7" s="1"/>
  <c r="G39" i="7"/>
  <c r="AB39" i="7" s="1"/>
  <c r="H39" i="7"/>
  <c r="K37" i="7"/>
  <c r="B37" i="7"/>
  <c r="N37" i="7" s="1"/>
  <c r="D37" i="7"/>
  <c r="P37" i="7" s="1"/>
  <c r="S37" i="7" s="1"/>
  <c r="E37" i="7"/>
  <c r="Z37" i="7" s="1"/>
  <c r="F37" i="7"/>
  <c r="AA37" i="7" s="1"/>
  <c r="C37" i="7"/>
  <c r="O37" i="7" s="1"/>
  <c r="G37" i="7"/>
  <c r="AB37" i="7" s="1"/>
  <c r="H37" i="7"/>
  <c r="K35" i="7"/>
  <c r="B35" i="7"/>
  <c r="N35" i="7" s="1"/>
  <c r="D35" i="7"/>
  <c r="P35" i="7" s="1"/>
  <c r="S35" i="7" s="1"/>
  <c r="E35" i="7"/>
  <c r="Z35" i="7" s="1"/>
  <c r="F35" i="7"/>
  <c r="AA35" i="7" s="1"/>
  <c r="H35" i="7"/>
  <c r="C35" i="7"/>
  <c r="O35" i="7" s="1"/>
  <c r="G35" i="7"/>
  <c r="AB35" i="7" s="1"/>
  <c r="K21" i="7"/>
  <c r="B21" i="7"/>
  <c r="N21" i="7" s="1"/>
  <c r="C21" i="7"/>
  <c r="O21" i="7" s="1"/>
  <c r="D21" i="7"/>
  <c r="P21" i="7" s="1"/>
  <c r="S21" i="7" s="1"/>
  <c r="E21" i="7"/>
  <c r="Z21" i="7" s="1"/>
  <c r="F21" i="7"/>
  <c r="AA21" i="7" s="1"/>
  <c r="G21" i="7"/>
  <c r="AB21" i="7" s="1"/>
  <c r="H21" i="7"/>
  <c r="B98" i="7"/>
  <c r="C98" i="7"/>
  <c r="D98" i="7"/>
  <c r="E98" i="7"/>
  <c r="F98" i="7"/>
  <c r="G98" i="7"/>
  <c r="H98" i="7"/>
  <c r="K98" i="7"/>
  <c r="K80" i="7"/>
  <c r="B80" i="7"/>
  <c r="D80" i="7"/>
  <c r="E80" i="7"/>
  <c r="F80" i="7"/>
  <c r="C80" i="7"/>
  <c r="G80" i="7"/>
  <c r="H80" i="7"/>
  <c r="B103" i="7"/>
  <c r="C103" i="7"/>
  <c r="D103" i="7"/>
  <c r="E103" i="7"/>
  <c r="F103" i="7"/>
  <c r="G103" i="7"/>
  <c r="H103" i="7"/>
  <c r="K103" i="7"/>
  <c r="K88" i="7"/>
  <c r="B88" i="7"/>
  <c r="D88" i="7"/>
  <c r="E88" i="7"/>
  <c r="F88" i="7"/>
  <c r="C88" i="7"/>
  <c r="G88" i="7"/>
  <c r="H88" i="7"/>
  <c r="B117" i="7"/>
  <c r="C117" i="7"/>
  <c r="D117" i="7"/>
  <c r="E117" i="7"/>
  <c r="F117" i="7"/>
  <c r="G117" i="7"/>
  <c r="H117" i="7"/>
  <c r="K117" i="7"/>
  <c r="K92" i="7"/>
  <c r="B92" i="7"/>
  <c r="D92" i="7"/>
  <c r="E92" i="7"/>
  <c r="F92" i="7"/>
  <c r="C92" i="7"/>
  <c r="G92" i="7"/>
  <c r="H92" i="7"/>
  <c r="B126" i="7"/>
  <c r="C126" i="7"/>
  <c r="D126" i="7"/>
  <c r="E126" i="7"/>
  <c r="F126" i="7"/>
  <c r="G126" i="7"/>
  <c r="H126" i="7"/>
  <c r="K126" i="7"/>
  <c r="B124" i="7"/>
  <c r="C124" i="7"/>
  <c r="D124" i="7"/>
  <c r="E124" i="7"/>
  <c r="F124" i="7"/>
  <c r="G124" i="7"/>
  <c r="H124" i="7"/>
  <c r="K124" i="7"/>
  <c r="B145" i="7"/>
  <c r="C145" i="7"/>
  <c r="D145" i="7"/>
  <c r="E145" i="7"/>
  <c r="F145" i="7"/>
  <c r="G145" i="7"/>
  <c r="H145" i="7"/>
  <c r="K145" i="7"/>
  <c r="B147" i="7"/>
  <c r="C147" i="7"/>
  <c r="D147" i="7"/>
  <c r="E147" i="7"/>
  <c r="F147" i="7"/>
  <c r="G147" i="7"/>
  <c r="H147" i="7"/>
  <c r="K147" i="7"/>
  <c r="K53" i="7"/>
  <c r="B53" i="7"/>
  <c r="N53" i="7" s="1"/>
  <c r="D53" i="7"/>
  <c r="P53" i="7" s="1"/>
  <c r="S53" i="7" s="1"/>
  <c r="E53" i="7"/>
  <c r="Z53" i="7" s="1"/>
  <c r="F53" i="7"/>
  <c r="AA53" i="7" s="1"/>
  <c r="C53" i="7"/>
  <c r="O53" i="7" s="1"/>
  <c r="G53" i="7"/>
  <c r="AB53" i="7" s="1"/>
  <c r="H53" i="7"/>
  <c r="K75" i="7"/>
  <c r="B75" i="7"/>
  <c r="D75" i="7"/>
  <c r="E75" i="7"/>
  <c r="F75" i="7"/>
  <c r="H75" i="7"/>
  <c r="C75" i="7"/>
  <c r="G75" i="7"/>
  <c r="AB75" i="7" s="1"/>
  <c r="K62" i="7"/>
  <c r="B62" i="7"/>
  <c r="D62" i="7"/>
  <c r="E62" i="7"/>
  <c r="F62" i="7"/>
  <c r="G62" i="7"/>
  <c r="H62" i="7"/>
  <c r="C62" i="7"/>
  <c r="K41" i="7"/>
  <c r="B41" i="7"/>
  <c r="N41" i="7" s="1"/>
  <c r="D41" i="7"/>
  <c r="P41" i="7" s="1"/>
  <c r="S41" i="7" s="1"/>
  <c r="E41" i="7"/>
  <c r="Z41" i="7" s="1"/>
  <c r="F41" i="7"/>
  <c r="AA41" i="7" s="1"/>
  <c r="C41" i="7"/>
  <c r="O41" i="7" s="1"/>
  <c r="G41" i="7"/>
  <c r="AB41" i="7" s="1"/>
  <c r="H41" i="7"/>
  <c r="K31" i="7"/>
  <c r="B31" i="7"/>
  <c r="N31" i="7" s="1"/>
  <c r="C31" i="7"/>
  <c r="O31" i="7" s="1"/>
  <c r="D31" i="7"/>
  <c r="P31" i="7" s="1"/>
  <c r="S31" i="7" s="1"/>
  <c r="E31" i="7"/>
  <c r="Z31" i="7" s="1"/>
  <c r="F31" i="7"/>
  <c r="AA31" i="7" s="1"/>
  <c r="G31" i="7"/>
  <c r="AB31" i="7" s="1"/>
  <c r="H31" i="7"/>
  <c r="K28" i="7"/>
  <c r="B28" i="7"/>
  <c r="N28" i="7" s="1"/>
  <c r="C28" i="7"/>
  <c r="O28" i="7" s="1"/>
  <c r="D28" i="7"/>
  <c r="P28" i="7" s="1"/>
  <c r="S28" i="7" s="1"/>
  <c r="E28" i="7"/>
  <c r="Z28" i="7" s="1"/>
  <c r="F28" i="7"/>
  <c r="AA28" i="7" s="1"/>
  <c r="G28" i="7"/>
  <c r="AB28" i="7" s="1"/>
  <c r="H28" i="7"/>
  <c r="K26" i="7"/>
  <c r="B26" i="7"/>
  <c r="N26" i="7" s="1"/>
  <c r="C26" i="7"/>
  <c r="O26" i="7" s="1"/>
  <c r="D26" i="7"/>
  <c r="P26" i="7" s="1"/>
  <c r="S26" i="7" s="1"/>
  <c r="E26" i="7"/>
  <c r="Z26" i="7" s="1"/>
  <c r="F26" i="7"/>
  <c r="AA26" i="7" s="1"/>
  <c r="G26" i="7"/>
  <c r="AB26" i="7" s="1"/>
  <c r="H26" i="7"/>
  <c r="K13" i="7"/>
  <c r="B13" i="7"/>
  <c r="N13" i="7" s="1"/>
  <c r="C13" i="7"/>
  <c r="O13" i="7" s="1"/>
  <c r="D13" i="7"/>
  <c r="P13" i="7" s="1"/>
  <c r="S13" i="7" s="1"/>
  <c r="E13" i="7"/>
  <c r="Z13" i="7" s="1"/>
  <c r="F13" i="7"/>
  <c r="AA13" i="7" s="1"/>
  <c r="G13" i="7"/>
  <c r="AB13" i="7" s="1"/>
  <c r="H13" i="7"/>
  <c r="B94" i="7"/>
  <c r="C94" i="7"/>
  <c r="D94" i="7"/>
  <c r="E94" i="7"/>
  <c r="F94" i="7"/>
  <c r="G94" i="7"/>
  <c r="H94" i="7"/>
  <c r="K94" i="7"/>
  <c r="K82" i="7"/>
  <c r="B82" i="7"/>
  <c r="D82" i="7"/>
  <c r="E82" i="7"/>
  <c r="F82" i="7"/>
  <c r="C82" i="7"/>
  <c r="G82" i="7"/>
  <c r="H82" i="7"/>
  <c r="B108" i="7"/>
  <c r="C108" i="7"/>
  <c r="D108" i="7"/>
  <c r="E108" i="7"/>
  <c r="F108" i="7"/>
  <c r="G108" i="7"/>
  <c r="H108" i="7"/>
  <c r="K108" i="7"/>
  <c r="K79" i="7"/>
  <c r="B79" i="7"/>
  <c r="D79" i="7"/>
  <c r="E79" i="7"/>
  <c r="F79" i="7"/>
  <c r="C79" i="7"/>
  <c r="G79" i="7"/>
  <c r="H79" i="7"/>
  <c r="B116" i="7"/>
  <c r="C116" i="7"/>
  <c r="D116" i="7"/>
  <c r="E116" i="7"/>
  <c r="F116" i="7"/>
  <c r="G116" i="7"/>
  <c r="H116" i="7"/>
  <c r="K116" i="7"/>
  <c r="B102" i="7"/>
  <c r="C102" i="7"/>
  <c r="D102" i="7"/>
  <c r="E102" i="7"/>
  <c r="F102" i="7"/>
  <c r="G102" i="7"/>
  <c r="H102" i="7"/>
  <c r="K102" i="7"/>
  <c r="B134" i="7"/>
  <c r="C134" i="7"/>
  <c r="D134" i="7"/>
  <c r="E134" i="7"/>
  <c r="F134" i="7"/>
  <c r="G134" i="7"/>
  <c r="H134" i="7"/>
  <c r="K134" i="7"/>
  <c r="B128" i="7"/>
  <c r="C128" i="7"/>
  <c r="D128" i="7"/>
  <c r="E128" i="7"/>
  <c r="F128" i="7"/>
  <c r="G128" i="7"/>
  <c r="H128" i="7"/>
  <c r="K128" i="7"/>
  <c r="B122" i="7"/>
  <c r="C122" i="7"/>
  <c r="D122" i="7"/>
  <c r="E122" i="7"/>
  <c r="F122" i="7"/>
  <c r="G122" i="7"/>
  <c r="H122" i="7"/>
  <c r="K122" i="7"/>
  <c r="K54" i="7"/>
  <c r="B54" i="7"/>
  <c r="N54" i="7" s="1"/>
  <c r="D54" i="7"/>
  <c r="P54" i="7" s="1"/>
  <c r="S54" i="7" s="1"/>
  <c r="E54" i="7"/>
  <c r="Z54" i="7" s="1"/>
  <c r="F54" i="7"/>
  <c r="AA54" i="7" s="1"/>
  <c r="G54" i="7"/>
  <c r="AB54" i="7" s="1"/>
  <c r="H54" i="7"/>
  <c r="C54" i="7"/>
  <c r="O54" i="7" s="1"/>
  <c r="K68" i="7"/>
  <c r="B68" i="7"/>
  <c r="D68" i="7"/>
  <c r="E68" i="7"/>
  <c r="F68" i="7"/>
  <c r="C68" i="7"/>
  <c r="G68" i="7"/>
  <c r="H68" i="7"/>
  <c r="AB15" i="4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AB14" i="4"/>
  <c r="AC13" i="4"/>
  <c r="AB20" i="4"/>
  <c r="AB18" i="4"/>
  <c r="AB16" i="4"/>
  <c r="AB19" i="4"/>
  <c r="AZ132" i="7"/>
  <c r="AZ150" i="7"/>
  <c r="AZ144" i="7"/>
  <c r="AZ138" i="7"/>
  <c r="AZ120" i="7"/>
  <c r="AZ125" i="7"/>
  <c r="AZ140" i="7"/>
  <c r="AZ148" i="7"/>
  <c r="AZ146" i="7"/>
  <c r="AZ136" i="7"/>
  <c r="AZ133" i="7"/>
  <c r="AZ127" i="7"/>
  <c r="AZ121" i="7"/>
  <c r="AZ123" i="7"/>
  <c r="AZ119" i="7"/>
  <c r="AZ141" i="7"/>
  <c r="AZ135" i="7"/>
  <c r="AZ129" i="7"/>
  <c r="AZ131" i="7"/>
  <c r="AZ142" i="7"/>
  <c r="AZ115" i="7"/>
  <c r="AZ118" i="7"/>
  <c r="AZ149" i="7"/>
  <c r="AZ143" i="7"/>
  <c r="AZ137" i="7"/>
  <c r="AZ139" i="7"/>
  <c r="AZ130" i="7"/>
  <c r="AZ117" i="7"/>
  <c r="AZ126" i="7"/>
  <c r="AZ124" i="7"/>
  <c r="AZ145" i="7"/>
  <c r="AZ147" i="7"/>
  <c r="AZ116" i="7"/>
  <c r="AZ134" i="7"/>
  <c r="AZ128" i="7"/>
  <c r="AZ122" i="7"/>
  <c r="W12" i="1"/>
  <c r="Z49" i="7"/>
  <c r="AO121" i="7"/>
  <c r="AN121" i="7"/>
  <c r="AQ121" i="7"/>
  <c r="AQ114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23" i="7"/>
  <c r="AQ123" i="7"/>
  <c r="AO123" i="7"/>
  <c r="AQ118" i="7"/>
  <c r="AO118" i="7"/>
  <c r="AN118" i="7"/>
  <c r="AN117" i="7"/>
  <c r="AQ117" i="7"/>
  <c r="AO117" i="7"/>
  <c r="AN116" i="7"/>
  <c r="AQ116" i="7"/>
  <c r="AO116" i="7"/>
  <c r="AQ134" i="7"/>
  <c r="AO134" i="7"/>
  <c r="AN134" i="7"/>
  <c r="AQ128" i="7"/>
  <c r="AO128" i="7"/>
  <c r="AN128" i="7"/>
  <c r="AO122" i="7"/>
  <c r="AN122" i="7"/>
  <c r="AQ122" i="7"/>
  <c r="AQ115" i="7"/>
  <c r="AN115" i="7"/>
  <c r="AO115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19" i="7"/>
  <c r="AO119" i="7"/>
  <c r="AN119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143" i="7"/>
  <c r="AO143" i="7"/>
  <c r="AN143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Q127" i="7"/>
  <c r="AO127" i="7"/>
  <c r="AN127" i="7"/>
  <c r="AN124" i="7"/>
  <c r="AQ124" i="7"/>
  <c r="AO124" i="7"/>
  <c r="AN147" i="7"/>
  <c r="AQ147" i="7"/>
  <c r="AO147" i="7"/>
  <c r="AQ120" i="7"/>
  <c r="AO120" i="7"/>
  <c r="AN120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49" i="7"/>
  <c r="AT143" i="7"/>
  <c r="AT137" i="7"/>
  <c r="AT139" i="7"/>
  <c r="AT132" i="7"/>
  <c r="AT146" i="7"/>
  <c r="AT126" i="7"/>
  <c r="AT124" i="7"/>
  <c r="AT145" i="7"/>
  <c r="AT147" i="7"/>
  <c r="HK10" i="1"/>
  <c r="HS11" i="1" s="1"/>
  <c r="HL11" i="1" s="1"/>
  <c r="Z71" i="7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AV51" i="7"/>
  <c r="Z51" i="7"/>
  <c r="AV59" i="7"/>
  <c r="Z59" i="7"/>
  <c r="AV40" i="7"/>
  <c r="Z40" i="7"/>
  <c r="AV38" i="7"/>
  <c r="AV36" i="7"/>
  <c r="AV34" i="7"/>
  <c r="AV25" i="7"/>
  <c r="AF120" i="7"/>
  <c r="AD120" i="7"/>
  <c r="AH120" i="7" s="1"/>
  <c r="N120" i="7"/>
  <c r="R120" i="7" s="1"/>
  <c r="X120" i="7" s="1"/>
  <c r="AV120" i="7"/>
  <c r="Z120" i="7"/>
  <c r="AB120" i="7"/>
  <c r="AE120" i="7" s="1"/>
  <c r="O120" i="7"/>
  <c r="AX120" i="7"/>
  <c r="P120" i="7"/>
  <c r="S120" i="7" s="1"/>
  <c r="Q120" i="7"/>
  <c r="AA120" i="7"/>
  <c r="AC120" i="7" s="1"/>
  <c r="AM120" i="7"/>
  <c r="AI120" i="7"/>
  <c r="AG120" i="7"/>
  <c r="AJ120" i="7"/>
  <c r="P97" i="7"/>
  <c r="S97" i="7" s="1"/>
  <c r="AV97" i="7"/>
  <c r="AA97" i="7"/>
  <c r="O97" i="7"/>
  <c r="N97" i="7"/>
  <c r="Z97" i="7"/>
  <c r="AB97" i="7"/>
  <c r="AB93" i="7"/>
  <c r="AA93" i="7"/>
  <c r="Z93" i="7"/>
  <c r="P93" i="7"/>
  <c r="S93" i="7" s="1"/>
  <c r="O93" i="7"/>
  <c r="AV93" i="7"/>
  <c r="N93" i="7"/>
  <c r="AV86" i="7"/>
  <c r="N86" i="7"/>
  <c r="O86" i="7"/>
  <c r="AA86" i="7"/>
  <c r="P86" i="7"/>
  <c r="S86" i="7" s="1"/>
  <c r="Z86" i="7"/>
  <c r="AB86" i="7"/>
  <c r="AV113" i="7"/>
  <c r="O113" i="7"/>
  <c r="P113" i="7"/>
  <c r="S113" i="7" s="1"/>
  <c r="Y113" i="7" s="1"/>
  <c r="AB113" i="7"/>
  <c r="Z113" i="7"/>
  <c r="N113" i="7"/>
  <c r="AA113" i="7"/>
  <c r="AE113" i="7" s="1"/>
  <c r="X125" i="7"/>
  <c r="AB125" i="7"/>
  <c r="AA125" i="7"/>
  <c r="AI125" i="7"/>
  <c r="AE125" i="7"/>
  <c r="AC125" i="7"/>
  <c r="AV125" i="7"/>
  <c r="N125" i="7"/>
  <c r="AD125" i="7"/>
  <c r="AM125" i="7"/>
  <c r="S125" i="7"/>
  <c r="AH125" i="7"/>
  <c r="O125" i="7"/>
  <c r="AG125" i="7"/>
  <c r="R125" i="7"/>
  <c r="AX125" i="7"/>
  <c r="AJ125" i="7"/>
  <c r="P125" i="7"/>
  <c r="Q125" i="7"/>
  <c r="Z125" i="7"/>
  <c r="AF125" i="7"/>
  <c r="Z140" i="7"/>
  <c r="AM140" i="7"/>
  <c r="AH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Q140" i="7"/>
  <c r="AF140" i="7"/>
  <c r="X140" i="7"/>
  <c r="AI140" i="7"/>
  <c r="AB140" i="7"/>
  <c r="AW140" i="7"/>
  <c r="P140" i="7"/>
  <c r="U140" i="7"/>
  <c r="T140" i="7"/>
  <c r="AX140" i="7"/>
  <c r="R148" i="7"/>
  <c r="O148" i="7"/>
  <c r="AG148" i="7"/>
  <c r="AA148" i="7"/>
  <c r="P148" i="7"/>
  <c r="AC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T146" i="7"/>
  <c r="AB146" i="7"/>
  <c r="AX146" i="7"/>
  <c r="N146" i="7"/>
  <c r="Q146" i="7"/>
  <c r="Y146" i="7"/>
  <c r="V146" i="7" s="1"/>
  <c r="AE146" i="7"/>
  <c r="AJ146" i="7" s="1"/>
  <c r="AM146" i="7"/>
  <c r="O146" i="7"/>
  <c r="AV146" i="7"/>
  <c r="AG146" i="7"/>
  <c r="AY146" i="7"/>
  <c r="P146" i="7"/>
  <c r="R146" i="7"/>
  <c r="AI146" i="7"/>
  <c r="AC146" i="7"/>
  <c r="X146" i="7"/>
  <c r="Z146" i="7"/>
  <c r="AD146" i="7"/>
  <c r="AF146" i="7"/>
  <c r="AH146" i="7"/>
  <c r="S146" i="7"/>
  <c r="AA146" i="7"/>
  <c r="AV70" i="7"/>
  <c r="O70" i="7"/>
  <c r="Z70" i="7"/>
  <c r="AA70" i="7"/>
  <c r="AB70" i="7"/>
  <c r="N70" i="7"/>
  <c r="P70" i="7"/>
  <c r="S70" i="7" s="1"/>
  <c r="AV67" i="7"/>
  <c r="O67" i="7"/>
  <c r="Z67" i="7"/>
  <c r="AA67" i="7"/>
  <c r="N67" i="7"/>
  <c r="AB67" i="7"/>
  <c r="P67" i="7"/>
  <c r="S67" i="7" s="1"/>
  <c r="AV66" i="7"/>
  <c r="AB66" i="7"/>
  <c r="O66" i="7"/>
  <c r="N66" i="7"/>
  <c r="P66" i="7"/>
  <c r="S66" i="7" s="1"/>
  <c r="Z66" i="7"/>
  <c r="AA66" i="7"/>
  <c r="AV64" i="7"/>
  <c r="Z64" i="7"/>
  <c r="P64" i="7"/>
  <c r="S64" i="7" s="1"/>
  <c r="N64" i="7"/>
  <c r="AB64" i="7"/>
  <c r="O64" i="7"/>
  <c r="AA64" i="7"/>
  <c r="AV32" i="7"/>
  <c r="AV30" i="7"/>
  <c r="AV27" i="7"/>
  <c r="AV24" i="7"/>
  <c r="AV17" i="7"/>
  <c r="P90" i="7"/>
  <c r="S90" i="7" s="1"/>
  <c r="AV90" i="7"/>
  <c r="O90" i="7"/>
  <c r="N90" i="7"/>
  <c r="AA90" i="7"/>
  <c r="AB90" i="7"/>
  <c r="Z90" i="7"/>
  <c r="AB109" i="7"/>
  <c r="AA109" i="7"/>
  <c r="Z109" i="7"/>
  <c r="P109" i="7"/>
  <c r="S109" i="7" s="1"/>
  <c r="Y109" i="7" s="1"/>
  <c r="N109" i="7"/>
  <c r="O109" i="7"/>
  <c r="AV109" i="7"/>
  <c r="AA100" i="7"/>
  <c r="Z100" i="7"/>
  <c r="P100" i="7"/>
  <c r="S100" i="7" s="1"/>
  <c r="O100" i="7"/>
  <c r="AB100" i="7"/>
  <c r="N100" i="7"/>
  <c r="AV100" i="7"/>
  <c r="AV77" i="7"/>
  <c r="P77" i="7"/>
  <c r="S77" i="7" s="1"/>
  <c r="AA77" i="7"/>
  <c r="N77" i="7"/>
  <c r="O77" i="7"/>
  <c r="Z77" i="7"/>
  <c r="AB77" i="7"/>
  <c r="O89" i="7"/>
  <c r="AV89" i="7"/>
  <c r="N89" i="7"/>
  <c r="Z89" i="7"/>
  <c r="AA89" i="7"/>
  <c r="P89" i="7"/>
  <c r="S89" i="7" s="1"/>
  <c r="AB89" i="7"/>
  <c r="AD133" i="7"/>
  <c r="AG133" i="7"/>
  <c r="P133" i="7"/>
  <c r="Z133" i="7"/>
  <c r="R133" i="7"/>
  <c r="S133" i="7"/>
  <c r="Y133" i="7" s="1"/>
  <c r="O133" i="7"/>
  <c r="N133" i="7"/>
  <c r="AM133" i="7"/>
  <c r="AH133" i="7"/>
  <c r="AE133" i="7"/>
  <c r="AC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AX127" i="7"/>
  <c r="S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Z127" i="7"/>
  <c r="AI127" i="7"/>
  <c r="AA127" i="7"/>
  <c r="AM127" i="7"/>
  <c r="AC127" i="7"/>
  <c r="Q127" i="7"/>
  <c r="U121" i="7"/>
  <c r="P121" i="7"/>
  <c r="AS121" i="7"/>
  <c r="AV121" i="7"/>
  <c r="AF121" i="7"/>
  <c r="AM121" i="7" s="1"/>
  <c r="Y121" i="7"/>
  <c r="AY121" i="7"/>
  <c r="W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N121" i="7"/>
  <c r="Z121" i="7"/>
  <c r="AB121" i="7"/>
  <c r="V121" i="7"/>
  <c r="AE121" i="7"/>
  <c r="AE123" i="7"/>
  <c r="P123" i="7"/>
  <c r="U123" i="7"/>
  <c r="S123" i="7"/>
  <c r="AB123" i="7"/>
  <c r="AS123" i="7"/>
  <c r="AD123" i="7"/>
  <c r="AF123" i="7"/>
  <c r="AJ123" i="7"/>
  <c r="N123" i="7"/>
  <c r="AC123" i="7"/>
  <c r="O123" i="7"/>
  <c r="W123" i="7"/>
  <c r="AW123" i="7" s="1"/>
  <c r="AI123" i="7"/>
  <c r="AV123" i="7"/>
  <c r="X123" i="7"/>
  <c r="R123" i="7"/>
  <c r="AX123" i="7"/>
  <c r="AA123" i="7"/>
  <c r="AM123" i="7"/>
  <c r="AH123" i="7"/>
  <c r="Z123" i="7"/>
  <c r="Q123" i="7"/>
  <c r="AG123" i="7"/>
  <c r="T123" i="7"/>
  <c r="AV72" i="7"/>
  <c r="Z72" i="7"/>
  <c r="O72" i="7"/>
  <c r="P72" i="7"/>
  <c r="S72" i="7" s="1"/>
  <c r="AB72" i="7"/>
  <c r="N72" i="7"/>
  <c r="AA72" i="7"/>
  <c r="AV74" i="7"/>
  <c r="AB74" i="7"/>
  <c r="AA74" i="7"/>
  <c r="N74" i="7"/>
  <c r="O74" i="7"/>
  <c r="Z74" i="7"/>
  <c r="P74" i="7"/>
  <c r="S74" i="7" s="1"/>
  <c r="AV61" i="7"/>
  <c r="O61" i="7"/>
  <c r="AB61" i="7"/>
  <c r="P61" i="7"/>
  <c r="S61" i="7" s="1"/>
  <c r="Z61" i="7"/>
  <c r="AA61" i="7"/>
  <c r="N61" i="7"/>
  <c r="AV22" i="7"/>
  <c r="AV18" i="7"/>
  <c r="AV15" i="7"/>
  <c r="AV10" i="7"/>
  <c r="AV12" i="7"/>
  <c r="N105" i="7"/>
  <c r="Z105" i="7"/>
  <c r="AV105" i="7"/>
  <c r="AB105" i="7"/>
  <c r="AA105" i="7"/>
  <c r="P105" i="7"/>
  <c r="S105" i="7" s="1"/>
  <c r="O105" i="7"/>
  <c r="AV84" i="7"/>
  <c r="P84" i="7"/>
  <c r="S84" i="7" s="1"/>
  <c r="AB84" i="7"/>
  <c r="AA84" i="7"/>
  <c r="O84" i="7"/>
  <c r="N84" i="7"/>
  <c r="Z84" i="7"/>
  <c r="AA114" i="7"/>
  <c r="AV114" i="7"/>
  <c r="N114" i="7"/>
  <c r="R114" i="7" s="1"/>
  <c r="X114" i="7" s="1"/>
  <c r="AX114" i="7" s="1"/>
  <c r="P114" i="7"/>
  <c r="S114" i="7" s="1"/>
  <c r="Y114" i="7" s="1"/>
  <c r="Z114" i="7"/>
  <c r="AC114" i="7" s="1"/>
  <c r="AB114" i="7"/>
  <c r="O114" i="7"/>
  <c r="AV81" i="7"/>
  <c r="AB81" i="7"/>
  <c r="AA81" i="7"/>
  <c r="P81" i="7"/>
  <c r="S81" i="7" s="1"/>
  <c r="Z81" i="7"/>
  <c r="N81" i="7"/>
  <c r="O81" i="7"/>
  <c r="AB111" i="7"/>
  <c r="AA111" i="7"/>
  <c r="N111" i="7"/>
  <c r="O111" i="7"/>
  <c r="AV111" i="7"/>
  <c r="Z111" i="7"/>
  <c r="P111" i="7"/>
  <c r="S111" i="7" s="1"/>
  <c r="Y111" i="7" s="1"/>
  <c r="AC141" i="7"/>
  <c r="AJ141" i="7"/>
  <c r="P141" i="7"/>
  <c r="AM141" i="7"/>
  <c r="AB141" i="7"/>
  <c r="AV141" i="7"/>
  <c r="AI141" i="7"/>
  <c r="AE141" i="7"/>
  <c r="AF141" i="7"/>
  <c r="AA141" i="7"/>
  <c r="O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AG135" i="7"/>
  <c r="X135" i="7"/>
  <c r="O135" i="7"/>
  <c r="Z135" i="7"/>
  <c r="N135" i="7"/>
  <c r="AB135" i="7"/>
  <c r="S135" i="7"/>
  <c r="AI135" i="7"/>
  <c r="AM135" i="7"/>
  <c r="AA135" i="7"/>
  <c r="R135" i="7"/>
  <c r="P135" i="7"/>
  <c r="AJ135" i="7"/>
  <c r="AF135" i="7"/>
  <c r="AH135" i="7"/>
  <c r="AD135" i="7"/>
  <c r="Q135" i="7"/>
  <c r="AE135" i="7"/>
  <c r="AX135" i="7"/>
  <c r="AC135" i="7"/>
  <c r="AV135" i="7"/>
  <c r="AD129" i="7"/>
  <c r="AH129" i="7" s="1"/>
  <c r="AG129" i="7"/>
  <c r="AM129" i="7"/>
  <c r="AV129" i="7"/>
  <c r="Z129" i="7"/>
  <c r="AC129" i="7"/>
  <c r="N129" i="7"/>
  <c r="U129" i="7"/>
  <c r="AJ129" i="7"/>
  <c r="P129" i="7"/>
  <c r="AB129" i="7"/>
  <c r="O129" i="7"/>
  <c r="AA129" i="7"/>
  <c r="AF129" i="7"/>
  <c r="X129" i="7"/>
  <c r="S129" i="7"/>
  <c r="R129" i="7"/>
  <c r="AE129" i="7"/>
  <c r="Q129" i="7"/>
  <c r="AX129" i="7"/>
  <c r="AI129" i="7"/>
  <c r="N131" i="7"/>
  <c r="AE131" i="7"/>
  <c r="W131" i="7"/>
  <c r="AW131" i="7"/>
  <c r="AJ131" i="7"/>
  <c r="X131" i="7"/>
  <c r="R131" i="7"/>
  <c r="O131" i="7"/>
  <c r="AG131" i="7"/>
  <c r="AF131" i="7"/>
  <c r="AV131" i="7"/>
  <c r="Q131" i="7"/>
  <c r="Z131" i="7"/>
  <c r="AD131" i="7"/>
  <c r="T131" i="7"/>
  <c r="AA131" i="7"/>
  <c r="P131" i="7"/>
  <c r="AM131" i="7"/>
  <c r="AB131" i="7"/>
  <c r="AC131" i="7"/>
  <c r="S131" i="7"/>
  <c r="AI131" i="7"/>
  <c r="AX131" i="7"/>
  <c r="AS131" i="7"/>
  <c r="AH131" i="7"/>
  <c r="U131" i="7"/>
  <c r="AV52" i="7"/>
  <c r="AV55" i="7"/>
  <c r="AV60" i="7"/>
  <c r="AV47" i="7"/>
  <c r="AV45" i="7"/>
  <c r="AV43" i="7"/>
  <c r="AV29" i="7"/>
  <c r="Z91" i="7"/>
  <c r="P91" i="7"/>
  <c r="S91" i="7" s="1"/>
  <c r="AV91" i="7"/>
  <c r="O91" i="7"/>
  <c r="N91" i="7"/>
  <c r="AB91" i="7"/>
  <c r="AA91" i="7"/>
  <c r="AB115" i="7"/>
  <c r="AF115" i="7"/>
  <c r="P115" i="7"/>
  <c r="S115" i="7" s="1"/>
  <c r="AV115" i="7"/>
  <c r="O115" i="7"/>
  <c r="Q115" i="7"/>
  <c r="AC115" i="7"/>
  <c r="R115" i="7"/>
  <c r="X115" i="7" s="1"/>
  <c r="AI115" i="7"/>
  <c r="AE115" i="7"/>
  <c r="AG115" i="7" s="1"/>
  <c r="Z115" i="7"/>
  <c r="AD115" i="7" s="1"/>
  <c r="AH115" i="7" s="1"/>
  <c r="AM115" i="7"/>
  <c r="AA115" i="7"/>
  <c r="AX115" i="7"/>
  <c r="N115" i="7"/>
  <c r="AJ115" i="7"/>
  <c r="S118" i="7"/>
  <c r="AB118" i="7"/>
  <c r="AF118" i="7" s="1"/>
  <c r="AX118" i="7"/>
  <c r="Z118" i="7"/>
  <c r="AV118" i="7"/>
  <c r="AD118" i="7"/>
  <c r="AH118" i="7" s="1"/>
  <c r="N118" i="7"/>
  <c r="AG118" i="7"/>
  <c r="AA118" i="7"/>
  <c r="AE118" i="7" s="1"/>
  <c r="AI118" i="7"/>
  <c r="R118" i="7"/>
  <c r="X118" i="7" s="1"/>
  <c r="AC118" i="7"/>
  <c r="P118" i="7"/>
  <c r="O118" i="7"/>
  <c r="Q118" i="7" s="1"/>
  <c r="AM118" i="7"/>
  <c r="AJ118" i="7"/>
  <c r="AA112" i="7"/>
  <c r="N112" i="7"/>
  <c r="O112" i="7"/>
  <c r="AB112" i="7"/>
  <c r="AF112" i="7" s="1"/>
  <c r="P112" i="7"/>
  <c r="S112" i="7" s="1"/>
  <c r="Y112" i="7" s="1"/>
  <c r="AV112" i="7"/>
  <c r="Z112" i="7"/>
  <c r="Z99" i="7"/>
  <c r="P99" i="7"/>
  <c r="S99" i="7" s="1"/>
  <c r="AV99" i="7"/>
  <c r="O99" i="7"/>
  <c r="N99" i="7"/>
  <c r="AB99" i="7"/>
  <c r="AA99" i="7"/>
  <c r="AV85" i="7"/>
  <c r="N85" i="7"/>
  <c r="AB85" i="7"/>
  <c r="O85" i="7"/>
  <c r="Z85" i="7"/>
  <c r="AA85" i="7"/>
  <c r="P85" i="7"/>
  <c r="S85" i="7" s="1"/>
  <c r="W149" i="7"/>
  <c r="O149" i="7"/>
  <c r="AH149" i="7"/>
  <c r="X149" i="7"/>
  <c r="U149" i="7" s="1"/>
  <c r="AE149" i="7"/>
  <c r="AF149" i="7"/>
  <c r="AM149" i="7" s="1"/>
  <c r="AV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U143" i="7"/>
  <c r="AD143" i="7"/>
  <c r="N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AG143" i="7"/>
  <c r="O143" i="7"/>
  <c r="S143" i="7"/>
  <c r="AX143" i="7"/>
  <c r="Q143" i="7"/>
  <c r="AI143" i="7"/>
  <c r="AF143" i="7"/>
  <c r="AH137" i="7"/>
  <c r="AA137" i="7"/>
  <c r="Z137" i="7"/>
  <c r="AD137" i="7"/>
  <c r="V137" i="7"/>
  <c r="N137" i="7"/>
  <c r="AI137" i="7"/>
  <c r="AB137" i="7"/>
  <c r="Q137" i="7"/>
  <c r="R137" i="7"/>
  <c r="Y137" i="7"/>
  <c r="AG137" i="7"/>
  <c r="AJ137" i="7"/>
  <c r="AC137" i="7"/>
  <c r="O137" i="7"/>
  <c r="AY137" i="7"/>
  <c r="W137" i="7"/>
  <c r="AF137" i="7"/>
  <c r="AE137" i="7"/>
  <c r="AM137" i="7"/>
  <c r="S137" i="7"/>
  <c r="AV137" i="7"/>
  <c r="P137" i="7"/>
  <c r="X137" i="7"/>
  <c r="AX137" i="7"/>
  <c r="U137" i="7"/>
  <c r="AW137" i="7"/>
  <c r="AS137" i="7"/>
  <c r="T137" i="7"/>
  <c r="AH139" i="7"/>
  <c r="AM139" i="7"/>
  <c r="AF139" i="7"/>
  <c r="AB139" i="7"/>
  <c r="AV139" i="7"/>
  <c r="Q139" i="7"/>
  <c r="W139" i="7" s="1"/>
  <c r="AS139" i="7" s="1"/>
  <c r="R139" i="7"/>
  <c r="X139" i="7" s="1"/>
  <c r="O139" i="7"/>
  <c r="Z139" i="7"/>
  <c r="AG139" i="7"/>
  <c r="S139" i="7"/>
  <c r="AE139" i="7"/>
  <c r="T139" i="7"/>
  <c r="AI139" i="7"/>
  <c r="AJ139" i="7"/>
  <c r="AX139" i="7"/>
  <c r="N139" i="7"/>
  <c r="AA139" i="7"/>
  <c r="AD139" i="7"/>
  <c r="P139" i="7"/>
  <c r="AW139" i="7"/>
  <c r="U139" i="7"/>
  <c r="AC139" i="7"/>
  <c r="AV69" i="7"/>
  <c r="AB69" i="7"/>
  <c r="N69" i="7"/>
  <c r="O69" i="7"/>
  <c r="AA69" i="7"/>
  <c r="Z69" i="7"/>
  <c r="P69" i="7"/>
  <c r="S69" i="7" s="1"/>
  <c r="Y120" i="7"/>
  <c r="AY120" i="7" s="1"/>
  <c r="AV48" i="7"/>
  <c r="AV71" i="7"/>
  <c r="AA71" i="7"/>
  <c r="P71" i="7"/>
  <c r="S71" i="7" s="1"/>
  <c r="N71" i="7"/>
  <c r="O71" i="7"/>
  <c r="AB71" i="7"/>
  <c r="AV65" i="7"/>
  <c r="N65" i="7"/>
  <c r="AA65" i="7"/>
  <c r="Z65" i="7"/>
  <c r="P65" i="7"/>
  <c r="S65" i="7" s="1"/>
  <c r="O65" i="7"/>
  <c r="AB65" i="7"/>
  <c r="AV39" i="7"/>
  <c r="AV37" i="7"/>
  <c r="AV35" i="7"/>
  <c r="AV21" i="7"/>
  <c r="N98" i="7"/>
  <c r="AA98" i="7"/>
  <c r="AB98" i="7"/>
  <c r="Z98" i="7"/>
  <c r="P98" i="7"/>
  <c r="S98" i="7" s="1"/>
  <c r="AV98" i="7"/>
  <c r="O98" i="7"/>
  <c r="AV80" i="7"/>
  <c r="N80" i="7"/>
  <c r="AB80" i="7"/>
  <c r="P80" i="7"/>
  <c r="S80" i="7" s="1"/>
  <c r="O80" i="7"/>
  <c r="Z80" i="7"/>
  <c r="AA80" i="7"/>
  <c r="P103" i="7"/>
  <c r="S103" i="7" s="1"/>
  <c r="AV103" i="7"/>
  <c r="Z103" i="7"/>
  <c r="N103" i="7"/>
  <c r="AB103" i="7"/>
  <c r="AA103" i="7"/>
  <c r="O103" i="7"/>
  <c r="N88" i="7"/>
  <c r="O88" i="7"/>
  <c r="AV88" i="7"/>
  <c r="P88" i="7"/>
  <c r="S88" i="7" s="1"/>
  <c r="Z88" i="7"/>
  <c r="AA88" i="7"/>
  <c r="AB88" i="7"/>
  <c r="AF117" i="7"/>
  <c r="Q117" i="7"/>
  <c r="S117" i="7"/>
  <c r="Z117" i="7"/>
  <c r="P117" i="7"/>
  <c r="N117" i="7"/>
  <c r="AX117" i="7"/>
  <c r="AD117" i="7"/>
  <c r="AH117" i="7" s="1"/>
  <c r="AV117" i="7"/>
  <c r="AB117" i="7"/>
  <c r="AE117" i="7" s="1"/>
  <c r="R117" i="7"/>
  <c r="X117" i="7" s="1"/>
  <c r="AA117" i="7"/>
  <c r="O117" i="7"/>
  <c r="AC117" i="7"/>
  <c r="AJ117" i="7"/>
  <c r="AG117" i="7"/>
  <c r="AM117" i="7"/>
  <c r="AI117" i="7"/>
  <c r="Z92" i="7"/>
  <c r="P92" i="7"/>
  <c r="S92" i="7" s="1"/>
  <c r="AV92" i="7"/>
  <c r="O92" i="7"/>
  <c r="AB92" i="7"/>
  <c r="N92" i="7"/>
  <c r="AA92" i="7"/>
  <c r="AC126" i="7"/>
  <c r="AF126" i="7"/>
  <c r="AM126" i="7"/>
  <c r="BA126" i="7" s="1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S124" i="7"/>
  <c r="AV124" i="7"/>
  <c r="W124" i="7"/>
  <c r="AE124" i="7"/>
  <c r="AF124" i="7"/>
  <c r="AM124" i="7" s="1"/>
  <c r="AH124" i="7"/>
  <c r="N124" i="7"/>
  <c r="AI124" i="7"/>
  <c r="AA124" i="7"/>
  <c r="P124" i="7"/>
  <c r="AW124" i="7"/>
  <c r="AD124" i="7"/>
  <c r="O124" i="7"/>
  <c r="AX124" i="7"/>
  <c r="U124" i="7"/>
  <c r="AS124" i="7"/>
  <c r="Z124" i="7"/>
  <c r="AC124" i="7"/>
  <c r="R124" i="7"/>
  <c r="T124" i="7"/>
  <c r="AB124" i="7"/>
  <c r="Q124" i="7"/>
  <c r="AJ124" i="7"/>
  <c r="X124" i="7"/>
  <c r="AG124" i="7"/>
  <c r="R145" i="7"/>
  <c r="Z145" i="7"/>
  <c r="Q145" i="7"/>
  <c r="Y145" i="7"/>
  <c r="V145" i="7" s="1"/>
  <c r="AD145" i="7"/>
  <c r="AA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AV145" i="7"/>
  <c r="U145" i="7"/>
  <c r="AE145" i="7"/>
  <c r="AF145" i="7"/>
  <c r="AC145" i="7"/>
  <c r="AM145" i="7"/>
  <c r="T145" i="7"/>
  <c r="AW145" i="7"/>
  <c r="AX145" i="7"/>
  <c r="AS145" i="7"/>
  <c r="R147" i="7"/>
  <c r="AG147" i="7"/>
  <c r="Q147" i="7"/>
  <c r="W147" i="7" s="1"/>
  <c r="AS147" i="7" s="1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Z73" i="7"/>
  <c r="AV73" i="7"/>
  <c r="N73" i="7"/>
  <c r="AB73" i="7"/>
  <c r="AA73" i="7"/>
  <c r="P73" i="7"/>
  <c r="S73" i="7" s="1"/>
  <c r="O73" i="7"/>
  <c r="AV75" i="7"/>
  <c r="P75" i="7"/>
  <c r="S75" i="7" s="1"/>
  <c r="Z75" i="7"/>
  <c r="N75" i="7"/>
  <c r="AA75" i="7"/>
  <c r="O75" i="7"/>
  <c r="AV62" i="7"/>
  <c r="O62" i="7"/>
  <c r="P62" i="7"/>
  <c r="S62" i="7" s="1"/>
  <c r="N62" i="7"/>
  <c r="AB62" i="7"/>
  <c r="AA62" i="7"/>
  <c r="Z62" i="7"/>
  <c r="AV41" i="7"/>
  <c r="AV31" i="7"/>
  <c r="AV28" i="7"/>
  <c r="AV26" i="7"/>
  <c r="AV13" i="7"/>
  <c r="Z94" i="7"/>
  <c r="N94" i="7"/>
  <c r="P94" i="7"/>
  <c r="S94" i="7" s="1"/>
  <c r="O94" i="7"/>
  <c r="AB94" i="7"/>
  <c r="AV94" i="7"/>
  <c r="AA94" i="7"/>
  <c r="AV82" i="7"/>
  <c r="AA82" i="7"/>
  <c r="O82" i="7"/>
  <c r="Z82" i="7"/>
  <c r="AB82" i="7"/>
  <c r="P82" i="7"/>
  <c r="S82" i="7" s="1"/>
  <c r="N82" i="7"/>
  <c r="P108" i="7"/>
  <c r="S108" i="7" s="1"/>
  <c r="Y108" i="7" s="1"/>
  <c r="O108" i="7"/>
  <c r="AB108" i="7"/>
  <c r="N108" i="7"/>
  <c r="AV108" i="7"/>
  <c r="AA108" i="7"/>
  <c r="Z108" i="7"/>
  <c r="AV79" i="7"/>
  <c r="O79" i="7"/>
  <c r="N79" i="7"/>
  <c r="Z79" i="7"/>
  <c r="AA79" i="7"/>
  <c r="P79" i="7"/>
  <c r="S79" i="7" s="1"/>
  <c r="AB79" i="7"/>
  <c r="Q116" i="7"/>
  <c r="AG116" i="7"/>
  <c r="R116" i="7"/>
  <c r="X116" i="7" s="1"/>
  <c r="AM116" i="7"/>
  <c r="N116" i="7"/>
  <c r="AA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AJ116" i="7"/>
  <c r="N102" i="7"/>
  <c r="P102" i="7"/>
  <c r="S102" i="7" s="1"/>
  <c r="O102" i="7"/>
  <c r="AB102" i="7"/>
  <c r="AA102" i="7"/>
  <c r="AV102" i="7"/>
  <c r="Z102" i="7"/>
  <c r="AC134" i="7"/>
  <c r="N134" i="7"/>
  <c r="Q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P134" i="7"/>
  <c r="Z134" i="7"/>
  <c r="U134" i="7"/>
  <c r="T134" i="7"/>
  <c r="AW134" i="7"/>
  <c r="AB128" i="7"/>
  <c r="AH128" i="7"/>
  <c r="AI128" i="7"/>
  <c r="R128" i="7"/>
  <c r="T128" i="7"/>
  <c r="AV128" i="7"/>
  <c r="Z128" i="7"/>
  <c r="S128" i="7"/>
  <c r="AE128" i="7"/>
  <c r="AX128" i="7"/>
  <c r="AJ128" i="7"/>
  <c r="N128" i="7"/>
  <c r="AD128" i="7"/>
  <c r="AG128" i="7"/>
  <c r="AA128" i="7"/>
  <c r="AM128" i="7"/>
  <c r="Y128" i="7"/>
  <c r="V128" i="7" s="1"/>
  <c r="AC128" i="7"/>
  <c r="AY128" i="7"/>
  <c r="P128" i="7"/>
  <c r="O128" i="7"/>
  <c r="Q128" i="7"/>
  <c r="X128" i="7"/>
  <c r="AF128" i="7"/>
  <c r="BA128" i="7"/>
  <c r="AJ122" i="7"/>
  <c r="AC122" i="7"/>
  <c r="Q122" i="7"/>
  <c r="AI122" i="7"/>
  <c r="AG122" i="7"/>
  <c r="AB122" i="7"/>
  <c r="AF122" i="7"/>
  <c r="P122" i="7"/>
  <c r="AH122" i="7"/>
  <c r="W122" i="7"/>
  <c r="AS122" i="7" s="1"/>
  <c r="O122" i="7"/>
  <c r="AM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AV53" i="7"/>
  <c r="P56" i="7"/>
  <c r="S56" i="7" s="1"/>
  <c r="AV56" i="7"/>
  <c r="N56" i="7"/>
  <c r="Z56" i="7"/>
  <c r="AV58" i="7"/>
  <c r="N58" i="7"/>
  <c r="Z58" i="7"/>
  <c r="P58" i="7"/>
  <c r="S58" i="7" s="1"/>
  <c r="AV33" i="7"/>
  <c r="AA33" i="7"/>
  <c r="AV19" i="7"/>
  <c r="AV16" i="7"/>
  <c r="AV14" i="7"/>
  <c r="AV20" i="7"/>
  <c r="P20" i="7"/>
  <c r="S20" i="7" s="1"/>
  <c r="P107" i="7"/>
  <c r="S107" i="7" s="1"/>
  <c r="O107" i="7"/>
  <c r="N107" i="7"/>
  <c r="AV107" i="7"/>
  <c r="AB107" i="7"/>
  <c r="AA107" i="7"/>
  <c r="Z107" i="7"/>
  <c r="Z95" i="7"/>
  <c r="P95" i="7"/>
  <c r="S95" i="7" s="1"/>
  <c r="N95" i="7"/>
  <c r="AB95" i="7"/>
  <c r="AV95" i="7"/>
  <c r="AA95" i="7"/>
  <c r="O95" i="7"/>
  <c r="Z119" i="7"/>
  <c r="AC119" i="7" s="1"/>
  <c r="AV119" i="7"/>
  <c r="AX119" i="7"/>
  <c r="N119" i="7"/>
  <c r="Q119" i="7" s="1"/>
  <c r="S119" i="7"/>
  <c r="AF119" i="7"/>
  <c r="AA119" i="7"/>
  <c r="AD119" i="7" s="1"/>
  <c r="AH119" i="7" s="1"/>
  <c r="AB119" i="7"/>
  <c r="O119" i="7"/>
  <c r="P119" i="7"/>
  <c r="AE119" i="7"/>
  <c r="AJ119" i="7" s="1"/>
  <c r="R119" i="7"/>
  <c r="X119" i="7" s="1"/>
  <c r="AI119" i="7"/>
  <c r="AM119" i="7"/>
  <c r="AG119" i="7"/>
  <c r="AB110" i="7"/>
  <c r="AA110" i="7"/>
  <c r="Z110" i="7"/>
  <c r="N110" i="7"/>
  <c r="P110" i="7"/>
  <c r="S110" i="7" s="1"/>
  <c r="Y110" i="7" s="1"/>
  <c r="O110" i="7"/>
  <c r="AV110" i="7"/>
  <c r="P106" i="7"/>
  <c r="S106" i="7" s="1"/>
  <c r="O106" i="7"/>
  <c r="N106" i="7"/>
  <c r="AA106" i="7"/>
  <c r="AV106" i="7"/>
  <c r="Z106" i="7"/>
  <c r="AB106" i="7"/>
  <c r="O96" i="7"/>
  <c r="N96" i="7"/>
  <c r="AV96" i="7"/>
  <c r="AB96" i="7"/>
  <c r="P96" i="7"/>
  <c r="S96" i="7" s="1"/>
  <c r="AA96" i="7"/>
  <c r="Z96" i="7"/>
  <c r="U142" i="7"/>
  <c r="P142" i="7"/>
  <c r="Z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X136" i="7"/>
  <c r="AV136" i="7"/>
  <c r="N136" i="7"/>
  <c r="AE136" i="7"/>
  <c r="R136" i="7"/>
  <c r="AG136" i="7"/>
  <c r="Z136" i="7"/>
  <c r="Q136" i="7"/>
  <c r="AF136" i="7"/>
  <c r="AI136" i="7" s="1"/>
  <c r="AM136" i="7"/>
  <c r="AX136" i="7"/>
  <c r="O136" i="7"/>
  <c r="P136" i="7"/>
  <c r="S136" i="7"/>
  <c r="AA136" i="7"/>
  <c r="AC136" i="7"/>
  <c r="AH136" i="7"/>
  <c r="AD136" i="7"/>
  <c r="AJ136" i="7"/>
  <c r="AB136" i="7"/>
  <c r="Q130" i="7"/>
  <c r="AG130" i="7"/>
  <c r="AJ130" i="7"/>
  <c r="O130" i="7"/>
  <c r="S130" i="7"/>
  <c r="R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W130" i="7"/>
  <c r="T130" i="7" s="1"/>
  <c r="AX130" i="7"/>
  <c r="AV54" i="7"/>
  <c r="AV68" i="7"/>
  <c r="AA68" i="7"/>
  <c r="AB68" i="7"/>
  <c r="P68" i="7"/>
  <c r="S68" i="7" s="1"/>
  <c r="Z68" i="7"/>
  <c r="O68" i="7"/>
  <c r="N68" i="7"/>
  <c r="AV50" i="7"/>
  <c r="Z50" i="7"/>
  <c r="P50" i="7"/>
  <c r="S50" i="7" s="1"/>
  <c r="AV63" i="7"/>
  <c r="O63" i="7"/>
  <c r="N63" i="7"/>
  <c r="AB63" i="7"/>
  <c r="AA63" i="7"/>
  <c r="Z63" i="7"/>
  <c r="P63" i="7"/>
  <c r="S63" i="7" s="1"/>
  <c r="AV23" i="7"/>
  <c r="AV46" i="7"/>
  <c r="Z46" i="7"/>
  <c r="AV44" i="7"/>
  <c r="P44" i="7"/>
  <c r="S44" i="7" s="1"/>
  <c r="N44" i="7"/>
  <c r="Z44" i="7"/>
  <c r="AV42" i="7"/>
  <c r="AB42" i="7"/>
  <c r="Z42" i="7"/>
  <c r="P42" i="7"/>
  <c r="S42" i="7" s="1"/>
  <c r="AV11" i="7"/>
  <c r="AV101" i="7"/>
  <c r="AB101" i="7"/>
  <c r="AA101" i="7"/>
  <c r="Z101" i="7"/>
  <c r="P101" i="7"/>
  <c r="S101" i="7" s="1"/>
  <c r="O101" i="7"/>
  <c r="N101" i="7"/>
  <c r="AV78" i="7"/>
  <c r="Z78" i="7"/>
  <c r="AA78" i="7"/>
  <c r="P78" i="7"/>
  <c r="S78" i="7" s="1"/>
  <c r="O78" i="7"/>
  <c r="N78" i="7"/>
  <c r="AB78" i="7"/>
  <c r="AV87" i="7"/>
  <c r="AA87" i="7"/>
  <c r="P87" i="7"/>
  <c r="S87" i="7" s="1"/>
  <c r="Z87" i="7"/>
  <c r="AB87" i="7"/>
  <c r="O87" i="7"/>
  <c r="N87" i="7"/>
  <c r="AV83" i="7"/>
  <c r="Z83" i="7"/>
  <c r="AB83" i="7"/>
  <c r="P83" i="7"/>
  <c r="S83" i="7" s="1"/>
  <c r="AA83" i="7"/>
  <c r="O83" i="7"/>
  <c r="N83" i="7"/>
  <c r="AA104" i="7"/>
  <c r="AV104" i="7"/>
  <c r="Z104" i="7"/>
  <c r="O104" i="7"/>
  <c r="N104" i="7"/>
  <c r="AB104" i="7"/>
  <c r="P104" i="7"/>
  <c r="S104" i="7" s="1"/>
  <c r="AE132" i="7"/>
  <c r="AI132" i="7"/>
  <c r="Z132" i="7"/>
  <c r="O132" i="7"/>
  <c r="AV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X132" i="7"/>
  <c r="AB132" i="7"/>
  <c r="AJ132" i="7"/>
  <c r="AS132" i="7"/>
  <c r="Q132" i="7"/>
  <c r="AX132" i="7"/>
  <c r="AG132" i="7"/>
  <c r="U132" i="7"/>
  <c r="T132" i="7"/>
  <c r="AC132" i="7"/>
  <c r="AA150" i="7"/>
  <c r="AH150" i="7"/>
  <c r="R150" i="7"/>
  <c r="AI150" i="7"/>
  <c r="Z150" i="7"/>
  <c r="AE150" i="7"/>
  <c r="Y150" i="7"/>
  <c r="V150" i="7" s="1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S144" i="7"/>
  <c r="O144" i="7"/>
  <c r="N144" i="7"/>
  <c r="AD144" i="7"/>
  <c r="P144" i="7"/>
  <c r="AA144" i="7"/>
  <c r="AG144" i="7"/>
  <c r="AH144" i="7"/>
  <c r="AE144" i="7"/>
  <c r="X144" i="7"/>
  <c r="Z144" i="7"/>
  <c r="AM144" i="7"/>
  <c r="AV144" i="7"/>
  <c r="AF144" i="7"/>
  <c r="Q144" i="7"/>
  <c r="R144" i="7"/>
  <c r="AI144" i="7"/>
  <c r="AB144" i="7"/>
  <c r="AJ144" i="7"/>
  <c r="AX144" i="7"/>
  <c r="AC144" i="7"/>
  <c r="Z138" i="7"/>
  <c r="AY138" i="7"/>
  <c r="O138" i="7"/>
  <c r="Y138" i="7"/>
  <c r="V138" i="7" s="1"/>
  <c r="AC138" i="7"/>
  <c r="AD138" i="7"/>
  <c r="AV138" i="7"/>
  <c r="AX138" i="7"/>
  <c r="AA138" i="7"/>
  <c r="P138" i="7"/>
  <c r="AJ138" i="7"/>
  <c r="S138" i="7"/>
  <c r="AE138" i="7"/>
  <c r="Q138" i="7"/>
  <c r="AM138" i="7"/>
  <c r="AH138" i="7"/>
  <c r="AB138" i="7"/>
  <c r="AI138" i="7"/>
  <c r="R138" i="7"/>
  <c r="N138" i="7"/>
  <c r="AF138" i="7"/>
  <c r="X138" i="7"/>
  <c r="AG138" i="7"/>
  <c r="AV57" i="7"/>
  <c r="P57" i="7"/>
  <c r="S57" i="7" s="1"/>
  <c r="Z57" i="7"/>
  <c r="N57" i="7"/>
  <c r="AB57" i="7"/>
  <c r="AV76" i="7"/>
  <c r="Z76" i="7"/>
  <c r="AB76" i="7"/>
  <c r="AA76" i="7"/>
  <c r="N76" i="7"/>
  <c r="P76" i="7"/>
  <c r="S76" i="7" s="1"/>
  <c r="O76" i="7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8" i="7"/>
  <c r="V115" i="7"/>
  <c r="V119" i="7"/>
  <c r="V117" i="7"/>
  <c r="AC17" i="4"/>
  <c r="AC15" i="4"/>
  <c r="AC18" i="4"/>
  <c r="AC20" i="4"/>
  <c r="AD13" i="4"/>
  <c r="AC14" i="4"/>
  <c r="AC16" i="4"/>
  <c r="AC19" i="4"/>
  <c r="BP70" i="1" l="1"/>
  <c r="BQ70" i="1"/>
  <c r="BO70" i="1"/>
  <c r="BR70" i="1"/>
  <c r="BP75" i="1"/>
  <c r="BO75" i="1"/>
  <c r="BQ75" i="1"/>
  <c r="BR75" i="1"/>
  <c r="BP74" i="1"/>
  <c r="BO74" i="1"/>
  <c r="BR74" i="1"/>
  <c r="BQ74" i="1"/>
  <c r="BO73" i="1"/>
  <c r="BQ73" i="1"/>
  <c r="BR73" i="1"/>
  <c r="BP73" i="1"/>
  <c r="BP72" i="1"/>
  <c r="BQ72" i="1"/>
  <c r="BO72" i="1"/>
  <c r="BR72" i="1"/>
  <c r="BP71" i="1"/>
  <c r="BO71" i="1"/>
  <c r="BR71" i="1"/>
  <c r="BQ71" i="1"/>
  <c r="BP51" i="1"/>
  <c r="BQ44" i="1"/>
  <c r="BR44" i="1"/>
  <c r="BP58" i="1"/>
  <c r="BO44" i="1"/>
  <c r="BP68" i="1"/>
  <c r="BP69" i="1"/>
  <c r="BQ69" i="1"/>
  <c r="BO69" i="1"/>
  <c r="BR69" i="1"/>
  <c r="BP60" i="1"/>
  <c r="BO67" i="1"/>
  <c r="BQ67" i="1"/>
  <c r="BR67" i="1"/>
  <c r="BR68" i="1"/>
  <c r="BO68" i="1"/>
  <c r="BQ68" i="1"/>
  <c r="BO59" i="1"/>
  <c r="BQ59" i="1"/>
  <c r="BR59" i="1"/>
  <c r="BP59" i="1"/>
  <c r="BP67" i="1"/>
  <c r="BR60" i="1"/>
  <c r="BO58" i="1"/>
  <c r="BR58" i="1"/>
  <c r="BQ58" i="1"/>
  <c r="BO60" i="1"/>
  <c r="BR66" i="1"/>
  <c r="BQ66" i="1"/>
  <c r="BO66" i="1"/>
  <c r="BP66" i="1"/>
  <c r="BP65" i="1"/>
  <c r="BR65" i="1"/>
  <c r="BO65" i="1"/>
  <c r="BP64" i="1"/>
  <c r="BR64" i="1"/>
  <c r="BO64" i="1"/>
  <c r="BQ63" i="1"/>
  <c r="BR63" i="1"/>
  <c r="BO63" i="1"/>
  <c r="BP62" i="1"/>
  <c r="BO62" i="1"/>
  <c r="BR62" i="1"/>
  <c r="BQ62" i="1"/>
  <c r="BO61" i="1"/>
  <c r="BQ61" i="1"/>
  <c r="BR61" i="1"/>
  <c r="BP57" i="1"/>
  <c r="BP53" i="1"/>
  <c r="BR53" i="1"/>
  <c r="BP55" i="1"/>
  <c r="BP54" i="1"/>
  <c r="BO54" i="1"/>
  <c r="BR54" i="1"/>
  <c r="BO53" i="1"/>
  <c r="BP52" i="1"/>
  <c r="BQ50" i="1"/>
  <c r="JJ22" i="1" a="1"/>
  <c r="JJ22" i="1" s="1"/>
  <c r="JH22" i="1" a="1"/>
  <c r="JH22" i="1" s="1"/>
  <c r="BP19" i="1"/>
  <c r="AL146" i="1"/>
  <c r="AN146" i="1" s="1"/>
  <c r="JA146" i="1" s="1"/>
  <c r="AL143" i="1"/>
  <c r="AN143" i="1" s="1"/>
  <c r="JA143" i="1" s="1"/>
  <c r="AK139" i="1"/>
  <c r="AK141" i="1"/>
  <c r="AK142" i="1"/>
  <c r="AK140" i="1"/>
  <c r="AK145" i="1"/>
  <c r="AK150" i="1"/>
  <c r="BP14" i="1"/>
  <c r="CM87" i="1"/>
  <c r="BP17" i="1"/>
  <c r="BP49" i="1"/>
  <c r="BP16" i="1"/>
  <c r="BP12" i="1"/>
  <c r="BP36" i="1"/>
  <c r="BP34" i="1"/>
  <c r="BP31" i="1"/>
  <c r="BP47" i="1"/>
  <c r="BP40" i="1"/>
  <c r="BP28" i="1"/>
  <c r="BP32" i="1"/>
  <c r="BP25" i="1"/>
  <c r="BP45" i="1"/>
  <c r="BP9" i="1"/>
  <c r="BP10" i="1"/>
  <c r="BP39" i="1"/>
  <c r="BP37" i="1"/>
  <c r="BP13" i="1"/>
  <c r="BP33" i="1"/>
  <c r="BP35" i="1"/>
  <c r="BP26" i="1"/>
  <c r="BP29" i="1"/>
  <c r="BP27" i="1"/>
  <c r="BP43" i="1"/>
  <c r="BR26" i="1"/>
  <c r="BQ26" i="1"/>
  <c r="BO26" i="1"/>
  <c r="BR33" i="1"/>
  <c r="BO35" i="1"/>
  <c r="BR36" i="1"/>
  <c r="BO18" i="1"/>
  <c r="BO33" i="1"/>
  <c r="BQ35" i="1"/>
  <c r="BO15" i="1"/>
  <c r="BO24" i="1"/>
  <c r="BR41" i="1"/>
  <c r="BR18" i="1"/>
  <c r="BR35" i="1"/>
  <c r="BQ24" i="1"/>
  <c r="BQ18" i="1"/>
  <c r="BR34" i="1"/>
  <c r="BR24" i="1"/>
  <c r="BO41" i="1"/>
  <c r="BR15" i="1"/>
  <c r="BR42" i="1"/>
  <c r="BO17" i="1"/>
  <c r="BQ36" i="1"/>
  <c r="BQ42" i="1"/>
  <c r="BQ15" i="1"/>
  <c r="BO34" i="1"/>
  <c r="BR16" i="1"/>
  <c r="BO16" i="1"/>
  <c r="BQ16" i="1"/>
  <c r="BQ41" i="1"/>
  <c r="BQ19" i="1"/>
  <c r="BR19" i="1"/>
  <c r="BO19" i="1"/>
  <c r="BO42" i="1"/>
  <c r="BO36" i="1"/>
  <c r="BR17" i="1"/>
  <c r="BQ43" i="1"/>
  <c r="BR43" i="1"/>
  <c r="BO43" i="1"/>
  <c r="BO25" i="1"/>
  <c r="BQ25" i="1"/>
  <c r="BR25" i="1"/>
  <c r="BQ17" i="1"/>
  <c r="BR50" i="1"/>
  <c r="BO50" i="1"/>
  <c r="HZ9" i="1"/>
  <c r="BO52" i="1"/>
  <c r="BO51" i="1"/>
  <c r="BQ51" i="1"/>
  <c r="BR51" i="1"/>
  <c r="BR52" i="1"/>
  <c r="HX9" i="1"/>
  <c r="AK146" i="1"/>
  <c r="AO146" i="1" s="1"/>
  <c r="IZ146" i="1" s="1"/>
  <c r="AO150" i="1"/>
  <c r="IZ150" i="1" s="1"/>
  <c r="AO139" i="1"/>
  <c r="IZ139" i="1" s="1"/>
  <c r="AO141" i="1"/>
  <c r="IZ141" i="1" s="1"/>
  <c r="AP142" i="1"/>
  <c r="AO142" i="1"/>
  <c r="IZ142" i="1" s="1"/>
  <c r="IH142" i="1" s="1"/>
  <c r="IN149" i="1"/>
  <c r="U149" i="1"/>
  <c r="T149" i="1"/>
  <c r="AK149" i="1"/>
  <c r="IN140" i="1"/>
  <c r="T140" i="1"/>
  <c r="U140" i="1"/>
  <c r="IN145" i="1"/>
  <c r="U145" i="1"/>
  <c r="T145" i="1"/>
  <c r="AL145" i="1"/>
  <c r="AN145" i="1" s="1"/>
  <c r="JA145" i="1" s="1"/>
  <c r="AL149" i="1"/>
  <c r="AN149" i="1" s="1"/>
  <c r="JA149" i="1" s="1"/>
  <c r="IN148" i="1"/>
  <c r="U148" i="1"/>
  <c r="T148" i="1"/>
  <c r="IN150" i="1"/>
  <c r="U150" i="1"/>
  <c r="T150" i="1"/>
  <c r="IN147" i="1"/>
  <c r="T147" i="1"/>
  <c r="U147" i="1"/>
  <c r="AL147" i="1"/>
  <c r="AN147" i="1" s="1"/>
  <c r="JA147" i="1" s="1"/>
  <c r="IN144" i="1"/>
  <c r="T144" i="1"/>
  <c r="U144" i="1"/>
  <c r="IN146" i="1"/>
  <c r="T146" i="1"/>
  <c r="U146" i="1"/>
  <c r="IN143" i="1"/>
  <c r="U143" i="1"/>
  <c r="T143" i="1"/>
  <c r="AL144" i="1"/>
  <c r="AN144" i="1" s="1"/>
  <c r="JA144" i="1" s="1"/>
  <c r="AK147" i="1"/>
  <c r="AL141" i="1"/>
  <c r="AN141" i="1" s="1"/>
  <c r="JA141" i="1" s="1"/>
  <c r="IN139" i="1"/>
  <c r="T139" i="1"/>
  <c r="U139" i="1"/>
  <c r="AO148" i="1"/>
  <c r="IZ148" i="1" s="1"/>
  <c r="IH148" i="1" s="1"/>
  <c r="AP148" i="1"/>
  <c r="AL150" i="1"/>
  <c r="AN150" i="1" s="1"/>
  <c r="JA150" i="1" s="1"/>
  <c r="IN141" i="1"/>
  <c r="U141" i="1"/>
  <c r="T141" i="1"/>
  <c r="AL139" i="1"/>
  <c r="AN139" i="1" s="1"/>
  <c r="JA139" i="1" s="1"/>
  <c r="AK144" i="1"/>
  <c r="AL140" i="1"/>
  <c r="AN140" i="1" s="1"/>
  <c r="JA140" i="1" s="1"/>
  <c r="IN142" i="1"/>
  <c r="T142" i="1"/>
  <c r="U142" i="1"/>
  <c r="AO145" i="1"/>
  <c r="IZ145" i="1" s="1"/>
  <c r="AP145" i="1"/>
  <c r="AP140" i="1"/>
  <c r="AO140" i="1"/>
  <c r="IZ140" i="1" s="1"/>
  <c r="AP143" i="1"/>
  <c r="AO143" i="1"/>
  <c r="IZ143" i="1" s="1"/>
  <c r="HW11" i="1"/>
  <c r="HX11" i="1"/>
  <c r="HV11" i="1"/>
  <c r="ID11" i="1"/>
  <c r="HU11" i="1"/>
  <c r="HT11" i="1"/>
  <c r="HZ11" i="1"/>
  <c r="BR11" i="1"/>
  <c r="BO14" i="1"/>
  <c r="BO13" i="1"/>
  <c r="BR38" i="1"/>
  <c r="BR56" i="1"/>
  <c r="BO46" i="1"/>
  <c r="BO20" i="1"/>
  <c r="BQ14" i="1"/>
  <c r="BR14" i="1"/>
  <c r="BQ56" i="1"/>
  <c r="BR39" i="1"/>
  <c r="BR46" i="1"/>
  <c r="BR48" i="1"/>
  <c r="BR55" i="1"/>
  <c r="BO30" i="1"/>
  <c r="BQ37" i="1"/>
  <c r="BO11" i="1"/>
  <c r="BO38" i="1"/>
  <c r="BO39" i="1"/>
  <c r="BR13" i="1"/>
  <c r="BO55" i="1"/>
  <c r="BQ38" i="1"/>
  <c r="BQ11" i="1"/>
  <c r="BR47" i="1"/>
  <c r="BO23" i="1"/>
  <c r="BO56" i="1"/>
  <c r="BQ48" i="1"/>
  <c r="BO32" i="1"/>
  <c r="BO31" i="1"/>
  <c r="BR57" i="1"/>
  <c r="BR10" i="1"/>
  <c r="BR22" i="1"/>
  <c r="BR32" i="1"/>
  <c r="BR31" i="1"/>
  <c r="BQ46" i="1"/>
  <c r="BQ20" i="1"/>
  <c r="BO57" i="1"/>
  <c r="BR23" i="1"/>
  <c r="BQ47" i="1"/>
  <c r="BR20" i="1"/>
  <c r="BO10" i="1"/>
  <c r="BQ22" i="1"/>
  <c r="BQ23" i="1"/>
  <c r="BO22" i="1"/>
  <c r="BO45" i="1"/>
  <c r="BO47" i="1"/>
  <c r="BO28" i="1"/>
  <c r="BR28" i="1"/>
  <c r="BR9" i="1"/>
  <c r="BR49" i="1"/>
  <c r="BO48" i="1"/>
  <c r="BR30" i="1"/>
  <c r="BQ30" i="1"/>
  <c r="BQ27" i="1"/>
  <c r="BO27" i="1"/>
  <c r="BR27" i="1"/>
  <c r="BQ40" i="1"/>
  <c r="BO40" i="1"/>
  <c r="BR40" i="1"/>
  <c r="BO49" i="1"/>
  <c r="BO9" i="1"/>
  <c r="BQ45" i="1"/>
  <c r="BR45" i="1"/>
  <c r="BO37" i="1"/>
  <c r="BR37" i="1"/>
  <c r="BQ29" i="1"/>
  <c r="BR29" i="1"/>
  <c r="BO29" i="1"/>
  <c r="BR12" i="1"/>
  <c r="BQ12" i="1"/>
  <c r="BO12" i="1"/>
  <c r="BQ21" i="1"/>
  <c r="BR21" i="1"/>
  <c r="BO21" i="1"/>
  <c r="GU2" i="1"/>
  <c r="GX2" i="1"/>
  <c r="GN9" i="1"/>
  <c r="HV9" i="1" s="1"/>
  <c r="BA151" i="1"/>
  <c r="AY114" i="7"/>
  <c r="V114" i="7"/>
  <c r="AE114" i="7"/>
  <c r="AJ114" i="7" s="1"/>
  <c r="AD114" i="7"/>
  <c r="AH114" i="7" s="1"/>
  <c r="Q114" i="7"/>
  <c r="AF114" i="7"/>
  <c r="AF113" i="7"/>
  <c r="Q113" i="7"/>
  <c r="Q112" i="7"/>
  <c r="R112" i="7"/>
  <c r="X112" i="7" s="1"/>
  <c r="AE112" i="7"/>
  <c r="AJ112" i="7" s="1"/>
  <c r="AD112" i="7"/>
  <c r="AH112" i="7" s="1"/>
  <c r="AC112" i="7"/>
  <c r="AI113" i="7"/>
  <c r="AG113" i="7"/>
  <c r="AM113" i="7"/>
  <c r="AY112" i="7"/>
  <c r="V112" i="7"/>
  <c r="AY113" i="7"/>
  <c r="V113" i="7"/>
  <c r="AI112" i="7"/>
  <c r="AG112" i="7"/>
  <c r="AM112" i="7"/>
  <c r="AC113" i="7"/>
  <c r="Q111" i="7"/>
  <c r="AD113" i="7"/>
  <c r="AH113" i="7" s="1"/>
  <c r="R113" i="7"/>
  <c r="X113" i="7" s="1"/>
  <c r="L6" i="7" a="1"/>
  <c r="L6" i="7" s="1"/>
  <c r="L5" i="7" a="1"/>
  <c r="L5" i="7" s="1"/>
  <c r="L2" i="7" a="1"/>
  <c r="L2" i="7" s="1"/>
  <c r="JA9" i="7" a="1"/>
  <c r="IK73" i="7"/>
  <c r="IK41" i="7"/>
  <c r="IJ41" i="7"/>
  <c r="IW41" i="7"/>
  <c r="IR41" i="7"/>
  <c r="IN41" i="7"/>
  <c r="IJ44" i="7"/>
  <c r="IK44" i="7"/>
  <c r="IW44" i="7"/>
  <c r="IN44" i="7"/>
  <c r="IR44" i="7"/>
  <c r="IW73" i="7"/>
  <c r="IJ73" i="7"/>
  <c r="IR73" i="7"/>
  <c r="IN73" i="7"/>
  <c r="IR12" i="7"/>
  <c r="IK12" i="7"/>
  <c r="IJ12" i="7"/>
  <c r="IN12" i="7"/>
  <c r="IQ12" i="7"/>
  <c r="IW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N65" i="7"/>
  <c r="IW65" i="7"/>
  <c r="IR65" i="7"/>
  <c r="IJ65" i="7"/>
  <c r="IK65" i="7"/>
  <c r="IK85" i="7"/>
  <c r="IR85" i="7"/>
  <c r="IW85" i="7"/>
  <c r="IN85" i="7"/>
  <c r="IJ85" i="7"/>
  <c r="IJ39" i="7"/>
  <c r="IW39" i="7"/>
  <c r="IN39" i="7"/>
  <c r="IK39" i="7"/>
  <c r="IR39" i="7"/>
  <c r="IJ114" i="7"/>
  <c r="IW114" i="7"/>
  <c r="IN114" i="7"/>
  <c r="IR114" i="7"/>
  <c r="IV114" i="7"/>
  <c r="IK114" i="7"/>
  <c r="IU114" i="7"/>
  <c r="IE114" i="7" s="1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K34" i="7"/>
  <c r="IR34" i="7"/>
  <c r="IN34" i="7"/>
  <c r="IJ34" i="7"/>
  <c r="IK54" i="7"/>
  <c r="IW54" i="7"/>
  <c r="IR54" i="7"/>
  <c r="IN54" i="7"/>
  <c r="IJ54" i="7"/>
  <c r="IJ49" i="7"/>
  <c r="IK49" i="7"/>
  <c r="IW49" i="7"/>
  <c r="IR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N46" i="7"/>
  <c r="IK46" i="7"/>
  <c r="IJ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W107" i="7"/>
  <c r="IJ107" i="7"/>
  <c r="IN107" i="7"/>
  <c r="IK107" i="7"/>
  <c r="IR107" i="7"/>
  <c r="IK35" i="7"/>
  <c r="IR35" i="7"/>
  <c r="IN35" i="7"/>
  <c r="IJ35" i="7"/>
  <c r="IW35" i="7"/>
  <c r="IJ17" i="7"/>
  <c r="IN17" i="7"/>
  <c r="IK17" i="7"/>
  <c r="IR17" i="7"/>
  <c r="IW17" i="7"/>
  <c r="IN70" i="7"/>
  <c r="IW70" i="7"/>
  <c r="IK70" i="7"/>
  <c r="IR70" i="7"/>
  <c r="IJ70" i="7"/>
  <c r="IW56" i="7"/>
  <c r="IR56" i="7"/>
  <c r="IJ56" i="7"/>
  <c r="IN56" i="7"/>
  <c r="IK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W77" i="7"/>
  <c r="IN77" i="7"/>
  <c r="IR77" i="7"/>
  <c r="IJ77" i="7"/>
  <c r="IK25" i="7"/>
  <c r="IW25" i="7"/>
  <c r="IN25" i="7"/>
  <c r="IJ25" i="7"/>
  <c r="IR25" i="7"/>
  <c r="IW62" i="7"/>
  <c r="IK62" i="7"/>
  <c r="IR62" i="7"/>
  <c r="IN62" i="7"/>
  <c r="IJ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R45" i="7"/>
  <c r="IN45" i="7"/>
  <c r="IJ28" i="7"/>
  <c r="IR28" i="7"/>
  <c r="IK28" i="7"/>
  <c r="IW28" i="7"/>
  <c r="IN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K10" i="7"/>
  <c r="IN10" i="7"/>
  <c r="IJ10" i="7"/>
  <c r="IW10" i="7"/>
  <c r="IK61" i="7"/>
  <c r="IW61" i="7"/>
  <c r="IJ61" i="7"/>
  <c r="IR61" i="7"/>
  <c r="IN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W80" i="7"/>
  <c r="IN80" i="7"/>
  <c r="IK80" i="7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J24" i="7"/>
  <c r="IR24" i="7"/>
  <c r="IW24" i="7"/>
  <c r="IN24" i="7"/>
  <c r="IK24" i="7"/>
  <c r="IJ64" i="7"/>
  <c r="IN64" i="7"/>
  <c r="IR64" i="7"/>
  <c r="IW64" i="7"/>
  <c r="IK64" i="7"/>
  <c r="IK82" i="7"/>
  <c r="IN82" i="7"/>
  <c r="IR82" i="7"/>
  <c r="IJ82" i="7"/>
  <c r="IW82" i="7"/>
  <c r="IK48" i="7"/>
  <c r="IW48" i="7"/>
  <c r="IN48" i="7"/>
  <c r="IJ48" i="7"/>
  <c r="IR48" i="7"/>
  <c r="IJ93" i="7"/>
  <c r="IW93" i="7"/>
  <c r="IU93" i="7"/>
  <c r="IE93" i="7" s="1"/>
  <c r="IR93" i="7"/>
  <c r="IN93" i="7"/>
  <c r="IK93" i="7"/>
  <c r="IN75" i="7"/>
  <c r="IK75" i="7"/>
  <c r="IW75" i="7"/>
  <c r="IJ75" i="7"/>
  <c r="IR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R53" i="7"/>
  <c r="IW53" i="7"/>
  <c r="IK53" i="7"/>
  <c r="IK57" i="7"/>
  <c r="IJ57" i="7"/>
  <c r="IW57" i="7"/>
  <c r="IR57" i="7"/>
  <c r="IN57" i="7"/>
  <c r="IN55" i="7"/>
  <c r="IJ55" i="7"/>
  <c r="IR55" i="7"/>
  <c r="IK55" i="7"/>
  <c r="IW55" i="7"/>
  <c r="IN68" i="7"/>
  <c r="IK68" i="7"/>
  <c r="IR68" i="7"/>
  <c r="IJ68" i="7"/>
  <c r="IW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W37" i="7"/>
  <c r="IK37" i="7"/>
  <c r="IJ37" i="7"/>
  <c r="IR37" i="7"/>
  <c r="IN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K15" i="7"/>
  <c r="IR15" i="7"/>
  <c r="IJ15" i="7"/>
  <c r="IN15" i="7"/>
  <c r="IW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K27" i="7"/>
  <c r="IR27" i="7"/>
  <c r="IN27" i="7"/>
  <c r="IW27" i="7"/>
  <c r="IJ27" i="7"/>
  <c r="IW72" i="7"/>
  <c r="IK72" i="7"/>
  <c r="IR72" i="7"/>
  <c r="IN72" i="7"/>
  <c r="IJ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R83" i="7"/>
  <c r="IN83" i="7"/>
  <c r="IJ83" i="7"/>
  <c r="IW83" i="7"/>
  <c r="IK83" i="7"/>
  <c r="IW11" i="7"/>
  <c r="IQ11" i="7"/>
  <c r="IR11" i="7"/>
  <c r="IJ11" i="7"/>
  <c r="IP11" i="7"/>
  <c r="IK11" i="7"/>
  <c r="IN11" i="7"/>
  <c r="IK23" i="7"/>
  <c r="IR23" i="7"/>
  <c r="IJ23" i="7"/>
  <c r="IN23" i="7"/>
  <c r="IW23" i="7"/>
  <c r="IW9" i="7"/>
  <c r="IK9" i="7"/>
  <c r="IR9" i="7"/>
  <c r="IN9" i="7"/>
  <c r="IP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R110" i="7"/>
  <c r="IW110" i="7"/>
  <c r="IU110" i="7"/>
  <c r="IE110" i="7" s="1"/>
  <c r="IK110" i="7"/>
  <c r="IJ110" i="7"/>
  <c r="IN110" i="7"/>
  <c r="IW20" i="7"/>
  <c r="IQ20" i="7"/>
  <c r="IN20" i="7"/>
  <c r="IP20" i="7"/>
  <c r="IK20" i="7"/>
  <c r="IT20" i="7"/>
  <c r="IR20" i="7"/>
  <c r="IS20" i="7" s="1"/>
  <c r="IJ20" i="7"/>
  <c r="IW33" i="7"/>
  <c r="IJ33" i="7"/>
  <c r="IK33" i="7"/>
  <c r="IR33" i="7"/>
  <c r="IN33" i="7"/>
  <c r="IW71" i="7"/>
  <c r="IN71" i="7"/>
  <c r="IJ71" i="7"/>
  <c r="IR71" i="7"/>
  <c r="IK71" i="7"/>
  <c r="IR43" i="7"/>
  <c r="IN43" i="7"/>
  <c r="IK43" i="7"/>
  <c r="IW43" i="7"/>
  <c r="IJ43" i="7"/>
  <c r="IN13" i="7"/>
  <c r="IR13" i="7"/>
  <c r="IJ13" i="7"/>
  <c r="IK13" i="7"/>
  <c r="IW13" i="7"/>
  <c r="IP13" i="7"/>
  <c r="IN16" i="7"/>
  <c r="IP16" i="7"/>
  <c r="IK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K51" i="7"/>
  <c r="IN51" i="7"/>
  <c r="IR51" i="7"/>
  <c r="IJ51" i="7"/>
  <c r="IW19" i="7"/>
  <c r="IK19" i="7"/>
  <c r="IP19" i="7"/>
  <c r="IT19" i="7"/>
  <c r="IJ19" i="7"/>
  <c r="IS19" i="7"/>
  <c r="IN19" i="7"/>
  <c r="IQ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R91" i="7"/>
  <c r="IN91" i="7"/>
  <c r="IW91" i="7"/>
  <c r="IK91" i="7"/>
  <c r="IJ91" i="7"/>
  <c r="IR47" i="7"/>
  <c r="IN47" i="7"/>
  <c r="IK47" i="7"/>
  <c r="IJ47" i="7"/>
  <c r="IW47" i="7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N69" i="7"/>
  <c r="IK69" i="7"/>
  <c r="IW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K84" i="7"/>
  <c r="IW84" i="7"/>
  <c r="IR84" i="7"/>
  <c r="IJ84" i="7"/>
  <c r="IN84" i="7"/>
  <c r="IK74" i="7"/>
  <c r="IN74" i="7"/>
  <c r="IW74" i="7"/>
  <c r="IJ74" i="7"/>
  <c r="IR74" i="7"/>
  <c r="IW79" i="7"/>
  <c r="IN79" i="7"/>
  <c r="IR79" i="7"/>
  <c r="IK79" i="7"/>
  <c r="IJ79" i="7"/>
  <c r="IW52" i="7"/>
  <c r="IK52" i="7"/>
  <c r="IJ52" i="7"/>
  <c r="IR52" i="7"/>
  <c r="IN52" i="7"/>
  <c r="IN109" i="7"/>
  <c r="IV109" i="7"/>
  <c r="IW109" i="7"/>
  <c r="IR109" i="7"/>
  <c r="IK109" i="7"/>
  <c r="IJ109" i="7"/>
  <c r="IJ66" i="7"/>
  <c r="IR66" i="7"/>
  <c r="IW66" i="7"/>
  <c r="IN66" i="7"/>
  <c r="IK66" i="7"/>
  <c r="IJ31" i="7"/>
  <c r="IR31" i="7"/>
  <c r="IN31" i="7"/>
  <c r="IW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J40" i="7"/>
  <c r="IN40" i="7"/>
  <c r="IR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N87" i="7"/>
  <c r="IW87" i="7"/>
  <c r="IK87" i="7"/>
  <c r="IJ87" i="7"/>
  <c r="IP87" i="7"/>
  <c r="IR87" i="7"/>
  <c r="IR63" i="7"/>
  <c r="IN63" i="7"/>
  <c r="IW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W22" i="7"/>
  <c r="IP22" i="7"/>
  <c r="IR22" i="7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K81" i="7"/>
  <c r="IR81" i="7"/>
  <c r="IN81" i="7"/>
  <c r="IJ81" i="7"/>
  <c r="IW81" i="7"/>
  <c r="IN32" i="7"/>
  <c r="IW32" i="7"/>
  <c r="IK32" i="7"/>
  <c r="IJ32" i="7"/>
  <c r="IR32" i="7"/>
  <c r="IN86" i="7"/>
  <c r="IR86" i="7"/>
  <c r="IK86" i="7"/>
  <c r="IJ86" i="7"/>
  <c r="IW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N18" i="7"/>
  <c r="IK18" i="7"/>
  <c r="IR18" i="7"/>
  <c r="IW18" i="7"/>
  <c r="IJ18" i="7"/>
  <c r="IK36" i="7"/>
  <c r="IJ36" i="7"/>
  <c r="IW36" i="7"/>
  <c r="IN36" i="7"/>
  <c r="IR36" i="7"/>
  <c r="IJ38" i="7"/>
  <c r="IR38" i="7"/>
  <c r="IK38" i="7"/>
  <c r="IN38" i="7"/>
  <c r="IW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K59" i="7"/>
  <c r="IN59" i="7"/>
  <c r="IW59" i="7"/>
  <c r="IJ59" i="7"/>
  <c r="IR59" i="7"/>
  <c r="IW88" i="7"/>
  <c r="IJ88" i="7"/>
  <c r="IR88" i="7"/>
  <c r="IN88" i="7"/>
  <c r="IK88" i="7"/>
  <c r="IJ67" i="7"/>
  <c r="IR67" i="7"/>
  <c r="IW67" i="7"/>
  <c r="IN67" i="7"/>
  <c r="IK67" i="7"/>
  <c r="IK42" i="7"/>
  <c r="IN42" i="7"/>
  <c r="IW42" i="7"/>
  <c r="IR42" i="7"/>
  <c r="IJ42" i="7"/>
  <c r="IN26" i="7"/>
  <c r="IW26" i="7"/>
  <c r="IK26" i="7"/>
  <c r="IJ26" i="7"/>
  <c r="IR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R14" i="7"/>
  <c r="IS14" i="7" s="1"/>
  <c r="IP14" i="7"/>
  <c r="IW14" i="7"/>
  <c r="IT14" i="7"/>
  <c r="IK14" i="7"/>
  <c r="IJ14" i="7"/>
  <c r="IR58" i="7"/>
  <c r="IK58" i="7"/>
  <c r="IN58" i="7"/>
  <c r="IJ58" i="7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R21" i="7"/>
  <c r="IS21" i="7" s="1"/>
  <c r="IT21" i="7"/>
  <c r="IP21" i="7"/>
  <c r="IN50" i="7"/>
  <c r="IK50" i="7"/>
  <c r="IJ50" i="7"/>
  <c r="IR50" i="7"/>
  <c r="IW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R29" i="7"/>
  <c r="IW29" i="7"/>
  <c r="IN29" i="7"/>
  <c r="IK29" i="7"/>
  <c r="IW60" i="7"/>
  <c r="IK60" i="7"/>
  <c r="IR60" i="7"/>
  <c r="IJ60" i="7"/>
  <c r="IN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R94" i="7"/>
  <c r="IW94" i="7"/>
  <c r="IK94" i="7"/>
  <c r="IJ94" i="7"/>
  <c r="IN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R89" i="7"/>
  <c r="IN89" i="7"/>
  <c r="IJ89" i="7"/>
  <c r="IW89" i="7"/>
  <c r="IK89" i="7"/>
  <c r="IR90" i="7"/>
  <c r="IJ90" i="7"/>
  <c r="IN90" i="7"/>
  <c r="IW90" i="7"/>
  <c r="IK90" i="7"/>
  <c r="IJ30" i="7"/>
  <c r="IN30" i="7"/>
  <c r="IW30" i="7"/>
  <c r="IK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J113" i="7"/>
  <c r="IU113" i="7"/>
  <c r="IE113" i="7" s="1"/>
  <c r="IK113" i="7"/>
  <c r="IP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W78" i="7"/>
  <c r="IJ78" i="7"/>
  <c r="IN78" i="7"/>
  <c r="IR78" i="7"/>
  <c r="IK78" i="7"/>
  <c r="IN92" i="7"/>
  <c r="IJ92" i="7"/>
  <c r="IW92" i="7"/>
  <c r="IR92" i="7"/>
  <c r="IK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AD111" i="7"/>
  <c r="AH111" i="7" s="1"/>
  <c r="AF111" i="7"/>
  <c r="AY111" i="7"/>
  <c r="V111" i="7"/>
  <c r="AC111" i="7"/>
  <c r="R111" i="7"/>
  <c r="X111" i="7" s="1"/>
  <c r="AQ111" i="7" s="1"/>
  <c r="AE111" i="7"/>
  <c r="AE110" i="7"/>
  <c r="AF110" i="7"/>
  <c r="AD110" i="7"/>
  <c r="AH110" i="7" s="1"/>
  <c r="AY110" i="7"/>
  <c r="V110" i="7"/>
  <c r="Q110" i="7"/>
  <c r="W110" i="7" s="1"/>
  <c r="R110" i="7"/>
  <c r="X110" i="7" s="1"/>
  <c r="AQ110" i="7" s="1"/>
  <c r="AC110" i="7"/>
  <c r="AE109" i="7"/>
  <c r="R108" i="7"/>
  <c r="X108" i="7" s="1"/>
  <c r="AF109" i="7"/>
  <c r="Q109" i="7"/>
  <c r="R109" i="7"/>
  <c r="X109" i="7" s="1"/>
  <c r="AQ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K11" i="1"/>
  <c r="AD14" i="7"/>
  <c r="AH14" i="7" s="1"/>
  <c r="AC14" i="7"/>
  <c r="R107" i="7"/>
  <c r="X107" i="7" s="1"/>
  <c r="AQ107" i="7" s="1"/>
  <c r="Q107" i="7"/>
  <c r="AD107" i="7"/>
  <c r="AH107" i="7" s="1"/>
  <c r="Q106" i="7"/>
  <c r="AD106" i="7"/>
  <c r="AH106" i="7" s="1"/>
  <c r="AF106" i="7"/>
  <c r="AM106" i="7" s="1"/>
  <c r="R106" i="7"/>
  <c r="X106" i="7" s="1"/>
  <c r="AQ106" i="7" s="1"/>
  <c r="AE106" i="7"/>
  <c r="AE104" i="7"/>
  <c r="AF105" i="7"/>
  <c r="AI105" i="7" s="1"/>
  <c r="AD105" i="7"/>
  <c r="AH105" i="7" s="1"/>
  <c r="AF104" i="7"/>
  <c r="AI104" i="7" s="1"/>
  <c r="R94" i="7"/>
  <c r="X94" i="7" s="1"/>
  <c r="IU94" i="7" s="1"/>
  <c r="IE94" i="7" s="1"/>
  <c r="R101" i="7"/>
  <c r="X101" i="7" s="1"/>
  <c r="AQ101" i="7" s="1"/>
  <c r="AC105" i="7"/>
  <c r="AE105" i="7"/>
  <c r="Q105" i="7"/>
  <c r="R105" i="7"/>
  <c r="X105" i="7" s="1"/>
  <c r="AQ105" i="7" s="1"/>
  <c r="Q104" i="7"/>
  <c r="R104" i="7"/>
  <c r="X104" i="7" s="1"/>
  <c r="AQ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IP10" i="7" s="1"/>
  <c r="R70" i="7"/>
  <c r="X70" i="7" s="1"/>
  <c r="AQ70" i="7" s="1"/>
  <c r="AE82" i="7"/>
  <c r="Q94" i="7"/>
  <c r="R103" i="7"/>
  <c r="X103" i="7" s="1"/>
  <c r="AC93" i="7"/>
  <c r="R86" i="7"/>
  <c r="X86" i="7" s="1"/>
  <c r="AQ86" i="7" s="1"/>
  <c r="AD94" i="7"/>
  <c r="AH94" i="7" s="1"/>
  <c r="AC94" i="7"/>
  <c r="AE94" i="7"/>
  <c r="R95" i="7"/>
  <c r="X95" i="7" s="1"/>
  <c r="AQ95" i="7" s="1"/>
  <c r="Q95" i="7"/>
  <c r="Q102" i="7"/>
  <c r="R102" i="7"/>
  <c r="X102" i="7" s="1"/>
  <c r="Q101" i="7"/>
  <c r="Q92" i="7"/>
  <c r="AE102" i="7"/>
  <c r="R96" i="7"/>
  <c r="X96" i="7" s="1"/>
  <c r="AQ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Q92" i="7" s="1"/>
  <c r="AD69" i="7"/>
  <c r="AH69" i="7" s="1"/>
  <c r="Q61" i="7"/>
  <c r="R93" i="7"/>
  <c r="X93" i="7" s="1"/>
  <c r="R99" i="7"/>
  <c r="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Q91" i="7" s="1"/>
  <c r="AE91" i="7"/>
  <c r="R100" i="7"/>
  <c r="X100" i="7" s="1"/>
  <c r="AQ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IU90" i="7" s="1"/>
  <c r="IE90" i="7" s="1"/>
  <c r="AC70" i="7"/>
  <c r="R56" i="7"/>
  <c r="X56" i="7" s="1"/>
  <c r="AQ56" i="7" s="1"/>
  <c r="Q62" i="7"/>
  <c r="Q89" i="7"/>
  <c r="R97" i="7"/>
  <c r="X97" i="7" s="1"/>
  <c r="AQ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IP43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IU65" i="7" s="1"/>
  <c r="IE65" i="7" s="1"/>
  <c r="Q85" i="7"/>
  <c r="AE43" i="7"/>
  <c r="AC45" i="7"/>
  <c r="AF47" i="7"/>
  <c r="R60" i="7"/>
  <c r="X60" i="7" s="1"/>
  <c r="IP69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IP71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IP27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IP61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IP85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IU67" i="7" s="1"/>
  <c r="IE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IU64" i="7" s="1"/>
  <c r="IE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IP82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IU85" i="7" s="1"/>
  <c r="IE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Q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IL11" i="7" s="1"/>
  <c r="W115" i="7"/>
  <c r="W117" i="7"/>
  <c r="W114" i="7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H143" i="1" l="1"/>
  <c r="IH146" i="1"/>
  <c r="IP45" i="7"/>
  <c r="IP34" i="7"/>
  <c r="IP18" i="7"/>
  <c r="IP17" i="7"/>
  <c r="IH139" i="1"/>
  <c r="IH150" i="1"/>
  <c r="IU22" i="7"/>
  <c r="IE22" i="7" s="1"/>
  <c r="IH140" i="1"/>
  <c r="AP146" i="1"/>
  <c r="IU20" i="7"/>
  <c r="IE20" i="7" s="1"/>
  <c r="IU21" i="7"/>
  <c r="IE21" i="7" s="1"/>
  <c r="IU18" i="7"/>
  <c r="IE18" i="7" s="1"/>
  <c r="IH141" i="1"/>
  <c r="IH145" i="1"/>
  <c r="AP141" i="1"/>
  <c r="AO147" i="1"/>
  <c r="IZ147" i="1" s="1"/>
  <c r="IH147" i="1" s="1"/>
  <c r="AP147" i="1"/>
  <c r="AO149" i="1"/>
  <c r="IZ149" i="1" s="1"/>
  <c r="IH149" i="1" s="1"/>
  <c r="AP149" i="1"/>
  <c r="AP139" i="1"/>
  <c r="IP60" i="7"/>
  <c r="AP144" i="1"/>
  <c r="AO144" i="1"/>
  <c r="IZ144" i="1" s="1"/>
  <c r="IH144" i="1" s="1"/>
  <c r="IU14" i="7"/>
  <c r="IE14" i="7" s="1"/>
  <c r="AP150" i="1"/>
  <c r="IP46" i="7"/>
  <c r="IU19" i="7"/>
  <c r="IE19" i="7" s="1"/>
  <c r="IU17" i="7"/>
  <c r="IE17" i="7" s="1"/>
  <c r="HS12" i="1"/>
  <c r="HL12" i="1" s="1"/>
  <c r="IU23" i="7"/>
  <c r="IE23" i="7" s="1"/>
  <c r="IP23" i="7"/>
  <c r="JA9" i="7"/>
  <c r="JB15" i="7" s="1" a="1"/>
  <c r="JB15" i="7" s="1"/>
  <c r="JB11" i="7" a="1"/>
  <c r="JB11" i="7" s="1"/>
  <c r="IP15" i="7"/>
  <c r="IP109" i="7"/>
  <c r="IU16" i="7"/>
  <c r="IE16" i="7" s="1"/>
  <c r="IU33" i="7"/>
  <c r="IE33" i="7" s="1"/>
  <c r="IU12" i="7"/>
  <c r="IE12" i="7" s="1"/>
  <c r="IU9" i="7"/>
  <c r="IE9" i="7" s="1"/>
  <c r="IU15" i="7"/>
  <c r="IE15" i="7" s="1"/>
  <c r="IU34" i="7"/>
  <c r="IE34" i="7" s="1"/>
  <c r="AJ113" i="7"/>
  <c r="AG114" i="7"/>
  <c r="AM114" i="7"/>
  <c r="AI114" i="7"/>
  <c r="IU13" i="7"/>
  <c r="IE13" i="7" s="1"/>
  <c r="IU56" i="7"/>
  <c r="IE56" i="7" s="1"/>
  <c r="IU109" i="7"/>
  <c r="IE109" i="7" s="1"/>
  <c r="IP33" i="7"/>
  <c r="IP110" i="7"/>
  <c r="IU11" i="7"/>
  <c r="IE11" i="7" s="1"/>
  <c r="IP93" i="7"/>
  <c r="IP56" i="7"/>
  <c r="IP114" i="7"/>
  <c r="IP32" i="7"/>
  <c r="IU10" i="7"/>
  <c r="IE10" i="7" s="1"/>
  <c r="IP12" i="7"/>
  <c r="IU92" i="7"/>
  <c r="IE92" i="7" s="1"/>
  <c r="IP94" i="7"/>
  <c r="IU32" i="7"/>
  <c r="IE32" i="7" s="1"/>
  <c r="IP49" i="7"/>
  <c r="AL110" i="7"/>
  <c r="IU107" i="7"/>
  <c r="IE107" i="7" s="1"/>
  <c r="AX102" i="7"/>
  <c r="AQ102" i="7"/>
  <c r="AX103" i="7"/>
  <c r="AQ103" i="7"/>
  <c r="AX108" i="7"/>
  <c r="AQ108" i="7"/>
  <c r="AQ113" i="7"/>
  <c r="AX113" i="7"/>
  <c r="AQ112" i="7"/>
  <c r="AX112" i="7"/>
  <c r="AX99" i="7"/>
  <c r="AQ99" i="7"/>
  <c r="IU54" i="7"/>
  <c r="IE54" i="7" s="1"/>
  <c r="AX98" i="7"/>
  <c r="AQ98" i="7"/>
  <c r="IU52" i="7"/>
  <c r="IE52" i="7" s="1"/>
  <c r="IU53" i="7"/>
  <c r="IE53" i="7" s="1"/>
  <c r="IU75" i="7"/>
  <c r="IE75" i="7" s="1"/>
  <c r="IP75" i="7"/>
  <c r="IP74" i="7"/>
  <c r="IU55" i="7"/>
  <c r="IE55" i="7" s="1"/>
  <c r="IU74" i="7"/>
  <c r="IE74" i="7" s="1"/>
  <c r="IP53" i="7"/>
  <c r="IU73" i="7"/>
  <c r="IE73" i="7" s="1"/>
  <c r="IP73" i="7"/>
  <c r="IU51" i="7"/>
  <c r="IE51" i="7" s="1"/>
  <c r="IP55" i="7"/>
  <c r="IP52" i="7"/>
  <c r="IP51" i="7"/>
  <c r="IP54" i="7"/>
  <c r="IP63" i="7"/>
  <c r="IP59" i="7"/>
  <c r="IU38" i="7"/>
  <c r="IE38" i="7" s="1"/>
  <c r="IP79" i="7"/>
  <c r="IP57" i="7"/>
  <c r="IU59" i="7"/>
  <c r="IE59" i="7" s="1"/>
  <c r="IP42" i="7"/>
  <c r="IP40" i="7"/>
  <c r="IU83" i="7"/>
  <c r="IE83" i="7" s="1"/>
  <c r="IU37" i="7"/>
  <c r="IE37" i="7" s="1"/>
  <c r="IU41" i="7"/>
  <c r="IE41" i="7" s="1"/>
  <c r="IU40" i="7"/>
  <c r="IE40" i="7" s="1"/>
  <c r="IP78" i="7"/>
  <c r="IU60" i="7"/>
  <c r="IE60" i="7" s="1"/>
  <c r="IP36" i="7"/>
  <c r="IP64" i="7"/>
  <c r="IU62" i="7"/>
  <c r="IE62" i="7" s="1"/>
  <c r="IP37" i="7"/>
  <c r="IU82" i="7"/>
  <c r="IE82" i="7" s="1"/>
  <c r="IU35" i="7"/>
  <c r="IE35" i="7" s="1"/>
  <c r="IU78" i="7"/>
  <c r="IE78" i="7" s="1"/>
  <c r="IU58" i="7"/>
  <c r="IE58" i="7" s="1"/>
  <c r="IP58" i="7"/>
  <c r="IP81" i="7"/>
  <c r="IP84" i="7"/>
  <c r="IP83" i="7"/>
  <c r="IU57" i="7"/>
  <c r="IE57" i="7" s="1"/>
  <c r="IP39" i="7"/>
  <c r="IU63" i="7"/>
  <c r="IE63" i="7" s="1"/>
  <c r="IU79" i="7"/>
  <c r="IE79" i="7" s="1"/>
  <c r="IP62" i="7"/>
  <c r="IP77" i="7"/>
  <c r="IU77" i="7"/>
  <c r="IE77" i="7" s="1"/>
  <c r="IU39" i="7"/>
  <c r="IE39" i="7" s="1"/>
  <c r="IP41" i="7"/>
  <c r="IU42" i="7"/>
  <c r="IE42" i="7" s="1"/>
  <c r="IU81" i="7"/>
  <c r="IE81" i="7" s="1"/>
  <c r="IP80" i="7"/>
  <c r="IU61" i="7"/>
  <c r="IE61" i="7" s="1"/>
  <c r="IP35" i="7"/>
  <c r="IP38" i="7"/>
  <c r="IU36" i="7"/>
  <c r="IE36" i="7" s="1"/>
  <c r="IU84" i="7"/>
  <c r="IE84" i="7" s="1"/>
  <c r="IU80" i="7"/>
  <c r="IE80" i="7" s="1"/>
  <c r="AX94" i="7"/>
  <c r="AQ94" i="7"/>
  <c r="IU88" i="7"/>
  <c r="IE88" i="7" s="1"/>
  <c r="IU30" i="7"/>
  <c r="IE30" i="7" s="1"/>
  <c r="AX93" i="7"/>
  <c r="AQ93" i="7"/>
  <c r="IU91" i="7"/>
  <c r="IE91" i="7" s="1"/>
  <c r="IP91" i="7"/>
  <c r="IU29" i="7"/>
  <c r="IE29" i="7" s="1"/>
  <c r="IP66" i="7"/>
  <c r="AX90" i="7"/>
  <c r="AQ90" i="7"/>
  <c r="IP30" i="7"/>
  <c r="IP90" i="7"/>
  <c r="IP89" i="7"/>
  <c r="IP88" i="7"/>
  <c r="IP92" i="7"/>
  <c r="IU89" i="7"/>
  <c r="IE89" i="7" s="1"/>
  <c r="IP86" i="7"/>
  <c r="IU87" i="7"/>
  <c r="IE87" i="7" s="1"/>
  <c r="IU43" i="7"/>
  <c r="IE43" i="7" s="1"/>
  <c r="IU26" i="7"/>
  <c r="IE26" i="7" s="1"/>
  <c r="IU69" i="7"/>
  <c r="IE69" i="7" s="1"/>
  <c r="IP47" i="7"/>
  <c r="IP68" i="7"/>
  <c r="IP28" i="7"/>
  <c r="IU46" i="7"/>
  <c r="IE46" i="7" s="1"/>
  <c r="IP44" i="7"/>
  <c r="IU28" i="7"/>
  <c r="IE28" i="7" s="1"/>
  <c r="IP50" i="7"/>
  <c r="IP31" i="7"/>
  <c r="IU72" i="7"/>
  <c r="IE72" i="7" s="1"/>
  <c r="IU48" i="7"/>
  <c r="IE48" i="7" s="1"/>
  <c r="IU24" i="7"/>
  <c r="IE24" i="7" s="1"/>
  <c r="IU70" i="7"/>
  <c r="IE70" i="7" s="1"/>
  <c r="IU31" i="7"/>
  <c r="IE31" i="7" s="1"/>
  <c r="IU86" i="7"/>
  <c r="IE86" i="7" s="1"/>
  <c r="IU66" i="7"/>
  <c r="IE66" i="7" s="1"/>
  <c r="IP24" i="7"/>
  <c r="IU50" i="7"/>
  <c r="IE50" i="7" s="1"/>
  <c r="IU47" i="7"/>
  <c r="IE47" i="7" s="1"/>
  <c r="IP72" i="7"/>
  <c r="IU27" i="7"/>
  <c r="IE27" i="7" s="1"/>
  <c r="IU45" i="7"/>
  <c r="IE45" i="7" s="1"/>
  <c r="IP70" i="7"/>
  <c r="IP26" i="7"/>
  <c r="IU44" i="7"/>
  <c r="IE44" i="7" s="1"/>
  <c r="AI49" i="7"/>
  <c r="IP29" i="7"/>
  <c r="IP67" i="7"/>
  <c r="IU68" i="7"/>
  <c r="IE68" i="7" s="1"/>
  <c r="IP25" i="7"/>
  <c r="IU71" i="7"/>
  <c r="IE71" i="7" s="1"/>
  <c r="IP48" i="7"/>
  <c r="IU25" i="7"/>
  <c r="IE25" i="7" s="1"/>
  <c r="IU49" i="7"/>
  <c r="IE49" i="7" s="1"/>
  <c r="IP65" i="7"/>
  <c r="IF102" i="7"/>
  <c r="JA23" i="7" a="1"/>
  <c r="IF98" i="7"/>
  <c r="IF103" i="7"/>
  <c r="IF123" i="7"/>
  <c r="IF118" i="7"/>
  <c r="IF128" i="7"/>
  <c r="IF144" i="7"/>
  <c r="IF99" i="7"/>
  <c r="IF149" i="7"/>
  <c r="IF140" i="7"/>
  <c r="IF136" i="7"/>
  <c r="IF116" i="7"/>
  <c r="IF119" i="7"/>
  <c r="IF150" i="7"/>
  <c r="IF138" i="7"/>
  <c r="IF132" i="7"/>
  <c r="IF131" i="7"/>
  <c r="JB10" i="7" a="1"/>
  <c r="JB10" i="7" s="1"/>
  <c r="IF146" i="7"/>
  <c r="IF105" i="7"/>
  <c r="IF126" i="7"/>
  <c r="IF122" i="7"/>
  <c r="IF137" i="7"/>
  <c r="IF135" i="7"/>
  <c r="IF139" i="7"/>
  <c r="IF130" i="7"/>
  <c r="IF111" i="7"/>
  <c r="IF120" i="7"/>
  <c r="IF141" i="7"/>
  <c r="IF133" i="7"/>
  <c r="IF127" i="7"/>
  <c r="IF106" i="7"/>
  <c r="IF96" i="7"/>
  <c r="IX76" i="7"/>
  <c r="IF76" i="7" s="1"/>
  <c r="IF117" i="7"/>
  <c r="IF112" i="7"/>
  <c r="IF125" i="7"/>
  <c r="IF97" i="7"/>
  <c r="IF148" i="7"/>
  <c r="IF115" i="7"/>
  <c r="IF129" i="7"/>
  <c r="IF101" i="7"/>
  <c r="IF104" i="7"/>
  <c r="IF143" i="7"/>
  <c r="IF142" i="7"/>
  <c r="IF95" i="7"/>
  <c r="IF147" i="7"/>
  <c r="IF121" i="7"/>
  <c r="IF145" i="7"/>
  <c r="IF100" i="7"/>
  <c r="IF124" i="7"/>
  <c r="IF134" i="7"/>
  <c r="IF108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N110" i="7" s="1"/>
  <c r="AG110" i="7"/>
  <c r="AI110" i="7"/>
  <c r="AJ110" i="7"/>
  <c r="AJ109" i="7"/>
  <c r="AL109" i="7"/>
  <c r="AG108" i="7"/>
  <c r="AX109" i="7"/>
  <c r="AI109" i="7"/>
  <c r="AM109" i="7"/>
  <c r="AN109" i="7" s="1"/>
  <c r="AG109" i="7"/>
  <c r="AJ108" i="7"/>
  <c r="AM107" i="7"/>
  <c r="AG107" i="7"/>
  <c r="W10" i="7"/>
  <c r="U10" i="7" s="1"/>
  <c r="AL11" i="7"/>
  <c r="AM65" i="7"/>
  <c r="W64" i="7"/>
  <c r="AX86" i="7"/>
  <c r="AX95" i="7"/>
  <c r="AI79" i="7"/>
  <c r="AM105" i="7"/>
  <c r="W105" i="7"/>
  <c r="AK105" i="7" s="1"/>
  <c r="AO105" i="7" s="1"/>
  <c r="AJ106" i="7"/>
  <c r="AX107" i="7"/>
  <c r="AJ107" i="7"/>
  <c r="W107" i="7"/>
  <c r="AI106" i="7"/>
  <c r="W104" i="7"/>
  <c r="AL104" i="7" s="1"/>
  <c r="AI58" i="7"/>
  <c r="AJ95" i="7"/>
  <c r="AG76" i="7"/>
  <c r="W106" i="7"/>
  <c r="AL106" i="7" s="1"/>
  <c r="AN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W37" i="7"/>
  <c r="W95" i="7"/>
  <c r="T95" i="7" s="1"/>
  <c r="W53" i="7"/>
  <c r="W67" i="7"/>
  <c r="W97" i="7"/>
  <c r="AK97" i="7" s="1"/>
  <c r="AO97" i="7" s="1"/>
  <c r="W93" i="7"/>
  <c r="IL113" i="7" s="1"/>
  <c r="W56" i="7"/>
  <c r="W87" i="7"/>
  <c r="W103" i="7"/>
  <c r="W74" i="7"/>
  <c r="W102" i="7"/>
  <c r="AL102" i="7" s="1"/>
  <c r="W83" i="7"/>
  <c r="W82" i="7"/>
  <c r="W94" i="7"/>
  <c r="W72" i="7"/>
  <c r="W70" i="7"/>
  <c r="W96" i="7"/>
  <c r="AK96" i="7" s="1"/>
  <c r="AO96" i="7" s="1"/>
  <c r="W49" i="7"/>
  <c r="W81" i="7"/>
  <c r="W78" i="7"/>
  <c r="W85" i="7"/>
  <c r="AL85" i="7" s="1"/>
  <c r="W99" i="7"/>
  <c r="AL99" i="7" s="1"/>
  <c r="W59" i="7"/>
  <c r="W60" i="7"/>
  <c r="W101" i="7"/>
  <c r="W61" i="7"/>
  <c r="AJ65" i="7"/>
  <c r="AM62" i="7"/>
  <c r="AJ96" i="7"/>
  <c r="AJ102" i="7"/>
  <c r="AJ94" i="7"/>
  <c r="W55" i="7"/>
  <c r="IL93" i="7" s="1"/>
  <c r="W76" i="7"/>
  <c r="W89" i="7"/>
  <c r="W98" i="7"/>
  <c r="W100" i="7"/>
  <c r="U100" i="7" s="1"/>
  <c r="AX84" i="7"/>
  <c r="AI87" i="7"/>
  <c r="AJ62" i="7"/>
  <c r="AJ79" i="7"/>
  <c r="AG62" i="7"/>
  <c r="AJ91" i="7"/>
  <c r="AX92" i="7"/>
  <c r="W91" i="7"/>
  <c r="AJ99" i="7"/>
  <c r="AM97" i="7"/>
  <c r="AG97" i="7"/>
  <c r="AI97" i="7"/>
  <c r="AX97" i="7"/>
  <c r="AM69" i="7"/>
  <c r="W66" i="7"/>
  <c r="W69" i="7"/>
  <c r="W75" i="7"/>
  <c r="AG102" i="7"/>
  <c r="AI102" i="7"/>
  <c r="AM102" i="7"/>
  <c r="AG94" i="7"/>
  <c r="AM94" i="7"/>
  <c r="AI94" i="7"/>
  <c r="AM91" i="7"/>
  <c r="AG91" i="7"/>
  <c r="AI91" i="7"/>
  <c r="AX100" i="7"/>
  <c r="W71" i="7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J52" i="7"/>
  <c r="AI45" i="7"/>
  <c r="AJ43" i="7"/>
  <c r="AM50" i="7"/>
  <c r="W51" i="7"/>
  <c r="W52" i="7"/>
  <c r="AG52" i="7"/>
  <c r="AG50" i="7"/>
  <c r="AI52" i="7"/>
  <c r="W48" i="7"/>
  <c r="AM48" i="7"/>
  <c r="AG48" i="7"/>
  <c r="W47" i="7"/>
  <c r="T47" i="7" s="1"/>
  <c r="AJ31" i="7"/>
  <c r="W46" i="7"/>
  <c r="W44" i="7"/>
  <c r="W42" i="7"/>
  <c r="W39" i="7"/>
  <c r="IL48" i="7" s="1"/>
  <c r="W41" i="7"/>
  <c r="W34" i="7"/>
  <c r="W36" i="7"/>
  <c r="AG37" i="7"/>
  <c r="AJ40" i="7"/>
  <c r="AJ25" i="7"/>
  <c r="W32" i="7"/>
  <c r="W35" i="7"/>
  <c r="W31" i="7"/>
  <c r="W33" i="7"/>
  <c r="W38" i="7"/>
  <c r="AM37" i="7"/>
  <c r="AJ28" i="7"/>
  <c r="W13" i="7"/>
  <c r="AS112" i="7" s="1"/>
  <c r="W27" i="7"/>
  <c r="W25" i="7"/>
  <c r="W22" i="7"/>
  <c r="IL22" i="7" s="1"/>
  <c r="W26" i="7"/>
  <c r="W28" i="7"/>
  <c r="W29" i="7"/>
  <c r="AM26" i="7"/>
  <c r="AJ20" i="7"/>
  <c r="AJ23" i="7"/>
  <c r="W15" i="7"/>
  <c r="W24" i="7"/>
  <c r="W20" i="7"/>
  <c r="IL20" i="7" s="1"/>
  <c r="W21" i="7"/>
  <c r="W19" i="7"/>
  <c r="IL19" i="7" s="1"/>
  <c r="W18" i="7"/>
  <c r="W17" i="7"/>
  <c r="W12" i="7"/>
  <c r="W9" i="7"/>
  <c r="AJ72" i="7"/>
  <c r="W16" i="7"/>
  <c r="IL16" i="7" s="1"/>
  <c r="AG66" i="7"/>
  <c r="AI47" i="7"/>
  <c r="AM47" i="7"/>
  <c r="AJ41" i="7"/>
  <c r="W79" i="7"/>
  <c r="IL88" i="7" s="1"/>
  <c r="W73" i="7"/>
  <c r="W40" i="7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IL14" i="7" s="1"/>
  <c r="W30" i="7"/>
  <c r="W57" i="7"/>
  <c r="W58" i="7"/>
  <c r="W65" i="7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IY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AO109" i="7" s="1"/>
  <c r="IX109" i="7" s="1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O112" i="7" s="1"/>
  <c r="BB112" i="7" s="1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O110" i="7" s="1"/>
  <c r="IX110" i="7" s="1"/>
  <c r="AK111" i="7"/>
  <c r="AO111" i="7" s="1"/>
  <c r="AL114" i="7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AL117" i="7"/>
  <c r="BA117" i="7" s="1"/>
  <c r="AK114" i="7"/>
  <c r="AO114" i="7" s="1"/>
  <c r="IS16" i="7" s="1"/>
  <c r="AL115" i="7"/>
  <c r="BA115" i="7" s="1"/>
  <c r="AL120" i="7"/>
  <c r="BA120" i="7" s="1"/>
  <c r="BB120" i="7"/>
  <c r="BB119" i="7"/>
  <c r="BB117" i="7"/>
  <c r="AP117" i="7"/>
  <c r="BC117" i="7" s="1"/>
  <c r="T112" i="7"/>
  <c r="U112" i="7"/>
  <c r="U117" i="7"/>
  <c r="T117" i="7"/>
  <c r="AS117" i="7"/>
  <c r="AS115" i="7"/>
  <c r="T115" i="7"/>
  <c r="U115" i="7"/>
  <c r="BB114" i="7"/>
  <c r="U111" i="7"/>
  <c r="T111" i="7"/>
  <c r="AZ111" i="7" s="1"/>
  <c r="U114" i="7"/>
  <c r="AS114" i="7"/>
  <c r="T114" i="7"/>
  <c r="AZ114" i="7" s="1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T113" i="7"/>
  <c r="AZ113" i="7" s="1"/>
  <c r="U113" i="7"/>
  <c r="AK108" i="7"/>
  <c r="AO108" i="7" s="1"/>
  <c r="BB115" i="7"/>
  <c r="AL113" i="7"/>
  <c r="T116" i="7"/>
  <c r="AS116" i="7"/>
  <c r="U116" i="7"/>
  <c r="T110" i="7"/>
  <c r="AZ110" i="7" s="1"/>
  <c r="U110" i="7"/>
  <c r="AP116" i="7"/>
  <c r="BC116" i="7" s="1"/>
  <c r="BB116" i="7"/>
  <c r="AK113" i="7"/>
  <c r="AO113" i="7" s="1"/>
  <c r="AE14" i="4"/>
  <c r="AE16" i="4"/>
  <c r="AE15" i="4"/>
  <c r="AE17" i="4"/>
  <c r="AE19" i="4"/>
  <c r="AE18" i="4"/>
  <c r="AE20" i="4"/>
  <c r="IL51" i="7" l="1"/>
  <c r="IL34" i="7"/>
  <c r="IL18" i="7"/>
  <c r="IL26" i="7"/>
  <c r="IL17" i="7"/>
  <c r="IL33" i="7"/>
  <c r="IL21" i="7"/>
  <c r="HW12" i="1"/>
  <c r="HT12" i="1"/>
  <c r="ID12" i="1"/>
  <c r="HZ12" i="1"/>
  <c r="HV12" i="1"/>
  <c r="HX12" i="1"/>
  <c r="HU12" i="1"/>
  <c r="HK12" i="1"/>
  <c r="HS13" i="1" s="1"/>
  <c r="HL13" i="1" s="1"/>
  <c r="HZ13" i="1" s="1"/>
  <c r="IL37" i="7"/>
  <c r="IL36" i="7"/>
  <c r="JA23" i="7"/>
  <c r="JB24" i="7" a="1"/>
  <c r="JB24" i="7" s="1"/>
  <c r="IL23" i="7"/>
  <c r="JB16" i="7" a="1"/>
  <c r="JB16" i="7" s="1"/>
  <c r="IL15" i="7"/>
  <c r="IX113" i="7"/>
  <c r="IL47" i="7"/>
  <c r="IL56" i="7"/>
  <c r="AL98" i="7"/>
  <c r="IL10" i="7"/>
  <c r="AN114" i="7"/>
  <c r="IL32" i="7"/>
  <c r="AK89" i="7"/>
  <c r="AO89" i="7" s="1"/>
  <c r="IL109" i="7"/>
  <c r="IX114" i="7"/>
  <c r="BA114" i="7"/>
  <c r="AP114" i="7"/>
  <c r="BC114" i="7" s="1"/>
  <c r="AL90" i="7"/>
  <c r="AN90" i="7" s="1"/>
  <c r="IL110" i="7"/>
  <c r="IS12" i="7"/>
  <c r="T87" i="7"/>
  <c r="IL107" i="7"/>
  <c r="IL12" i="7"/>
  <c r="IS11" i="7"/>
  <c r="AK107" i="7"/>
  <c r="AO107" i="7" s="1"/>
  <c r="IL9" i="7"/>
  <c r="IT11" i="7"/>
  <c r="IY109" i="7"/>
  <c r="IF109" i="7" s="1"/>
  <c r="IL53" i="7"/>
  <c r="AK94" i="7"/>
  <c r="AO94" i="7" s="1"/>
  <c r="IL114" i="7"/>
  <c r="AN98" i="7"/>
  <c r="IT10" i="7" s="1"/>
  <c r="IY110" i="7"/>
  <c r="IF110" i="7" s="1"/>
  <c r="IT12" i="7"/>
  <c r="IL94" i="7"/>
  <c r="IL78" i="7"/>
  <c r="T91" i="7"/>
  <c r="IL13" i="7"/>
  <c r="IL45" i="7"/>
  <c r="AN113" i="7"/>
  <c r="AN108" i="7"/>
  <c r="AN105" i="7"/>
  <c r="AS113" i="7"/>
  <c r="AN111" i="7"/>
  <c r="AZ108" i="7"/>
  <c r="AZ112" i="7"/>
  <c r="AZ109" i="7"/>
  <c r="AN102" i="7"/>
  <c r="AN104" i="7"/>
  <c r="AN112" i="7"/>
  <c r="BA112" i="7" s="1"/>
  <c r="AN99" i="7"/>
  <c r="AN92" i="7"/>
  <c r="IY92" i="7" s="1"/>
  <c r="IL52" i="7"/>
  <c r="IL54" i="7"/>
  <c r="IL71" i="7"/>
  <c r="AL64" i="7"/>
  <c r="AN64" i="7" s="1"/>
  <c r="IL73" i="7"/>
  <c r="IL55" i="7"/>
  <c r="AK65" i="7"/>
  <c r="AO65" i="7" s="1"/>
  <c r="IL74" i="7"/>
  <c r="U66" i="7"/>
  <c r="IL75" i="7"/>
  <c r="IL39" i="7"/>
  <c r="IL63" i="7"/>
  <c r="IL38" i="7"/>
  <c r="U52" i="7"/>
  <c r="IL61" i="7"/>
  <c r="T51" i="7"/>
  <c r="IL60" i="7"/>
  <c r="AK53" i="7"/>
  <c r="AO53" i="7" s="1"/>
  <c r="IL62" i="7"/>
  <c r="U26" i="7"/>
  <c r="IL35" i="7"/>
  <c r="T33" i="7"/>
  <c r="IL42" i="7"/>
  <c r="AK49" i="7"/>
  <c r="AO49" i="7" s="1"/>
  <c r="IL58" i="7"/>
  <c r="U74" i="7"/>
  <c r="IL83" i="7"/>
  <c r="U75" i="7"/>
  <c r="IL84" i="7"/>
  <c r="IL40" i="7"/>
  <c r="IL77" i="7"/>
  <c r="AL73" i="7"/>
  <c r="AN73" i="7" s="1"/>
  <c r="IL82" i="7"/>
  <c r="AK48" i="7"/>
  <c r="AO48" i="7" s="1"/>
  <c r="IL57" i="7"/>
  <c r="AK71" i="7"/>
  <c r="AO71" i="7" s="1"/>
  <c r="IL80" i="7"/>
  <c r="IL64" i="7"/>
  <c r="IL79" i="7"/>
  <c r="AK32" i="7"/>
  <c r="AO32" i="7" s="1"/>
  <c r="IL41" i="7"/>
  <c r="AL72" i="7"/>
  <c r="AN72" i="7" s="1"/>
  <c r="IL81" i="7"/>
  <c r="AK50" i="7"/>
  <c r="AO50" i="7" s="1"/>
  <c r="IL59" i="7"/>
  <c r="IL65" i="7"/>
  <c r="IL89" i="7"/>
  <c r="JH22" i="7" a="1"/>
  <c r="JH22" i="7" s="1"/>
  <c r="IL27" i="7"/>
  <c r="IL91" i="7"/>
  <c r="IL86" i="7"/>
  <c r="AK78" i="7"/>
  <c r="AO78" i="7" s="1"/>
  <c r="IL87" i="7"/>
  <c r="T83" i="7"/>
  <c r="IL92" i="7"/>
  <c r="IL90" i="7"/>
  <c r="JF22" i="7" a="1"/>
  <c r="JF22" i="7" s="1"/>
  <c r="IL24" i="7"/>
  <c r="AL58" i="7"/>
  <c r="AN58" i="7" s="1"/>
  <c r="IL67" i="7"/>
  <c r="AK21" i="7"/>
  <c r="AO21" i="7" s="1"/>
  <c r="IX21" i="7" s="1"/>
  <c r="IL30" i="7"/>
  <c r="AL57" i="7"/>
  <c r="AN57" i="7" s="1"/>
  <c r="IL66" i="7"/>
  <c r="IL25" i="7"/>
  <c r="AK20" i="7"/>
  <c r="AO20" i="7" s="1"/>
  <c r="IX20" i="7" s="1"/>
  <c r="IL29" i="7"/>
  <c r="AL34" i="7"/>
  <c r="IL43" i="7"/>
  <c r="T61" i="7"/>
  <c r="IL70" i="7"/>
  <c r="U40" i="7"/>
  <c r="IL49" i="7"/>
  <c r="T22" i="7"/>
  <c r="IL31" i="7"/>
  <c r="AK41" i="7"/>
  <c r="AO41" i="7" s="1"/>
  <c r="IL50" i="7"/>
  <c r="AL76" i="7"/>
  <c r="AN76" i="7" s="1"/>
  <c r="IT85" i="7" s="1"/>
  <c r="IL85" i="7"/>
  <c r="IL46" i="7"/>
  <c r="U35" i="7"/>
  <c r="IL44" i="7"/>
  <c r="AL60" i="7"/>
  <c r="AN60" i="7" s="1"/>
  <c r="IL69" i="7"/>
  <c r="AL63" i="7"/>
  <c r="AN63" i="7" s="1"/>
  <c r="IL72" i="7"/>
  <c r="AK59" i="7"/>
  <c r="AO59" i="7" s="1"/>
  <c r="IL68" i="7"/>
  <c r="T19" i="7"/>
  <c r="IL28" i="7"/>
  <c r="JB9" i="7" a="1"/>
  <c r="JB9" i="7" s="1"/>
  <c r="AK17" i="7"/>
  <c r="AO17" i="7" s="1"/>
  <c r="AK18" i="7"/>
  <c r="AO18" i="7" s="1"/>
  <c r="U30" i="7"/>
  <c r="U15" i="7"/>
  <c r="AL29" i="7"/>
  <c r="AN29" i="7" s="1"/>
  <c r="AN85" i="7"/>
  <c r="IY85" i="7" s="1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L81" i="7"/>
  <c r="AN81" i="7" s="1"/>
  <c r="AL14" i="7"/>
  <c r="AN14" i="7" s="1"/>
  <c r="IY14" i="7" s="1"/>
  <c r="AL39" i="7"/>
  <c r="AN39" i="7" s="1"/>
  <c r="U27" i="7"/>
  <c r="T28" i="7"/>
  <c r="AL36" i="7"/>
  <c r="U23" i="7"/>
  <c r="T13" i="7"/>
  <c r="U37" i="7"/>
  <c r="U24" i="7"/>
  <c r="AS24" i="7"/>
  <c r="AS12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AO104" i="7" s="1"/>
  <c r="T107" i="7"/>
  <c r="U107" i="7"/>
  <c r="AL105" i="7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IT93" i="7" s="1"/>
  <c r="CC4" i="7"/>
  <c r="AL86" i="7"/>
  <c r="AN86" i="7" s="1"/>
  <c r="IY86" i="7" s="1"/>
  <c r="CG4" i="7"/>
  <c r="AL46" i="7"/>
  <c r="CB4" i="7"/>
  <c r="AK93" i="7"/>
  <c r="AO93" i="7" s="1"/>
  <c r="CH4" i="7"/>
  <c r="U25" i="7"/>
  <c r="BY4" i="7"/>
  <c r="AL101" i="7"/>
  <c r="AN101" i="7" s="1"/>
  <c r="CI4" i="7"/>
  <c r="Y105" i="7"/>
  <c r="AY105" i="7" s="1"/>
  <c r="AL12" i="7"/>
  <c r="AN12" i="7" s="1"/>
  <c r="AK85" i="7"/>
  <c r="AO85" i="7" s="1"/>
  <c r="IX85" i="7" s="1"/>
  <c r="AK14" i="7"/>
  <c r="AO14" i="7" s="1"/>
  <c r="IX14" i="7" s="1"/>
  <c r="AK61" i="7"/>
  <c r="AO61" i="7" s="1"/>
  <c r="AK16" i="7"/>
  <c r="AO16" i="7" s="1"/>
  <c r="AL103" i="7"/>
  <c r="AN103" i="7" s="1"/>
  <c r="T75" i="7"/>
  <c r="AK101" i="7"/>
  <c r="AO101" i="7" s="1"/>
  <c r="AL75" i="7"/>
  <c r="AN75" i="7" s="1"/>
  <c r="AK75" i="7"/>
  <c r="AO75" i="7" s="1"/>
  <c r="T101" i="7"/>
  <c r="AK76" i="7"/>
  <c r="AO76" i="7" s="1"/>
  <c r="IS85" i="7" s="1"/>
  <c r="T74" i="7"/>
  <c r="U101" i="7"/>
  <c r="T76" i="7"/>
  <c r="U76" i="7"/>
  <c r="U49" i="7"/>
  <c r="T86" i="7"/>
  <c r="U86" i="7"/>
  <c r="AL84" i="7"/>
  <c r="AN84" i="7" s="1"/>
  <c r="IY84" i="7" s="1"/>
  <c r="U89" i="7"/>
  <c r="AL61" i="7"/>
  <c r="AN61" i="7" s="1"/>
  <c r="T102" i="7"/>
  <c r="T53" i="7"/>
  <c r="AL53" i="7"/>
  <c r="AN53" i="7" s="1"/>
  <c r="U102" i="7"/>
  <c r="U81" i="7"/>
  <c r="AL48" i="7"/>
  <c r="AK102" i="7"/>
  <c r="AO102" i="7" s="1"/>
  <c r="U61" i="7"/>
  <c r="U53" i="7"/>
  <c r="U48" i="7"/>
  <c r="AK81" i="7"/>
  <c r="AO81" i="7" s="1"/>
  <c r="T77" i="7"/>
  <c r="T81" i="7"/>
  <c r="AL65" i="7"/>
  <c r="AN65" i="7" s="1"/>
  <c r="AL100" i="7"/>
  <c r="AN100" i="7" s="1"/>
  <c r="T85" i="7"/>
  <c r="T62" i="7"/>
  <c r="AK106" i="7"/>
  <c r="AO106" i="7" s="1"/>
  <c r="AL62" i="7"/>
  <c r="AN62" i="7" s="1"/>
  <c r="T97" i="7"/>
  <c r="U97" i="7"/>
  <c r="AL107" i="7"/>
  <c r="AN107" i="7" s="1"/>
  <c r="AS107" i="7"/>
  <c r="Y107" i="7"/>
  <c r="AL47" i="7"/>
  <c r="AN47" i="7" s="1"/>
  <c r="IY47" i="7" s="1"/>
  <c r="U85" i="7"/>
  <c r="U62" i="7"/>
  <c r="AL43" i="7"/>
  <c r="AN43" i="7" s="1"/>
  <c r="T82" i="7"/>
  <c r="T100" i="7"/>
  <c r="AK100" i="7"/>
  <c r="AO100" i="7" s="1"/>
  <c r="U82" i="7"/>
  <c r="AL82" i="7"/>
  <c r="AN82" i="7" s="1"/>
  <c r="AL97" i="7"/>
  <c r="AN97" i="7" s="1"/>
  <c r="T63" i="7"/>
  <c r="AL93" i="7"/>
  <c r="AN93" i="7" s="1"/>
  <c r="T98" i="7"/>
  <c r="U63" i="7"/>
  <c r="AK63" i="7"/>
  <c r="AO63" i="7" s="1"/>
  <c r="U83" i="7"/>
  <c r="T106" i="7"/>
  <c r="AK98" i="7"/>
  <c r="AO98" i="7" s="1"/>
  <c r="IS10" i="7" s="1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AO103" i="7" s="1"/>
  <c r="T92" i="7"/>
  <c r="AK92" i="7"/>
  <c r="AO92" i="7" s="1"/>
  <c r="IX92" i="7" s="1"/>
  <c r="AK37" i="7"/>
  <c r="AO37" i="7" s="1"/>
  <c r="U60" i="7"/>
  <c r="T55" i="7"/>
  <c r="T37" i="7"/>
  <c r="AL69" i="7"/>
  <c r="AN69" i="7" s="1"/>
  <c r="U79" i="7"/>
  <c r="AK90" i="7"/>
  <c r="AO90" i="7" s="1"/>
  <c r="T59" i="7"/>
  <c r="U90" i="7"/>
  <c r="U98" i="7"/>
  <c r="AK83" i="7"/>
  <c r="AO83" i="7" s="1"/>
  <c r="AK99" i="7"/>
  <c r="AO99" i="7" s="1"/>
  <c r="AL83" i="7"/>
  <c r="AN83" i="7" s="1"/>
  <c r="T94" i="7"/>
  <c r="T84" i="7"/>
  <c r="U80" i="7"/>
  <c r="U94" i="7"/>
  <c r="AK84" i="7"/>
  <c r="AO84" i="7" s="1"/>
  <c r="IX84" i="7" s="1"/>
  <c r="T80" i="7"/>
  <c r="AL78" i="7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AO91" i="7" s="1"/>
  <c r="U93" i="7"/>
  <c r="AK57" i="7"/>
  <c r="AO57" i="7" s="1"/>
  <c r="U99" i="7"/>
  <c r="AS105" i="7"/>
  <c r="T45" i="7"/>
  <c r="AK66" i="7"/>
  <c r="AO66" i="7" s="1"/>
  <c r="T66" i="7"/>
  <c r="AL91" i="7"/>
  <c r="AN91" i="7" s="1"/>
  <c r="U91" i="7"/>
  <c r="T90" i="7"/>
  <c r="U59" i="7"/>
  <c r="T48" i="7"/>
  <c r="T60" i="7"/>
  <c r="U69" i="7"/>
  <c r="AK86" i="7"/>
  <c r="AO86" i="7" s="1"/>
  <c r="IX86" i="7" s="1"/>
  <c r="T49" i="7"/>
  <c r="U55" i="7"/>
  <c r="AK95" i="7"/>
  <c r="AO95" i="7" s="1"/>
  <c r="AL95" i="7"/>
  <c r="AN95" i="7" s="1"/>
  <c r="AK60" i="7"/>
  <c r="AO60" i="7" s="1"/>
  <c r="T78" i="7"/>
  <c r="U95" i="7"/>
  <c r="AK73" i="7"/>
  <c r="AO73" i="7" s="1"/>
  <c r="AL49" i="7"/>
  <c r="AN49" i="7" s="1"/>
  <c r="AL67" i="7"/>
  <c r="AN67" i="7" s="1"/>
  <c r="IY67" i="7" s="1"/>
  <c r="AL89" i="7"/>
  <c r="AN89" i="7" s="1"/>
  <c r="AK67" i="7"/>
  <c r="AO67" i="7" s="1"/>
  <c r="IX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IS93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IX47" i="7" s="1"/>
  <c r="U51" i="7"/>
  <c r="T64" i="7"/>
  <c r="U70" i="7"/>
  <c r="AL51" i="7"/>
  <c r="AN51" i="7" s="1"/>
  <c r="AS66" i="7"/>
  <c r="AK88" i="7"/>
  <c r="AO88" i="7" s="1"/>
  <c r="IX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IY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W138" i="1"/>
  <c r="W137" i="1"/>
  <c r="W128" i="1"/>
  <c r="W100" i="1"/>
  <c r="W98" i="1"/>
  <c r="W119" i="1"/>
  <c r="W126" i="1"/>
  <c r="W92" i="1"/>
  <c r="W125" i="1"/>
  <c r="IN125" i="1" s="1"/>
  <c r="W114" i="1"/>
  <c r="W95" i="1"/>
  <c r="W109" i="1"/>
  <c r="W104" i="1"/>
  <c r="W99" i="1"/>
  <c r="W94" i="1"/>
  <c r="W121" i="1"/>
  <c r="W107" i="1"/>
  <c r="IN107" i="1" s="1"/>
  <c r="W132" i="1"/>
  <c r="W108" i="1"/>
  <c r="W124" i="1"/>
  <c r="IN124" i="1" s="1"/>
  <c r="W116" i="1"/>
  <c r="W117" i="1"/>
  <c r="W111" i="1"/>
  <c r="W102" i="1"/>
  <c r="W122" i="1"/>
  <c r="IN131" i="1" s="1"/>
  <c r="W131" i="1"/>
  <c r="W110" i="1"/>
  <c r="W127" i="1"/>
  <c r="IN127" i="1" s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IT56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IX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IY21" i="7" s="1"/>
  <c r="U21" i="7"/>
  <c r="AL9" i="7"/>
  <c r="AN9" i="7" s="1"/>
  <c r="IY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IY22" i="7" s="1"/>
  <c r="U22" i="7"/>
  <c r="AK22" i="7"/>
  <c r="AO22" i="7" s="1"/>
  <c r="IX22" i="7" s="1"/>
  <c r="AK29" i="7"/>
  <c r="AO29" i="7" s="1"/>
  <c r="AL20" i="7"/>
  <c r="AN20" i="7" s="1"/>
  <c r="IY20" i="7" s="1"/>
  <c r="T20" i="7"/>
  <c r="U29" i="7"/>
  <c r="U20" i="7"/>
  <c r="AS29" i="7"/>
  <c r="AS31" i="7"/>
  <c r="U18" i="7"/>
  <c r="AS30" i="7"/>
  <c r="AS28" i="7"/>
  <c r="AL23" i="7"/>
  <c r="AN23" i="7" s="1"/>
  <c r="IY23" i="7" s="1"/>
  <c r="AK24" i="7"/>
  <c r="AO24" i="7" s="1"/>
  <c r="IX24" i="7" s="1"/>
  <c r="T23" i="7"/>
  <c r="AL24" i="7"/>
  <c r="AN24" i="7" s="1"/>
  <c r="IY24" i="7" s="1"/>
  <c r="AS26" i="7"/>
  <c r="AK23" i="7"/>
  <c r="AO23" i="7" s="1"/>
  <c r="IX23" i="7" s="1"/>
  <c r="T24" i="7"/>
  <c r="AS27" i="7"/>
  <c r="AL19" i="7"/>
  <c r="U19" i="7"/>
  <c r="AK19" i="7"/>
  <c r="AO19" i="7" s="1"/>
  <c r="IX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IY10" i="7" s="1"/>
  <c r="AS22" i="7"/>
  <c r="AS21" i="7"/>
  <c r="T14" i="7"/>
  <c r="T10" i="7"/>
  <c r="AK10" i="7"/>
  <c r="AO10" i="7" s="1"/>
  <c r="IX10" i="7" s="1"/>
  <c r="AS20" i="7"/>
  <c r="AS19" i="7"/>
  <c r="AS17" i="7"/>
  <c r="AS18" i="7"/>
  <c r="AS16" i="7"/>
  <c r="T9" i="7"/>
  <c r="AK11" i="7"/>
  <c r="AO11" i="7" s="1"/>
  <c r="IX11" i="7" s="1"/>
  <c r="IF11" i="7" s="1"/>
  <c r="U11" i="7"/>
  <c r="U9" i="7"/>
  <c r="T11" i="7"/>
  <c r="AK9" i="7"/>
  <c r="AO9" i="7" s="1"/>
  <c r="IX9" i="7" s="1"/>
  <c r="AS15" i="7"/>
  <c r="AS11" i="7"/>
  <c r="AS14" i="7"/>
  <c r="AS9" i="7"/>
  <c r="AT112" i="7" s="1"/>
  <c r="AS10" i="7"/>
  <c r="AS13" i="7"/>
  <c r="AS77" i="7"/>
  <c r="U73" i="7"/>
  <c r="T54" i="7"/>
  <c r="AK77" i="7"/>
  <c r="AO77" i="7" s="1"/>
  <c r="IS94" i="7" s="1"/>
  <c r="AL77" i="7"/>
  <c r="AN77" i="7" s="1"/>
  <c r="IT94" i="7" s="1"/>
  <c r="AX157" i="7"/>
  <c r="AX154" i="7"/>
  <c r="AX155" i="7"/>
  <c r="Y30" i="7"/>
  <c r="Y84" i="7"/>
  <c r="IV84" i="7" s="1"/>
  <c r="Y87" i="7"/>
  <c r="Y54" i="7"/>
  <c r="IV54" i="7" s="1"/>
  <c r="Y25" i="7"/>
  <c r="IV25" i="7" s="1"/>
  <c r="Y79" i="7"/>
  <c r="IV79" i="7" s="1"/>
  <c r="Y59" i="7"/>
  <c r="Y74" i="7"/>
  <c r="Y86" i="7"/>
  <c r="IV86" i="7" s="1"/>
  <c r="Y57" i="7"/>
  <c r="Y23" i="7"/>
  <c r="IV23" i="7" s="1"/>
  <c r="Y58" i="7"/>
  <c r="Y62" i="7"/>
  <c r="Y55" i="7"/>
  <c r="Y50" i="7"/>
  <c r="IV50" i="7" s="1"/>
  <c r="Y77" i="7"/>
  <c r="Y38" i="7"/>
  <c r="Y83" i="7"/>
  <c r="Y34" i="7"/>
  <c r="Y26" i="7"/>
  <c r="IV26" i="7" s="1"/>
  <c r="Y42" i="7"/>
  <c r="IV42" i="7" s="1"/>
  <c r="Y78" i="7"/>
  <c r="IV78" i="7" s="1"/>
  <c r="Y69" i="7"/>
  <c r="IQ78" i="7" s="1"/>
  <c r="Y37" i="7"/>
  <c r="Y45" i="7"/>
  <c r="Y52" i="7"/>
  <c r="IV52" i="7" s="1"/>
  <c r="Y35" i="7"/>
  <c r="Y22" i="7"/>
  <c r="Y67" i="7"/>
  <c r="Y49" i="7"/>
  <c r="Y29" i="7"/>
  <c r="Y76" i="7"/>
  <c r="IV76" i="7" s="1"/>
  <c r="Y75" i="7"/>
  <c r="Y44" i="7"/>
  <c r="Y53" i="7"/>
  <c r="Y33" i="7"/>
  <c r="Y28" i="7"/>
  <c r="Y70" i="7"/>
  <c r="IQ79" i="7" s="1"/>
  <c r="Y32" i="7"/>
  <c r="Y31" i="7"/>
  <c r="Y18" i="7"/>
  <c r="IV18" i="7" s="1"/>
  <c r="Y63" i="7"/>
  <c r="Y41" i="7"/>
  <c r="IV41" i="7" s="1"/>
  <c r="Y89" i="7"/>
  <c r="Y90" i="7"/>
  <c r="W89" i="1"/>
  <c r="W90" i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N83" i="1" l="1"/>
  <c r="IT17" i="7"/>
  <c r="IS56" i="7"/>
  <c r="IN89" i="1"/>
  <c r="IN56" i="1"/>
  <c r="IN84" i="1"/>
  <c r="IN85" i="1"/>
  <c r="IN87" i="1"/>
  <c r="IN38" i="1"/>
  <c r="IY13" i="7"/>
  <c r="IT18" i="7"/>
  <c r="IX13" i="7"/>
  <c r="IS18" i="7"/>
  <c r="IS15" i="7"/>
  <c r="IS17" i="7"/>
  <c r="IF20" i="7"/>
  <c r="IF21" i="7"/>
  <c r="IN99" i="1"/>
  <c r="IN70" i="1"/>
  <c r="IY17" i="7"/>
  <c r="IF14" i="7"/>
  <c r="IS27" i="7"/>
  <c r="IX18" i="7"/>
  <c r="IF22" i="7"/>
  <c r="IN121" i="1"/>
  <c r="IN122" i="1"/>
  <c r="AL137" i="1"/>
  <c r="AN137" i="1" s="1"/>
  <c r="JA137" i="1" s="1"/>
  <c r="IN137" i="1"/>
  <c r="IS26" i="7"/>
  <c r="IX17" i="7"/>
  <c r="IN132" i="1"/>
  <c r="IN123" i="1"/>
  <c r="AL138" i="1"/>
  <c r="AN138" i="1" s="1"/>
  <c r="JA138" i="1" s="1"/>
  <c r="IN138" i="1"/>
  <c r="AL136" i="1"/>
  <c r="AN136" i="1" s="1"/>
  <c r="JA136" i="1" s="1"/>
  <c r="IN136" i="1"/>
  <c r="IN82" i="1"/>
  <c r="IN74" i="1"/>
  <c r="IT27" i="7"/>
  <c r="IY18" i="7"/>
  <c r="IN135" i="1"/>
  <c r="IN126" i="1"/>
  <c r="JB30" i="7" a="1"/>
  <c r="JB30" i="7" s="1"/>
  <c r="HW13" i="1"/>
  <c r="HV13" i="1"/>
  <c r="ID13" i="1"/>
  <c r="HU13" i="1"/>
  <c r="HT13" i="1"/>
  <c r="HX13" i="1"/>
  <c r="HK13" i="1"/>
  <c r="HS14" i="1" s="1"/>
  <c r="HL14" i="1" s="1"/>
  <c r="IT31" i="7"/>
  <c r="JB23" i="7" a="1"/>
  <c r="JB23" i="7" s="1"/>
  <c r="JB29" i="7" a="1"/>
  <c r="JB29" i="7" s="1"/>
  <c r="IS28" i="7"/>
  <c r="IS23" i="7"/>
  <c r="IF23" i="7"/>
  <c r="IN119" i="1"/>
  <c r="IN120" i="1"/>
  <c r="IN104" i="1"/>
  <c r="IN105" i="1"/>
  <c r="IN106" i="1"/>
  <c r="IF9" i="7"/>
  <c r="IY90" i="7"/>
  <c r="IT110" i="7"/>
  <c r="IS30" i="7"/>
  <c r="IS33" i="7"/>
  <c r="IV90" i="7"/>
  <c r="IQ110" i="7"/>
  <c r="IS9" i="7"/>
  <c r="IX107" i="7"/>
  <c r="IT30" i="7"/>
  <c r="IT33" i="7"/>
  <c r="IT41" i="7"/>
  <c r="IY32" i="7"/>
  <c r="BA113" i="7"/>
  <c r="IY113" i="7"/>
  <c r="IF113" i="7" s="1"/>
  <c r="IT15" i="7"/>
  <c r="IV87" i="7"/>
  <c r="IQ107" i="7"/>
  <c r="IT29" i="7"/>
  <c r="IT32" i="7"/>
  <c r="IT34" i="7"/>
  <c r="IY12" i="7"/>
  <c r="IT25" i="7"/>
  <c r="IY16" i="7"/>
  <c r="IS29" i="7"/>
  <c r="IS32" i="7"/>
  <c r="IV89" i="7"/>
  <c r="IQ109" i="7"/>
  <c r="IS42" i="7"/>
  <c r="IX33" i="7"/>
  <c r="IT113" i="7"/>
  <c r="IY93" i="7"/>
  <c r="IF10" i="7"/>
  <c r="IY89" i="7"/>
  <c r="IT109" i="7"/>
  <c r="IX12" i="7"/>
  <c r="IS34" i="7"/>
  <c r="IT65" i="7"/>
  <c r="IY56" i="7"/>
  <c r="IX94" i="7"/>
  <c r="IS114" i="7"/>
  <c r="IX90" i="7"/>
  <c r="IS110" i="7"/>
  <c r="IX93" i="7"/>
  <c r="IS113" i="7"/>
  <c r="IS24" i="7"/>
  <c r="IX15" i="7"/>
  <c r="IS31" i="7"/>
  <c r="IY15" i="7"/>
  <c r="IS65" i="7"/>
  <c r="IX56" i="7"/>
  <c r="IX89" i="7"/>
  <c r="IS109" i="7"/>
  <c r="IV55" i="7"/>
  <c r="IQ93" i="7"/>
  <c r="IY87" i="7"/>
  <c r="IT107" i="7"/>
  <c r="IY107" i="7"/>
  <c r="IT9" i="7"/>
  <c r="IV77" i="7"/>
  <c r="IQ94" i="7"/>
  <c r="IY91" i="7"/>
  <c r="IT13" i="7"/>
  <c r="IX91" i="7"/>
  <c r="IS13" i="7"/>
  <c r="IQ9" i="7"/>
  <c r="IV107" i="7"/>
  <c r="IS41" i="7"/>
  <c r="IX32" i="7"/>
  <c r="AT114" i="7"/>
  <c r="IV32" i="7"/>
  <c r="IS43" i="7"/>
  <c r="IX34" i="7"/>
  <c r="IX87" i="7"/>
  <c r="IS107" i="7"/>
  <c r="IS25" i="7"/>
  <c r="IX16" i="7"/>
  <c r="IT16" i="7"/>
  <c r="IY114" i="7"/>
  <c r="IF114" i="7" s="1"/>
  <c r="AP48" i="7"/>
  <c r="IF92" i="7"/>
  <c r="IF84" i="7"/>
  <c r="AT113" i="7"/>
  <c r="IN86" i="1"/>
  <c r="IN134" i="1"/>
  <c r="IN72" i="1"/>
  <c r="AP78" i="7"/>
  <c r="IF24" i="7"/>
  <c r="AN96" i="7"/>
  <c r="IY64" i="7"/>
  <c r="IT73" i="7"/>
  <c r="IT61" i="7"/>
  <c r="IY52" i="7"/>
  <c r="IS62" i="7"/>
  <c r="IX53" i="7"/>
  <c r="IY44" i="7"/>
  <c r="IT60" i="7"/>
  <c r="IY51" i="7"/>
  <c r="IS64" i="7"/>
  <c r="IX55" i="7"/>
  <c r="IX46" i="7"/>
  <c r="IS55" i="7"/>
  <c r="IY43" i="7"/>
  <c r="IS84" i="7"/>
  <c r="IX75" i="7"/>
  <c r="IT82" i="7"/>
  <c r="IY73" i="7"/>
  <c r="IT63" i="7"/>
  <c r="IY54" i="7"/>
  <c r="IY65" i="7"/>
  <c r="IT74" i="7"/>
  <c r="IT83" i="7"/>
  <c r="IY74" i="7"/>
  <c r="IX44" i="7"/>
  <c r="IS53" i="7"/>
  <c r="IT62" i="7"/>
  <c r="IY53" i="7"/>
  <c r="IT84" i="7"/>
  <c r="IY75" i="7"/>
  <c r="IX65" i="7"/>
  <c r="IS74" i="7"/>
  <c r="IX43" i="7"/>
  <c r="IS52" i="7"/>
  <c r="IS61" i="7"/>
  <c r="IX52" i="7"/>
  <c r="IX64" i="7"/>
  <c r="IS73" i="7"/>
  <c r="IY66" i="7"/>
  <c r="IT75" i="7"/>
  <c r="IX42" i="7"/>
  <c r="IS51" i="7"/>
  <c r="IY42" i="7"/>
  <c r="IX66" i="7"/>
  <c r="IS75" i="7"/>
  <c r="IT64" i="7"/>
  <c r="IY55" i="7"/>
  <c r="IQ62" i="7"/>
  <c r="IV53" i="7"/>
  <c r="IS60" i="7"/>
  <c r="IX51" i="7"/>
  <c r="IS83" i="7"/>
  <c r="IX74" i="7"/>
  <c r="IS82" i="7"/>
  <c r="IX73" i="7"/>
  <c r="IX45" i="7"/>
  <c r="IS54" i="7"/>
  <c r="IS63" i="7"/>
  <c r="IX54" i="7"/>
  <c r="IY29" i="7"/>
  <c r="IT69" i="7"/>
  <c r="IY60" i="7"/>
  <c r="IV49" i="7"/>
  <c r="IQ58" i="7"/>
  <c r="IT49" i="7"/>
  <c r="IY40" i="7"/>
  <c r="IY37" i="7"/>
  <c r="IS70" i="7"/>
  <c r="IX61" i="7"/>
  <c r="IT67" i="7"/>
  <c r="IY58" i="7"/>
  <c r="IX50" i="7"/>
  <c r="IS59" i="7"/>
  <c r="IX71" i="7"/>
  <c r="IS80" i="7"/>
  <c r="IQ71" i="7"/>
  <c r="IV62" i="7"/>
  <c r="IT86" i="7"/>
  <c r="IY77" i="7"/>
  <c r="IY27" i="7"/>
  <c r="IY50" i="7"/>
  <c r="IT59" i="7"/>
  <c r="IY71" i="7"/>
  <c r="IT80" i="7"/>
  <c r="IT89" i="7"/>
  <c r="IY80" i="7"/>
  <c r="IS45" i="7"/>
  <c r="IX36" i="7"/>
  <c r="IY68" i="7"/>
  <c r="IT77" i="7"/>
  <c r="IX68" i="7"/>
  <c r="IS77" i="7"/>
  <c r="IS86" i="7"/>
  <c r="IX77" i="7"/>
  <c r="IS67" i="7"/>
  <c r="IX58" i="7"/>
  <c r="IY70" i="7"/>
  <c r="IT79" i="7"/>
  <c r="IS69" i="7"/>
  <c r="IX60" i="7"/>
  <c r="IX69" i="7"/>
  <c r="IS78" i="7"/>
  <c r="IS91" i="7"/>
  <c r="IX82" i="7"/>
  <c r="IX48" i="7"/>
  <c r="IS57" i="7"/>
  <c r="IS46" i="7"/>
  <c r="IX37" i="7"/>
  <c r="IV33" i="7"/>
  <c r="IQ42" i="7"/>
  <c r="IQ67" i="7"/>
  <c r="IV58" i="7"/>
  <c r="IQ59" i="7"/>
  <c r="IQ63" i="7"/>
  <c r="IX27" i="7"/>
  <c r="IS36" i="7"/>
  <c r="IY31" i="7"/>
  <c r="IT40" i="7"/>
  <c r="IT50" i="7"/>
  <c r="IY41" i="7"/>
  <c r="IX70" i="7"/>
  <c r="IS79" i="7"/>
  <c r="IT71" i="7"/>
  <c r="IY62" i="7"/>
  <c r="IS90" i="7"/>
  <c r="IX81" i="7"/>
  <c r="IS48" i="7"/>
  <c r="IX39" i="7"/>
  <c r="IX29" i="7"/>
  <c r="IS38" i="7"/>
  <c r="IY26" i="7"/>
  <c r="IS44" i="7"/>
  <c r="IX35" i="7"/>
  <c r="IS47" i="7"/>
  <c r="IX38" i="7"/>
  <c r="IX72" i="7"/>
  <c r="IS81" i="7"/>
  <c r="IS66" i="7"/>
  <c r="IX57" i="7"/>
  <c r="IT92" i="7"/>
  <c r="IY83" i="7"/>
  <c r="IY69" i="7"/>
  <c r="IT78" i="7"/>
  <c r="IX31" i="7"/>
  <c r="IS40" i="7"/>
  <c r="IS89" i="7"/>
  <c r="IX80" i="7"/>
  <c r="IS68" i="7"/>
  <c r="IX59" i="7"/>
  <c r="IT66" i="7"/>
  <c r="IY57" i="7"/>
  <c r="IX49" i="7"/>
  <c r="IS58" i="7"/>
  <c r="IQ64" i="7"/>
  <c r="IV63" i="7"/>
  <c r="IQ92" i="7"/>
  <c r="IV83" i="7"/>
  <c r="IQ66" i="7"/>
  <c r="IV57" i="7"/>
  <c r="IV75" i="7"/>
  <c r="IQ84" i="7"/>
  <c r="IV38" i="7"/>
  <c r="IS49" i="7"/>
  <c r="IX40" i="7"/>
  <c r="IF88" i="7"/>
  <c r="IT91" i="7"/>
  <c r="IY82" i="7"/>
  <c r="IT48" i="7"/>
  <c r="IY39" i="7"/>
  <c r="IT72" i="7"/>
  <c r="IY63" i="7"/>
  <c r="IV31" i="7"/>
  <c r="IQ40" i="7"/>
  <c r="IQ46" i="7"/>
  <c r="IV37" i="7"/>
  <c r="IV74" i="7"/>
  <c r="IQ83" i="7"/>
  <c r="IX28" i="7"/>
  <c r="IY49" i="7"/>
  <c r="IT58" i="7"/>
  <c r="IT68" i="7"/>
  <c r="IY59" i="7"/>
  <c r="IS92" i="7"/>
  <c r="IX83" i="7"/>
  <c r="IT70" i="7"/>
  <c r="IY61" i="7"/>
  <c r="IS71" i="7"/>
  <c r="IX62" i="7"/>
  <c r="IX26" i="7"/>
  <c r="IY28" i="7"/>
  <c r="IY38" i="7"/>
  <c r="IS88" i="7"/>
  <c r="IX79" i="7"/>
  <c r="IS72" i="7"/>
  <c r="IX63" i="7"/>
  <c r="IT90" i="7"/>
  <c r="IY81" i="7"/>
  <c r="IT88" i="7"/>
  <c r="IY79" i="7"/>
  <c r="IY72" i="7"/>
  <c r="IT81" i="7"/>
  <c r="IS50" i="7"/>
  <c r="IX41" i="7"/>
  <c r="IS87" i="7"/>
  <c r="IX78" i="7"/>
  <c r="IF86" i="7"/>
  <c r="IQ85" i="7"/>
  <c r="AN94" i="7"/>
  <c r="IQ76" i="7"/>
  <c r="IV70" i="7"/>
  <c r="IN90" i="1"/>
  <c r="IV29" i="7"/>
  <c r="IV69" i="7"/>
  <c r="IV59" i="7"/>
  <c r="IQ68" i="7"/>
  <c r="IN129" i="1"/>
  <c r="IF85" i="7"/>
  <c r="IV28" i="7"/>
  <c r="IV67" i="7"/>
  <c r="IN110" i="1"/>
  <c r="IN130" i="1"/>
  <c r="IN91" i="1"/>
  <c r="IN92" i="1"/>
  <c r="IV22" i="7"/>
  <c r="IV35" i="7"/>
  <c r="IV34" i="7"/>
  <c r="IQ43" i="7"/>
  <c r="IN108" i="1"/>
  <c r="IN128" i="1"/>
  <c r="IV44" i="7"/>
  <c r="IN71" i="1"/>
  <c r="IQ27" i="7"/>
  <c r="IV45" i="7"/>
  <c r="IV30" i="7"/>
  <c r="IN133" i="1"/>
  <c r="IN109" i="1"/>
  <c r="IF67" i="7"/>
  <c r="IF47" i="7"/>
  <c r="IN88" i="1"/>
  <c r="IN69" i="1"/>
  <c r="IN21" i="1"/>
  <c r="IN103" i="1"/>
  <c r="IN68" i="1"/>
  <c r="IN57" i="1"/>
  <c r="IN73" i="1"/>
  <c r="IN20" i="1"/>
  <c r="IN37" i="1"/>
  <c r="IN49" i="1"/>
  <c r="IN50" i="1"/>
  <c r="IN16" i="1"/>
  <c r="IN55" i="1"/>
  <c r="IN48" i="1"/>
  <c r="IN46" i="1"/>
  <c r="IN47" i="1"/>
  <c r="IN45" i="1"/>
  <c r="IN32" i="1"/>
  <c r="IN31" i="1"/>
  <c r="IN23" i="1"/>
  <c r="IN94" i="1"/>
  <c r="IN112" i="1"/>
  <c r="IN44" i="1"/>
  <c r="IN95" i="1"/>
  <c r="IN63" i="1"/>
  <c r="IN27" i="1"/>
  <c r="IN67" i="1"/>
  <c r="IN75" i="1"/>
  <c r="IN111" i="1"/>
  <c r="IN96" i="1"/>
  <c r="IN40" i="1"/>
  <c r="IN80" i="1"/>
  <c r="IN101" i="1"/>
  <c r="IN100" i="1"/>
  <c r="IN102" i="1"/>
  <c r="IN76" i="1"/>
  <c r="IN79" i="1"/>
  <c r="IN64" i="1"/>
  <c r="IN114" i="1"/>
  <c r="IN113" i="1"/>
  <c r="IN58" i="1"/>
  <c r="IN98" i="1"/>
  <c r="AN48" i="7"/>
  <c r="IT53" i="7" s="1"/>
  <c r="AP82" i="7"/>
  <c r="AN78" i="7"/>
  <c r="IN65" i="1"/>
  <c r="IN93" i="1"/>
  <c r="IN117" i="1"/>
  <c r="IN118" i="1"/>
  <c r="AS9" i="1"/>
  <c r="AT9" i="1" s="1"/>
  <c r="IN28" i="1"/>
  <c r="IN81" i="1"/>
  <c r="IN30" i="1"/>
  <c r="AN36" i="7"/>
  <c r="IN29" i="1"/>
  <c r="IN62" i="1"/>
  <c r="IN22" i="1"/>
  <c r="IN39" i="1"/>
  <c r="IN78" i="1"/>
  <c r="IN97" i="1"/>
  <c r="IN116" i="1"/>
  <c r="IN66" i="1"/>
  <c r="IN77" i="1"/>
  <c r="AN35" i="7"/>
  <c r="AN25" i="7"/>
  <c r="IY25" i="7" s="1"/>
  <c r="IF25" i="7" s="1"/>
  <c r="IN115" i="1"/>
  <c r="AN34" i="7"/>
  <c r="IT36" i="7" s="1"/>
  <c r="IN54" i="1"/>
  <c r="IN60" i="1"/>
  <c r="IN52" i="1"/>
  <c r="IN53" i="1"/>
  <c r="IN59" i="1"/>
  <c r="IN61" i="1"/>
  <c r="IN51" i="1"/>
  <c r="IN43" i="1"/>
  <c r="IN42" i="1"/>
  <c r="IN41" i="1"/>
  <c r="IN19" i="1"/>
  <c r="IN35" i="1"/>
  <c r="IN36" i="1"/>
  <c r="IN34" i="1"/>
  <c r="IN33" i="1"/>
  <c r="IN26" i="1"/>
  <c r="IN25" i="1"/>
  <c r="IN24" i="1"/>
  <c r="IN17" i="1"/>
  <c r="IN18" i="1"/>
  <c r="AK17" i="1"/>
  <c r="AK30" i="1"/>
  <c r="AO30" i="1" s="1"/>
  <c r="AK24" i="1"/>
  <c r="AK10" i="1"/>
  <c r="AK11" i="1"/>
  <c r="AO11" i="1" s="1"/>
  <c r="AW11" i="7"/>
  <c r="AN30" i="7"/>
  <c r="IT35" i="7" s="1"/>
  <c r="AO30" i="7"/>
  <c r="IS37" i="7" s="1"/>
  <c r="T13" i="1"/>
  <c r="AN33" i="7"/>
  <c r="AN46" i="7"/>
  <c r="IT52" i="7" s="1"/>
  <c r="AN45" i="7"/>
  <c r="IT47" i="7" s="1"/>
  <c r="AN19" i="7"/>
  <c r="IY19" i="7" s="1"/>
  <c r="IF19" i="7" s="1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Z105" i="7" s="1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IQ44" i="7" s="1"/>
  <c r="Y47" i="7"/>
  <c r="Y82" i="7"/>
  <c r="IV82" i="7" s="1"/>
  <c r="Y80" i="7"/>
  <c r="IV80" i="7" s="1"/>
  <c r="Y24" i="7"/>
  <c r="IV24" i="7" s="1"/>
  <c r="Y72" i="7"/>
  <c r="IQ81" i="7" s="1"/>
  <c r="Y64" i="7"/>
  <c r="IQ73" i="7" s="1"/>
  <c r="Y73" i="7"/>
  <c r="Y65" i="7"/>
  <c r="Y94" i="7"/>
  <c r="Y15" i="7"/>
  <c r="Y71" i="7"/>
  <c r="IQ80" i="7" s="1"/>
  <c r="Y12" i="7"/>
  <c r="Y61" i="7"/>
  <c r="Y66" i="7"/>
  <c r="IQ75" i="7" s="1"/>
  <c r="Y20" i="7"/>
  <c r="IV20" i="7" s="1"/>
  <c r="Y56" i="7"/>
  <c r="IV56" i="7" s="1"/>
  <c r="Y46" i="7"/>
  <c r="IQ51" i="7" s="1"/>
  <c r="Y36" i="7"/>
  <c r="IQ54" i="7" s="1"/>
  <c r="Y102" i="7"/>
  <c r="AT102" i="7" s="1"/>
  <c r="Y88" i="7"/>
  <c r="IV88" i="7" s="1"/>
  <c r="Y40" i="7"/>
  <c r="IQ37" i="7" s="1"/>
  <c r="Y16" i="7"/>
  <c r="IV16" i="7" s="1"/>
  <c r="Y68" i="7"/>
  <c r="IQ77" i="7" s="1"/>
  <c r="Y81" i="7"/>
  <c r="IV81" i="7" s="1"/>
  <c r="Y51" i="7"/>
  <c r="IV51" i="7" s="1"/>
  <c r="Y60" i="7"/>
  <c r="Y27" i="7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Y43" i="7"/>
  <c r="Y9" i="7"/>
  <c r="IV9" i="7" s="1"/>
  <c r="AP85" i="7"/>
  <c r="Y91" i="7"/>
  <c r="Y99" i="7"/>
  <c r="Y98" i="7"/>
  <c r="IQ10" i="7" s="1"/>
  <c r="Y93" i="7"/>
  <c r="Y19" i="7"/>
  <c r="Y14" i="7"/>
  <c r="IV14" i="7" s="1"/>
  <c r="Y92" i="7"/>
  <c r="IV92" i="7" s="1"/>
  <c r="Y17" i="7"/>
  <c r="IV17" i="7" s="1"/>
  <c r="Y21" i="7"/>
  <c r="Y11" i="7"/>
  <c r="IV11" i="7" s="1"/>
  <c r="Y10" i="7"/>
  <c r="IV10" i="7" s="1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Z107" i="7" s="1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Z104" i="7" s="1"/>
  <c r="AP70" i="7"/>
  <c r="AY106" i="7"/>
  <c r="V106" i="7"/>
  <c r="AZ106" i="7" s="1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M251" i="1" s="1"/>
  <c r="AW95" i="7"/>
  <c r="AK96" i="1"/>
  <c r="AK133" i="1"/>
  <c r="T133" i="1"/>
  <c r="U133" i="1"/>
  <c r="AL133" i="1"/>
  <c r="AN133" i="1" s="1"/>
  <c r="JA133" i="1" s="1"/>
  <c r="AK127" i="1"/>
  <c r="T127" i="1"/>
  <c r="U127" i="1"/>
  <c r="AL127" i="1"/>
  <c r="AN127" i="1" s="1"/>
  <c r="JA127" i="1" s="1"/>
  <c r="AL124" i="1"/>
  <c r="AN124" i="1" s="1"/>
  <c r="U124" i="1"/>
  <c r="AK124" i="1"/>
  <c r="T124" i="1"/>
  <c r="AL109" i="1"/>
  <c r="AN109" i="1" s="1"/>
  <c r="JA109" i="1" s="1"/>
  <c r="AK109" i="1"/>
  <c r="T109" i="1"/>
  <c r="U109" i="1"/>
  <c r="AL100" i="1"/>
  <c r="AN100" i="1" s="1"/>
  <c r="IV109" i="1" s="1"/>
  <c r="T100" i="1"/>
  <c r="AW99" i="7"/>
  <c r="AK100" i="1"/>
  <c r="U100" i="1"/>
  <c r="AY101" i="7"/>
  <c r="V101" i="7"/>
  <c r="AZ101" i="7" s="1"/>
  <c r="AL134" i="1"/>
  <c r="AN134" i="1" s="1"/>
  <c r="JA134" i="1" s="1"/>
  <c r="AK134" i="1"/>
  <c r="U134" i="1"/>
  <c r="T134" i="1"/>
  <c r="AL129" i="1"/>
  <c r="AN129" i="1" s="1"/>
  <c r="JA129" i="1" s="1"/>
  <c r="U129" i="1"/>
  <c r="AK129" i="1"/>
  <c r="T129" i="1"/>
  <c r="AL110" i="1"/>
  <c r="AN110" i="1" s="1"/>
  <c r="JA110" i="1" s="1"/>
  <c r="AK110" i="1"/>
  <c r="U110" i="1"/>
  <c r="T110" i="1"/>
  <c r="AK108" i="1"/>
  <c r="T108" i="1"/>
  <c r="AL108" i="1"/>
  <c r="AN108" i="1" s="1"/>
  <c r="U108" i="1"/>
  <c r="U95" i="1"/>
  <c r="AL95" i="1"/>
  <c r="AN95" i="1" s="1"/>
  <c r="AK95" i="1"/>
  <c r="AW94" i="7"/>
  <c r="T95" i="1"/>
  <c r="AK128" i="1"/>
  <c r="AL128" i="1"/>
  <c r="AN128" i="1" s="1"/>
  <c r="JA128" i="1" s="1"/>
  <c r="U128" i="1"/>
  <c r="T128" i="1"/>
  <c r="T131" i="1"/>
  <c r="AK131" i="1"/>
  <c r="AL131" i="1"/>
  <c r="AN131" i="1" s="1"/>
  <c r="JA131" i="1" s="1"/>
  <c r="U131" i="1"/>
  <c r="T115" i="1"/>
  <c r="AK115" i="1"/>
  <c r="U115" i="1"/>
  <c r="AL115" i="1"/>
  <c r="AN115" i="1" s="1"/>
  <c r="JA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Z97" i="7" s="1"/>
  <c r="AL135" i="1"/>
  <c r="AN135" i="1" s="1"/>
  <c r="JA135" i="1" s="1"/>
  <c r="U135" i="1"/>
  <c r="AK135" i="1"/>
  <c r="T135" i="1"/>
  <c r="AK101" i="1"/>
  <c r="T101" i="1"/>
  <c r="U101" i="1"/>
  <c r="AW100" i="7"/>
  <c r="AL101" i="1"/>
  <c r="AN101" i="1" s="1"/>
  <c r="IV110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M247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AK114" i="1"/>
  <c r="AY103" i="7"/>
  <c r="V103" i="7"/>
  <c r="AZ103" i="7" s="1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JA103" i="1" s="1"/>
  <c r="AK103" i="1"/>
  <c r="AW102" i="7"/>
  <c r="T103" i="1"/>
  <c r="AL111" i="1"/>
  <c r="AN111" i="1" s="1"/>
  <c r="U111" i="1"/>
  <c r="AK111" i="1"/>
  <c r="T111" i="1"/>
  <c r="AW93" i="7"/>
  <c r="AL94" i="1"/>
  <c r="AN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JA132" i="1" s="1"/>
  <c r="AP32" i="7"/>
  <c r="U105" i="1"/>
  <c r="T105" i="1"/>
  <c r="AK105" i="1"/>
  <c r="AL105" i="1"/>
  <c r="AN105" i="1" s="1"/>
  <c r="U93" i="1"/>
  <c r="T93" i="1"/>
  <c r="AW92" i="7"/>
  <c r="AL93" i="1"/>
  <c r="AN93" i="1" s="1"/>
  <c r="AK93" i="1"/>
  <c r="AL112" i="1"/>
  <c r="AN112" i="1" s="1"/>
  <c r="T112" i="1"/>
  <c r="U112" i="1"/>
  <c r="AK112" i="1"/>
  <c r="T117" i="1"/>
  <c r="AK117" i="1"/>
  <c r="AL117" i="1"/>
  <c r="AN117" i="1" s="1"/>
  <c r="U117" i="1"/>
  <c r="AL99" i="1"/>
  <c r="AN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T113" i="1"/>
  <c r="U113" i="1"/>
  <c r="AW56" i="7"/>
  <c r="AW64" i="7"/>
  <c r="AW72" i="7"/>
  <c r="AL130" i="1"/>
  <c r="AN130" i="1" s="1"/>
  <c r="JA130" i="1" s="1"/>
  <c r="T130" i="1"/>
  <c r="AK130" i="1"/>
  <c r="U130" i="1"/>
  <c r="U106" i="1"/>
  <c r="AL106" i="1"/>
  <c r="AN106" i="1" s="1"/>
  <c r="JA106" i="1" s="1"/>
  <c r="AK106" i="1"/>
  <c r="T106" i="1"/>
  <c r="AL97" i="1"/>
  <c r="AN97" i="1" s="1"/>
  <c r="M252" i="1" s="1"/>
  <c r="AW96" i="7"/>
  <c r="AK97" i="1"/>
  <c r="U97" i="1"/>
  <c r="T97" i="1"/>
  <c r="AK116" i="1"/>
  <c r="U116" i="1"/>
  <c r="T116" i="1"/>
  <c r="AL116" i="1"/>
  <c r="AN116" i="1" s="1"/>
  <c r="JA116" i="1" s="1"/>
  <c r="AL104" i="1"/>
  <c r="AN104" i="1" s="1"/>
  <c r="AW103" i="7"/>
  <c r="T104" i="1"/>
  <c r="AK104" i="1"/>
  <c r="U104" i="1"/>
  <c r="AK98" i="1"/>
  <c r="U98" i="1"/>
  <c r="AW97" i="7"/>
  <c r="T98" i="1"/>
  <c r="AL98" i="1"/>
  <c r="AN98" i="1" s="1"/>
  <c r="M253" i="1" s="1"/>
  <c r="AY96" i="7"/>
  <c r="V96" i="7"/>
  <c r="AZ96" i="7" s="1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Z89" i="7" s="1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Y87" i="7"/>
  <c r="V87" i="7"/>
  <c r="AL83" i="1"/>
  <c r="AN83" i="1" s="1"/>
  <c r="M238" i="1" s="1"/>
  <c r="AW83" i="7"/>
  <c r="AY32" i="7"/>
  <c r="V32" i="7"/>
  <c r="AY84" i="7"/>
  <c r="V84" i="7"/>
  <c r="T41" i="1"/>
  <c r="AW41" i="7"/>
  <c r="AL61" i="1"/>
  <c r="AN61" i="1" s="1"/>
  <c r="M216" i="1" s="1"/>
  <c r="AW61" i="7"/>
  <c r="AL69" i="1"/>
  <c r="AN69" i="1" s="1"/>
  <c r="M224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M218" i="1" s="1"/>
  <c r="AW63" i="7"/>
  <c r="U71" i="1"/>
  <c r="AW71" i="7"/>
  <c r="T79" i="1"/>
  <c r="AW79" i="7"/>
  <c r="AY90" i="7"/>
  <c r="V90" i="7"/>
  <c r="AZ90" i="7" s="1"/>
  <c r="AY41" i="7"/>
  <c r="V41" i="7"/>
  <c r="AY70" i="7"/>
  <c r="V70" i="7"/>
  <c r="AY54" i="7"/>
  <c r="V54" i="7"/>
  <c r="AK90" i="1"/>
  <c r="T90" i="1"/>
  <c r="AL90" i="1"/>
  <c r="AN90" i="1" s="1"/>
  <c r="M245" i="1" s="1"/>
  <c r="U90" i="1"/>
  <c r="U89" i="1"/>
  <c r="AL89" i="1"/>
  <c r="AN89" i="1" s="1"/>
  <c r="M244" i="1" s="1"/>
  <c r="T89" i="1"/>
  <c r="T88" i="1"/>
  <c r="AL88" i="1"/>
  <c r="AN88" i="1" s="1"/>
  <c r="M243" i="1" s="1"/>
  <c r="AK88" i="1"/>
  <c r="U88" i="1"/>
  <c r="T87" i="1"/>
  <c r="AK87" i="1"/>
  <c r="AL87" i="1"/>
  <c r="AN87" i="1" s="1"/>
  <c r="M242" i="1" s="1"/>
  <c r="U85" i="1"/>
  <c r="AL86" i="1"/>
  <c r="AN86" i="1" s="1"/>
  <c r="M241" i="1" s="1"/>
  <c r="U86" i="1"/>
  <c r="AK86" i="1"/>
  <c r="T86" i="1"/>
  <c r="T85" i="1"/>
  <c r="AL85" i="1"/>
  <c r="AN85" i="1" s="1"/>
  <c r="M240" i="1" s="1"/>
  <c r="AK83" i="1"/>
  <c r="AL84" i="1"/>
  <c r="AN84" i="1" s="1"/>
  <c r="M239" i="1" s="1"/>
  <c r="T84" i="1"/>
  <c r="U84" i="1"/>
  <c r="AK84" i="1"/>
  <c r="T83" i="1"/>
  <c r="U83" i="1"/>
  <c r="AL82" i="1"/>
  <c r="AN82" i="1" s="1"/>
  <c r="T82" i="1"/>
  <c r="U82" i="1"/>
  <c r="AK82" i="1"/>
  <c r="U81" i="1"/>
  <c r="AL81" i="1"/>
  <c r="AN81" i="1" s="1"/>
  <c r="M236" i="1" s="1"/>
  <c r="AK81" i="1"/>
  <c r="T81" i="1"/>
  <c r="AL79" i="1"/>
  <c r="AN79" i="1" s="1"/>
  <c r="M234" i="1" s="1"/>
  <c r="U80" i="1"/>
  <c r="AL80" i="1"/>
  <c r="AN80" i="1" s="1"/>
  <c r="M235" i="1" s="1"/>
  <c r="AK80" i="1"/>
  <c r="T80" i="1"/>
  <c r="U79" i="1"/>
  <c r="AK79" i="1"/>
  <c r="U78" i="1"/>
  <c r="T78" i="1"/>
  <c r="AK78" i="1"/>
  <c r="AL78" i="1"/>
  <c r="AN78" i="1" s="1"/>
  <c r="M233" i="1" s="1"/>
  <c r="U77" i="1"/>
  <c r="AK77" i="1"/>
  <c r="AL77" i="1"/>
  <c r="AN77" i="1" s="1"/>
  <c r="M232" i="1" s="1"/>
  <c r="AK76" i="1"/>
  <c r="T76" i="1"/>
  <c r="AL76" i="1"/>
  <c r="AN76" i="1" s="1"/>
  <c r="M231" i="1" s="1"/>
  <c r="U76" i="1"/>
  <c r="AK75" i="1"/>
  <c r="T75" i="1"/>
  <c r="AL75" i="1"/>
  <c r="AN75" i="1" s="1"/>
  <c r="M230" i="1" s="1"/>
  <c r="AK74" i="1"/>
  <c r="T74" i="1"/>
  <c r="U74" i="1"/>
  <c r="AL74" i="1"/>
  <c r="AN74" i="1" s="1"/>
  <c r="M229" i="1" s="1"/>
  <c r="AL73" i="1"/>
  <c r="AN73" i="1" s="1"/>
  <c r="M228" i="1" s="1"/>
  <c r="T73" i="1"/>
  <c r="AK73" i="1"/>
  <c r="U73" i="1"/>
  <c r="T71" i="1"/>
  <c r="AK71" i="1"/>
  <c r="AO71" i="1" s="1"/>
  <c r="AL71" i="1"/>
  <c r="AN71" i="1" s="1"/>
  <c r="M226" i="1" s="1"/>
  <c r="AK72" i="1"/>
  <c r="T72" i="1"/>
  <c r="U72" i="1"/>
  <c r="AL72" i="1"/>
  <c r="AN72" i="1" s="1"/>
  <c r="M227" i="1" s="1"/>
  <c r="AK70" i="1"/>
  <c r="T70" i="1"/>
  <c r="U70" i="1"/>
  <c r="AL70" i="1"/>
  <c r="AN70" i="1" s="1"/>
  <c r="M225" i="1" s="1"/>
  <c r="T69" i="1"/>
  <c r="AK69" i="1"/>
  <c r="U69" i="1"/>
  <c r="U68" i="1"/>
  <c r="T68" i="1"/>
  <c r="AK68" i="1"/>
  <c r="AL68" i="1"/>
  <c r="AN68" i="1" s="1"/>
  <c r="M223" i="1" s="1"/>
  <c r="AK67" i="1"/>
  <c r="U67" i="1"/>
  <c r="AL67" i="1"/>
  <c r="AN67" i="1" s="1"/>
  <c r="M222" i="1" s="1"/>
  <c r="T67" i="1"/>
  <c r="T66" i="1"/>
  <c r="AK66" i="1"/>
  <c r="U66" i="1"/>
  <c r="AL66" i="1"/>
  <c r="AN66" i="1" s="1"/>
  <c r="M221" i="1" s="1"/>
  <c r="U65" i="1"/>
  <c r="T65" i="1"/>
  <c r="AL65" i="1"/>
  <c r="AN65" i="1" s="1"/>
  <c r="M220" i="1" s="1"/>
  <c r="AK65" i="1"/>
  <c r="AK64" i="1"/>
  <c r="U64" i="1"/>
  <c r="T64" i="1"/>
  <c r="AL64" i="1"/>
  <c r="AN64" i="1" s="1"/>
  <c r="M219" i="1" s="1"/>
  <c r="T63" i="1"/>
  <c r="U63" i="1"/>
  <c r="AK63" i="1"/>
  <c r="AK61" i="1"/>
  <c r="U62" i="1"/>
  <c r="T62" i="1"/>
  <c r="AK62" i="1"/>
  <c r="AL62" i="1"/>
  <c r="AN62" i="1" s="1"/>
  <c r="M217" i="1" s="1"/>
  <c r="U61" i="1"/>
  <c r="T61" i="1"/>
  <c r="AL60" i="1"/>
  <c r="AN60" i="1" s="1"/>
  <c r="M215" i="1" s="1"/>
  <c r="AK60" i="1"/>
  <c r="T60" i="1"/>
  <c r="U60" i="1"/>
  <c r="U59" i="1"/>
  <c r="T59" i="1"/>
  <c r="AL59" i="1"/>
  <c r="AN59" i="1" s="1"/>
  <c r="M214" i="1" s="1"/>
  <c r="AK59" i="1"/>
  <c r="AK57" i="1"/>
  <c r="AO57" i="1" s="1"/>
  <c r="AL58" i="1"/>
  <c r="AN58" i="1" s="1"/>
  <c r="M213" i="1" s="1"/>
  <c r="U58" i="1"/>
  <c r="T58" i="1"/>
  <c r="AK58" i="1"/>
  <c r="T57" i="1"/>
  <c r="AL57" i="1"/>
  <c r="U55" i="1"/>
  <c r="AL56" i="1"/>
  <c r="AN56" i="1" s="1"/>
  <c r="M211" i="1" s="1"/>
  <c r="T56" i="1"/>
  <c r="U56" i="1"/>
  <c r="AK56" i="1"/>
  <c r="T55" i="1"/>
  <c r="AL55" i="1"/>
  <c r="AN55" i="1" s="1"/>
  <c r="M210" i="1" s="1"/>
  <c r="AL54" i="1"/>
  <c r="AN54" i="1" s="1"/>
  <c r="M209" i="1" s="1"/>
  <c r="AK54" i="1"/>
  <c r="U54" i="1"/>
  <c r="T54" i="1"/>
  <c r="AL53" i="1"/>
  <c r="AN53" i="1" s="1"/>
  <c r="M208" i="1" s="1"/>
  <c r="AK53" i="1"/>
  <c r="T53" i="1"/>
  <c r="U53" i="1"/>
  <c r="AL52" i="1"/>
  <c r="AN52" i="1" s="1"/>
  <c r="M207" i="1" s="1"/>
  <c r="T52" i="1"/>
  <c r="U52" i="1"/>
  <c r="AK52" i="1"/>
  <c r="AL51" i="1"/>
  <c r="AN51" i="1" s="1"/>
  <c r="M206" i="1" s="1"/>
  <c r="T51" i="1"/>
  <c r="AK51" i="1"/>
  <c r="U51" i="1"/>
  <c r="AL49" i="1"/>
  <c r="AN49" i="1" s="1"/>
  <c r="M204" i="1" s="1"/>
  <c r="AK50" i="1"/>
  <c r="AL50" i="1"/>
  <c r="AN50" i="1" s="1"/>
  <c r="M205" i="1" s="1"/>
  <c r="U50" i="1"/>
  <c r="T50" i="1"/>
  <c r="T49" i="1"/>
  <c r="AK49" i="1"/>
  <c r="AO49" i="1" s="1"/>
  <c r="AK48" i="1"/>
  <c r="U48" i="1"/>
  <c r="AL48" i="1"/>
  <c r="AN48" i="1" s="1"/>
  <c r="M203" i="1" s="1"/>
  <c r="T48" i="1"/>
  <c r="AL47" i="1"/>
  <c r="T47" i="1"/>
  <c r="U47" i="1"/>
  <c r="AL46" i="1"/>
  <c r="AN46" i="1" s="1"/>
  <c r="M201" i="1" s="1"/>
  <c r="T46" i="1"/>
  <c r="U46" i="1"/>
  <c r="AK46" i="1"/>
  <c r="U45" i="1"/>
  <c r="AL45" i="1"/>
  <c r="AN45" i="1" s="1"/>
  <c r="M200" i="1" s="1"/>
  <c r="AK45" i="1"/>
  <c r="T45" i="1"/>
  <c r="U43" i="1"/>
  <c r="AL43" i="1"/>
  <c r="AN43" i="1" s="1"/>
  <c r="M198" i="1" s="1"/>
  <c r="AK43" i="1"/>
  <c r="AO43" i="1" s="1"/>
  <c r="T44" i="1"/>
  <c r="U44" i="1"/>
  <c r="AK44" i="1"/>
  <c r="AL44" i="1"/>
  <c r="AN44" i="1" s="1"/>
  <c r="M199" i="1" s="1"/>
  <c r="U41" i="1"/>
  <c r="AK41" i="1"/>
  <c r="AO41" i="1" s="1"/>
  <c r="AL41" i="1"/>
  <c r="AN41" i="1" s="1"/>
  <c r="M196" i="1" s="1"/>
  <c r="AL42" i="1"/>
  <c r="AN42" i="1" s="1"/>
  <c r="M197" i="1" s="1"/>
  <c r="U42" i="1"/>
  <c r="T42" i="1"/>
  <c r="AK42" i="1"/>
  <c r="AK39" i="1"/>
  <c r="AK40" i="1"/>
  <c r="AL40" i="1"/>
  <c r="AN40" i="1" s="1"/>
  <c r="M195" i="1" s="1"/>
  <c r="U40" i="1"/>
  <c r="T40" i="1"/>
  <c r="T39" i="1"/>
  <c r="AL39" i="1"/>
  <c r="AN39" i="1" s="1"/>
  <c r="M194" i="1" s="1"/>
  <c r="AL38" i="1"/>
  <c r="AN38" i="1" s="1"/>
  <c r="M193" i="1" s="1"/>
  <c r="AK38" i="1"/>
  <c r="T38" i="1"/>
  <c r="U38" i="1"/>
  <c r="AL37" i="1"/>
  <c r="AN37" i="1" s="1"/>
  <c r="M192" i="1" s="1"/>
  <c r="U37" i="1"/>
  <c r="T37" i="1"/>
  <c r="AK37" i="1"/>
  <c r="AK36" i="1"/>
  <c r="AL36" i="1"/>
  <c r="AN36" i="1" s="1"/>
  <c r="M191" i="1" s="1"/>
  <c r="T36" i="1"/>
  <c r="U36" i="1"/>
  <c r="U35" i="1"/>
  <c r="AL35" i="1"/>
  <c r="AN35" i="1" s="1"/>
  <c r="M190" i="1" s="1"/>
  <c r="AK35" i="1"/>
  <c r="T35" i="1"/>
  <c r="U34" i="1"/>
  <c r="AL34" i="1"/>
  <c r="AN34" i="1" s="1"/>
  <c r="M189" i="1" s="1"/>
  <c r="AK34" i="1"/>
  <c r="T34" i="1"/>
  <c r="AK33" i="1"/>
  <c r="AL33" i="1"/>
  <c r="AN33" i="1" s="1"/>
  <c r="M188" i="1" s="1"/>
  <c r="T33" i="1"/>
  <c r="U33" i="1"/>
  <c r="AL32" i="1"/>
  <c r="AN32" i="1" s="1"/>
  <c r="M187" i="1" s="1"/>
  <c r="T32" i="1"/>
  <c r="U32" i="1"/>
  <c r="AK32" i="1"/>
  <c r="U31" i="1"/>
  <c r="T31" i="1"/>
  <c r="AK31" i="1"/>
  <c r="AL31" i="1"/>
  <c r="AN31" i="1" s="1"/>
  <c r="M186" i="1" s="1"/>
  <c r="AL30" i="1"/>
  <c r="AN30" i="1" s="1"/>
  <c r="M185" i="1" s="1"/>
  <c r="U30" i="1"/>
  <c r="T30" i="1"/>
  <c r="U29" i="1"/>
  <c r="AK29" i="1"/>
  <c r="T29" i="1"/>
  <c r="AL29" i="1"/>
  <c r="AN29" i="1" s="1"/>
  <c r="M184" i="1" s="1"/>
  <c r="AL28" i="1"/>
  <c r="AN28" i="1" s="1"/>
  <c r="M183" i="1" s="1"/>
  <c r="AK28" i="1"/>
  <c r="U28" i="1"/>
  <c r="T28" i="1"/>
  <c r="AL27" i="1"/>
  <c r="AN27" i="1" s="1"/>
  <c r="M182" i="1" s="1"/>
  <c r="AK27" i="1"/>
  <c r="T27" i="1"/>
  <c r="U27" i="1"/>
  <c r="AL26" i="1"/>
  <c r="AN26" i="1" s="1"/>
  <c r="M181" i="1" s="1"/>
  <c r="AK26" i="1"/>
  <c r="U26" i="1"/>
  <c r="T26" i="1"/>
  <c r="U25" i="1"/>
  <c r="AL25" i="1"/>
  <c r="AN25" i="1" s="1"/>
  <c r="M180" i="1" s="1"/>
  <c r="AK25" i="1"/>
  <c r="AO25" i="1" s="1"/>
  <c r="AL24" i="1"/>
  <c r="AN24" i="1" s="1"/>
  <c r="M179" i="1" s="1"/>
  <c r="U24" i="1"/>
  <c r="T24" i="1"/>
  <c r="AK23" i="1"/>
  <c r="U23" i="1"/>
  <c r="T23" i="1"/>
  <c r="AL23" i="1"/>
  <c r="AN23" i="1" s="1"/>
  <c r="M178" i="1" s="1"/>
  <c r="AL22" i="1"/>
  <c r="AN22" i="1" s="1"/>
  <c r="M177" i="1" s="1"/>
  <c r="U22" i="1"/>
  <c r="AK22" i="1"/>
  <c r="T22" i="1"/>
  <c r="AK21" i="1"/>
  <c r="AO21" i="1" s="1"/>
  <c r="T21" i="1"/>
  <c r="AL21" i="1"/>
  <c r="AN21" i="1" s="1"/>
  <c r="M176" i="1" s="1"/>
  <c r="U21" i="1"/>
  <c r="T20" i="1"/>
  <c r="AL20" i="1"/>
  <c r="AN20" i="1" s="1"/>
  <c r="M175" i="1" s="1"/>
  <c r="U20" i="1"/>
  <c r="AK20" i="1"/>
  <c r="AK19" i="1"/>
  <c r="AL19" i="1"/>
  <c r="AN19" i="1" s="1"/>
  <c r="M174" i="1" s="1"/>
  <c r="T19" i="1"/>
  <c r="U19" i="1"/>
  <c r="AL18" i="1"/>
  <c r="AN18" i="1" s="1"/>
  <c r="M173" i="1" s="1"/>
  <c r="U18" i="1"/>
  <c r="T18" i="1"/>
  <c r="AK18" i="1"/>
  <c r="U17" i="1"/>
  <c r="AL17" i="1"/>
  <c r="AN17" i="1" s="1"/>
  <c r="M172" i="1" s="1"/>
  <c r="T17" i="1"/>
  <c r="T16" i="1"/>
  <c r="AK16" i="1"/>
  <c r="AL16" i="1"/>
  <c r="AN16" i="1" s="1"/>
  <c r="M171" i="1" s="1"/>
  <c r="U16" i="1"/>
  <c r="AK15" i="1"/>
  <c r="T15" i="1"/>
  <c r="AL15" i="1"/>
  <c r="AN15" i="1" s="1"/>
  <c r="M170" i="1" s="1"/>
  <c r="U15" i="1"/>
  <c r="AK14" i="1"/>
  <c r="U14" i="1"/>
  <c r="AL14" i="1"/>
  <c r="AN14" i="1" s="1"/>
  <c r="M169" i="1" s="1"/>
  <c r="T14" i="1"/>
  <c r="AK13" i="1"/>
  <c r="U13" i="1"/>
  <c r="AL13" i="1"/>
  <c r="AN13" i="1" s="1"/>
  <c r="M168" i="1" s="1"/>
  <c r="AK12" i="1"/>
  <c r="U12" i="1"/>
  <c r="AL12" i="1"/>
  <c r="AN12" i="1" s="1"/>
  <c r="M167" i="1" s="1"/>
  <c r="AL11" i="1"/>
  <c r="AN11" i="1" s="1"/>
  <c r="M166" i="1" s="1"/>
  <c r="T11" i="1"/>
  <c r="U11" i="1"/>
  <c r="AL10" i="1"/>
  <c r="T10" i="1"/>
  <c r="U10" i="1"/>
  <c r="AL9" i="1"/>
  <c r="AN9" i="1" s="1"/>
  <c r="M164" i="1" s="1"/>
  <c r="U9" i="1"/>
  <c r="T9" i="1"/>
  <c r="AK9" i="1"/>
  <c r="DH3" i="7"/>
  <c r="DE3" i="7"/>
  <c r="DI3" i="7"/>
  <c r="DG3" i="7"/>
  <c r="DF3" i="7"/>
  <c r="JA94" i="1" l="1"/>
  <c r="M249" i="1"/>
  <c r="JA95" i="1"/>
  <c r="M250" i="1"/>
  <c r="JA93" i="1"/>
  <c r="M248" i="1"/>
  <c r="JA91" i="1"/>
  <c r="M246" i="1"/>
  <c r="JA82" i="1"/>
  <c r="M237" i="1"/>
  <c r="JA59" i="1"/>
  <c r="JA70" i="1"/>
  <c r="JA69" i="1"/>
  <c r="JA60" i="1"/>
  <c r="JA68" i="1"/>
  <c r="JA73" i="1"/>
  <c r="JA61" i="1"/>
  <c r="JA64" i="1"/>
  <c r="JA27" i="1"/>
  <c r="JA34" i="1"/>
  <c r="IZ25" i="1"/>
  <c r="JA35" i="1"/>
  <c r="JA42" i="1"/>
  <c r="IZ43" i="1"/>
  <c r="JA52" i="1"/>
  <c r="JA25" i="1"/>
  <c r="JA17" i="1"/>
  <c r="JA19" i="1"/>
  <c r="JA37" i="1"/>
  <c r="JA51" i="1"/>
  <c r="JA45" i="1"/>
  <c r="IZ47" i="1"/>
  <c r="JA43" i="1"/>
  <c r="JA32" i="1"/>
  <c r="JA26" i="1"/>
  <c r="JA50" i="1"/>
  <c r="JA16" i="1"/>
  <c r="JA20" i="1"/>
  <c r="JA24" i="1"/>
  <c r="IT51" i="7"/>
  <c r="IQ53" i="7"/>
  <c r="IT24" i="7"/>
  <c r="IS35" i="7"/>
  <c r="JA92" i="1"/>
  <c r="IV107" i="1"/>
  <c r="IQ56" i="7"/>
  <c r="IV106" i="1"/>
  <c r="IQ41" i="7"/>
  <c r="IQ50" i="7"/>
  <c r="IV38" i="1"/>
  <c r="IV87" i="1"/>
  <c r="IV74" i="1"/>
  <c r="IQ39" i="7"/>
  <c r="IV73" i="1"/>
  <c r="IT37" i="7"/>
  <c r="IV57" i="1"/>
  <c r="IT26" i="7"/>
  <c r="IQ52" i="7"/>
  <c r="IQ17" i="7"/>
  <c r="IT46" i="7"/>
  <c r="IF13" i="7"/>
  <c r="IV13" i="7"/>
  <c r="IQ18" i="7"/>
  <c r="AP18" i="1"/>
  <c r="IF18" i="7"/>
  <c r="IV114" i="1"/>
  <c r="JA107" i="1"/>
  <c r="IV133" i="1"/>
  <c r="JA124" i="1"/>
  <c r="IV135" i="1"/>
  <c r="JA126" i="1"/>
  <c r="IV134" i="1"/>
  <c r="JA125" i="1"/>
  <c r="IQ47" i="7"/>
  <c r="IT38" i="7"/>
  <c r="IF17" i="7"/>
  <c r="IV132" i="1"/>
  <c r="JA123" i="1"/>
  <c r="IV82" i="1"/>
  <c r="JA74" i="1"/>
  <c r="IQ28" i="7"/>
  <c r="IV19" i="7"/>
  <c r="BB9" i="1"/>
  <c r="BE9" i="1" s="1"/>
  <c r="CA9" i="1" s="1"/>
  <c r="HW14" i="1"/>
  <c r="HZ14" i="1"/>
  <c r="HX14" i="1"/>
  <c r="ID14" i="1"/>
  <c r="HU14" i="1"/>
  <c r="HT14" i="1"/>
  <c r="HV14" i="1"/>
  <c r="HK14" i="1"/>
  <c r="HS15" i="1" s="1"/>
  <c r="HL15" i="1" s="1"/>
  <c r="IT28" i="7"/>
  <c r="IT23" i="7"/>
  <c r="IV12" i="7"/>
  <c r="IQ15" i="7"/>
  <c r="IF29" i="7"/>
  <c r="IF53" i="7"/>
  <c r="IF90" i="7"/>
  <c r="IF93" i="7"/>
  <c r="JA112" i="1"/>
  <c r="IV120" i="1"/>
  <c r="JA75" i="1"/>
  <c r="IV83" i="1"/>
  <c r="IV92" i="1"/>
  <c r="JA83" i="1"/>
  <c r="IV128" i="1"/>
  <c r="JA119" i="1"/>
  <c r="IV129" i="1"/>
  <c r="JA120" i="1"/>
  <c r="IV131" i="1"/>
  <c r="JA122" i="1"/>
  <c r="IV130" i="1"/>
  <c r="JA121" i="1"/>
  <c r="IF56" i="7"/>
  <c r="IV93" i="1"/>
  <c r="JA84" i="1"/>
  <c r="JA113" i="1"/>
  <c r="IV121" i="1"/>
  <c r="IF12" i="7"/>
  <c r="JA111" i="1"/>
  <c r="IV119" i="1"/>
  <c r="JA76" i="1"/>
  <c r="IV84" i="1"/>
  <c r="JA114" i="1"/>
  <c r="IV122" i="1"/>
  <c r="IF87" i="7"/>
  <c r="IF91" i="7"/>
  <c r="IV91" i="7"/>
  <c r="IQ13" i="7"/>
  <c r="IF16" i="7"/>
  <c r="AT94" i="7"/>
  <c r="IQ114" i="7"/>
  <c r="IV94" i="7"/>
  <c r="IT43" i="7"/>
  <c r="IY34" i="7"/>
  <c r="IF34" i="7" s="1"/>
  <c r="IQ29" i="7"/>
  <c r="IQ32" i="7"/>
  <c r="IQ38" i="7"/>
  <c r="IF107" i="7"/>
  <c r="IF32" i="7"/>
  <c r="AT93" i="7"/>
  <c r="IQ113" i="7"/>
  <c r="IV93" i="7"/>
  <c r="IT42" i="7"/>
  <c r="IY33" i="7"/>
  <c r="IF33" i="7" s="1"/>
  <c r="IF15" i="7"/>
  <c r="IY94" i="7"/>
  <c r="IF94" i="7" s="1"/>
  <c r="IT114" i="7"/>
  <c r="IQ36" i="7"/>
  <c r="IQ35" i="7"/>
  <c r="IQ72" i="7"/>
  <c r="IQ21" i="7"/>
  <c r="IV15" i="7"/>
  <c r="IQ31" i="7"/>
  <c r="IQ34" i="7"/>
  <c r="IF89" i="7"/>
  <c r="IF70" i="7"/>
  <c r="IF66" i="7"/>
  <c r="IF28" i="7"/>
  <c r="IF26" i="7"/>
  <c r="IF38" i="7"/>
  <c r="IF64" i="7"/>
  <c r="AZ79" i="7"/>
  <c r="L275" i="7" s="1"/>
  <c r="IF75" i="7"/>
  <c r="IV90" i="1"/>
  <c r="IF55" i="7"/>
  <c r="IF44" i="7"/>
  <c r="IF72" i="7"/>
  <c r="IF57" i="7"/>
  <c r="IF43" i="7"/>
  <c r="IF69" i="7"/>
  <c r="IF79" i="7"/>
  <c r="IF42" i="7"/>
  <c r="IY45" i="7"/>
  <c r="IF45" i="7" s="1"/>
  <c r="IT54" i="7"/>
  <c r="IF68" i="7"/>
  <c r="IF65" i="7"/>
  <c r="IY46" i="7"/>
  <c r="IF46" i="7" s="1"/>
  <c r="IT55" i="7"/>
  <c r="IF49" i="7"/>
  <c r="IF54" i="7"/>
  <c r="IF61" i="7"/>
  <c r="IF63" i="7"/>
  <c r="IF27" i="7"/>
  <c r="IF73" i="7"/>
  <c r="IF52" i="7"/>
  <c r="IV46" i="7"/>
  <c r="IQ55" i="7"/>
  <c r="IF74" i="7"/>
  <c r="IF51" i="7"/>
  <c r="IF82" i="7"/>
  <c r="IF31" i="7"/>
  <c r="IF80" i="7"/>
  <c r="IF77" i="7"/>
  <c r="IF58" i="7"/>
  <c r="IF81" i="7"/>
  <c r="IF39" i="7"/>
  <c r="IF62" i="7"/>
  <c r="IF59" i="7"/>
  <c r="IF41" i="7"/>
  <c r="IF50" i="7"/>
  <c r="IX30" i="7"/>
  <c r="IS39" i="7"/>
  <c r="IF40" i="7"/>
  <c r="IY30" i="7"/>
  <c r="IT39" i="7"/>
  <c r="IT45" i="7"/>
  <c r="IY36" i="7"/>
  <c r="IF36" i="7" s="1"/>
  <c r="IF83" i="7"/>
  <c r="IV73" i="7"/>
  <c r="IQ82" i="7"/>
  <c r="AT64" i="7"/>
  <c r="IV64" i="7"/>
  <c r="IY48" i="7"/>
  <c r="IF48" i="7" s="1"/>
  <c r="IT57" i="7"/>
  <c r="IQ60" i="7"/>
  <c r="IF60" i="7"/>
  <c r="IQ48" i="7"/>
  <c r="IV39" i="7"/>
  <c r="IV48" i="7"/>
  <c r="IQ57" i="7"/>
  <c r="AT40" i="7"/>
  <c r="IV40" i="7"/>
  <c r="IF71" i="7"/>
  <c r="IT87" i="7"/>
  <c r="IY78" i="7"/>
  <c r="IF78" i="7" s="1"/>
  <c r="IF37" i="7"/>
  <c r="IT44" i="7"/>
  <c r="IY35" i="7"/>
  <c r="IF35" i="7" s="1"/>
  <c r="IQ88" i="7"/>
  <c r="IQ91" i="7"/>
  <c r="IQ87" i="7"/>
  <c r="IQ90" i="7"/>
  <c r="IQ86" i="7"/>
  <c r="IQ89" i="7"/>
  <c r="IV88" i="1"/>
  <c r="IQ74" i="7"/>
  <c r="IV68" i="7"/>
  <c r="AT65" i="7"/>
  <c r="IV65" i="7"/>
  <c r="IQ49" i="7"/>
  <c r="IV43" i="7"/>
  <c r="IQ22" i="7"/>
  <c r="IQ25" i="7"/>
  <c r="AT66" i="7"/>
  <c r="IV66" i="7"/>
  <c r="IQ61" i="7"/>
  <c r="IQ65" i="7"/>
  <c r="IV61" i="7"/>
  <c r="IQ70" i="7"/>
  <c r="AT72" i="7"/>
  <c r="IV72" i="7"/>
  <c r="IQ23" i="7"/>
  <c r="IQ26" i="7"/>
  <c r="JA99" i="1"/>
  <c r="IV108" i="1"/>
  <c r="IQ33" i="7"/>
  <c r="IV27" i="7"/>
  <c r="AT71" i="7"/>
  <c r="IV71" i="7"/>
  <c r="IV115" i="1"/>
  <c r="JA108" i="1"/>
  <c r="IV113" i="1"/>
  <c r="IV60" i="7"/>
  <c r="IQ69" i="7"/>
  <c r="IV36" i="7"/>
  <c r="IQ45" i="7"/>
  <c r="IQ24" i="7"/>
  <c r="IV21" i="7"/>
  <c r="IQ30" i="7"/>
  <c r="AT47" i="7"/>
  <c r="IV47" i="7"/>
  <c r="IV91" i="1"/>
  <c r="JA62" i="1"/>
  <c r="IV69" i="1"/>
  <c r="IV99" i="1"/>
  <c r="JA90" i="1"/>
  <c r="JA63" i="1"/>
  <c r="IV70" i="1"/>
  <c r="IZ89" i="1"/>
  <c r="JA77" i="1"/>
  <c r="IV85" i="1"/>
  <c r="JA81" i="1"/>
  <c r="IV89" i="1"/>
  <c r="IV97" i="1"/>
  <c r="JA88" i="1"/>
  <c r="IV95" i="1"/>
  <c r="JA86" i="1"/>
  <c r="JA96" i="1"/>
  <c r="IV103" i="1"/>
  <c r="IV49" i="1"/>
  <c r="JA38" i="1"/>
  <c r="JA78" i="1"/>
  <c r="IV86" i="1"/>
  <c r="JA98" i="1"/>
  <c r="IV105" i="1"/>
  <c r="IV71" i="1"/>
  <c r="JA56" i="1"/>
  <c r="IZ57" i="1"/>
  <c r="IV96" i="1"/>
  <c r="JA87" i="1"/>
  <c r="IV98" i="1"/>
  <c r="JA89" i="1"/>
  <c r="IV111" i="1"/>
  <c r="JA104" i="1"/>
  <c r="IV20" i="1"/>
  <c r="IV94" i="1"/>
  <c r="JA85" i="1"/>
  <c r="IZ85" i="1"/>
  <c r="JA97" i="1"/>
  <c r="IV104" i="1"/>
  <c r="IV112" i="1"/>
  <c r="JA105" i="1"/>
  <c r="JA49" i="1"/>
  <c r="IV68" i="1"/>
  <c r="IV76" i="1"/>
  <c r="IV75" i="1"/>
  <c r="IZ49" i="1"/>
  <c r="IV78" i="1"/>
  <c r="JA72" i="1"/>
  <c r="IV77" i="1"/>
  <c r="JA71" i="1"/>
  <c r="IZ71" i="1"/>
  <c r="IV32" i="1"/>
  <c r="JA36" i="1"/>
  <c r="IV37" i="1"/>
  <c r="IV31" i="1"/>
  <c r="IV47" i="1"/>
  <c r="IV48" i="1"/>
  <c r="JA41" i="1"/>
  <c r="JA55" i="1"/>
  <c r="IZ41" i="1"/>
  <c r="IZ55" i="1"/>
  <c r="JA48" i="1"/>
  <c r="IV35" i="1"/>
  <c r="JA31" i="1"/>
  <c r="IV102" i="1"/>
  <c r="AS10" i="1"/>
  <c r="AS11" i="1" s="1"/>
  <c r="AT15" i="7"/>
  <c r="IV28" i="1"/>
  <c r="AZ87" i="7"/>
  <c r="AZ75" i="7"/>
  <c r="L271" i="7" s="1"/>
  <c r="AZ74" i="7"/>
  <c r="AZ83" i="7"/>
  <c r="L279" i="7" s="1"/>
  <c r="AZ86" i="7"/>
  <c r="L282" i="7" s="1"/>
  <c r="AZ67" i="7"/>
  <c r="L255" i="7" s="1"/>
  <c r="AZ57" i="7"/>
  <c r="AZ58" i="7"/>
  <c r="AZ34" i="7"/>
  <c r="AZ41" i="7"/>
  <c r="L213" i="7" s="1"/>
  <c r="AZ30" i="7"/>
  <c r="AZ37" i="7"/>
  <c r="AZ25" i="7"/>
  <c r="AZ45" i="7"/>
  <c r="L217" i="7" s="1"/>
  <c r="AZ32" i="7"/>
  <c r="L195" i="7" s="1"/>
  <c r="AZ23" i="7"/>
  <c r="L178" i="7" s="1"/>
  <c r="AZ29" i="7"/>
  <c r="L192" i="7" s="1"/>
  <c r="AZ78" i="7"/>
  <c r="L274" i="7" s="1"/>
  <c r="AZ18" i="7"/>
  <c r="AZ49" i="7"/>
  <c r="AZ77" i="7"/>
  <c r="L273" i="7" s="1"/>
  <c r="AZ33" i="7"/>
  <c r="L197" i="7" s="1"/>
  <c r="AZ59" i="7"/>
  <c r="AZ35" i="7"/>
  <c r="AZ69" i="7"/>
  <c r="L257" i="7" s="1"/>
  <c r="AZ44" i="7"/>
  <c r="L216" i="7" s="1"/>
  <c r="AZ42" i="7"/>
  <c r="AZ31" i="7"/>
  <c r="AZ76" i="7"/>
  <c r="L272" i="7" s="1"/>
  <c r="AZ22" i="7"/>
  <c r="L177" i="7" s="1"/>
  <c r="AZ54" i="7"/>
  <c r="AZ55" i="7"/>
  <c r="L235" i="7" s="1"/>
  <c r="AZ50" i="7"/>
  <c r="AZ53" i="7"/>
  <c r="IV41" i="1"/>
  <c r="AZ70" i="7"/>
  <c r="L258" i="7" s="1"/>
  <c r="AZ26" i="7"/>
  <c r="AZ84" i="7"/>
  <c r="L280" i="7" s="1"/>
  <c r="AZ52" i="7"/>
  <c r="AZ38" i="7"/>
  <c r="AZ28" i="7"/>
  <c r="AZ62" i="7"/>
  <c r="L250" i="7" s="1"/>
  <c r="AZ63" i="7"/>
  <c r="AT80" i="7"/>
  <c r="AT88" i="7"/>
  <c r="AT60" i="7"/>
  <c r="AT82" i="7"/>
  <c r="AT51" i="7"/>
  <c r="AT81" i="7"/>
  <c r="AT56" i="7"/>
  <c r="AT68" i="7"/>
  <c r="AT43" i="7"/>
  <c r="AT85" i="7"/>
  <c r="AT61" i="7"/>
  <c r="JA117" i="1"/>
  <c r="IV118" i="1"/>
  <c r="JA102" i="1"/>
  <c r="IZ21" i="1"/>
  <c r="JA44" i="1"/>
  <c r="JA53" i="1"/>
  <c r="JA118" i="1"/>
  <c r="IV30" i="1"/>
  <c r="JA101" i="1"/>
  <c r="IV117" i="1"/>
  <c r="AT39" i="7"/>
  <c r="AT46" i="7"/>
  <c r="IV34" i="1"/>
  <c r="IV46" i="1"/>
  <c r="JA30" i="1"/>
  <c r="IV36" i="1"/>
  <c r="IV39" i="1"/>
  <c r="JA58" i="1"/>
  <c r="JA80" i="1"/>
  <c r="IV101" i="1"/>
  <c r="AT9" i="7"/>
  <c r="AY20" i="7"/>
  <c r="IV44" i="1"/>
  <c r="JA28" i="1"/>
  <c r="IV42" i="1"/>
  <c r="JA39" i="1"/>
  <c r="IV79" i="1"/>
  <c r="JA65" i="1"/>
  <c r="JA67" i="1"/>
  <c r="IV81" i="1"/>
  <c r="AT14" i="7"/>
  <c r="IV23" i="1"/>
  <c r="IV33" i="1"/>
  <c r="IV45" i="1"/>
  <c r="JA29" i="1"/>
  <c r="IV100" i="1"/>
  <c r="JA79" i="1"/>
  <c r="IV16" i="1"/>
  <c r="IV21" i="1"/>
  <c r="JA18" i="1"/>
  <c r="IV27" i="1"/>
  <c r="JA22" i="1"/>
  <c r="JA33" i="1"/>
  <c r="IV40" i="1"/>
  <c r="JA54" i="1"/>
  <c r="IV26" i="1"/>
  <c r="JA23" i="1"/>
  <c r="JA66" i="1"/>
  <c r="IV80" i="1"/>
  <c r="IV116" i="1"/>
  <c r="JA100" i="1"/>
  <c r="AT27" i="7"/>
  <c r="IZ30" i="1"/>
  <c r="IV24" i="1"/>
  <c r="JA21" i="1"/>
  <c r="JA40" i="1"/>
  <c r="IV67" i="1"/>
  <c r="JA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L254" i="7" s="1"/>
  <c r="V82" i="7"/>
  <c r="AZ82" i="7" s="1"/>
  <c r="L278" i="7" s="1"/>
  <c r="AY82" i="7"/>
  <c r="V60" i="7"/>
  <c r="AZ60" i="7" s="1"/>
  <c r="AY13" i="7"/>
  <c r="AY60" i="7"/>
  <c r="V81" i="7"/>
  <c r="AZ81" i="7" s="1"/>
  <c r="L277" i="7" s="1"/>
  <c r="V51" i="7"/>
  <c r="AZ51" i="7" s="1"/>
  <c r="V94" i="7"/>
  <c r="AZ94" i="7" s="1"/>
  <c r="AY94" i="7"/>
  <c r="V95" i="7"/>
  <c r="AZ95" i="7" s="1"/>
  <c r="AY61" i="7"/>
  <c r="V72" i="7"/>
  <c r="AZ72" i="7" s="1"/>
  <c r="L260" i="7" s="1"/>
  <c r="AY72" i="7"/>
  <c r="V102" i="7"/>
  <c r="AZ102" i="7" s="1"/>
  <c r="AY102" i="7"/>
  <c r="AY85" i="7"/>
  <c r="V100" i="7"/>
  <c r="AZ100" i="7" s="1"/>
  <c r="V88" i="7"/>
  <c r="AZ88" i="7" s="1"/>
  <c r="AY88" i="7"/>
  <c r="V85" i="7"/>
  <c r="AZ85" i="7" s="1"/>
  <c r="L281" i="7" s="1"/>
  <c r="V68" i="7"/>
  <c r="AZ68" i="7" s="1"/>
  <c r="L256" i="7" s="1"/>
  <c r="AY100" i="7"/>
  <c r="AY81" i="7"/>
  <c r="DI5" i="7"/>
  <c r="DI4" i="7"/>
  <c r="V56" i="7"/>
  <c r="AZ56" i="7" s="1"/>
  <c r="L236" i="7" s="1"/>
  <c r="AY56" i="7"/>
  <c r="V65" i="7"/>
  <c r="AZ65" i="7" s="1"/>
  <c r="V98" i="7"/>
  <c r="AZ98" i="7" s="1"/>
  <c r="AT98" i="7"/>
  <c r="AY65" i="7"/>
  <c r="AY99" i="7"/>
  <c r="AT99" i="7"/>
  <c r="AY95" i="7"/>
  <c r="V91" i="7"/>
  <c r="AZ91" i="7" s="1"/>
  <c r="AT91" i="7"/>
  <c r="DH5" i="7"/>
  <c r="AY92" i="7"/>
  <c r="AT92" i="7"/>
  <c r="DH4" i="7"/>
  <c r="AY66" i="7"/>
  <c r="V64" i="7"/>
  <c r="AZ64" i="7" s="1"/>
  <c r="L252" i="7" s="1"/>
  <c r="AY64" i="7"/>
  <c r="V80" i="7"/>
  <c r="AZ80" i="7" s="1"/>
  <c r="L276" i="7" s="1"/>
  <c r="AY80" i="7"/>
  <c r="DF5" i="7"/>
  <c r="DF4" i="7"/>
  <c r="AY51" i="7"/>
  <c r="DD5" i="7"/>
  <c r="AY73" i="7"/>
  <c r="AT73" i="7"/>
  <c r="DD4" i="7"/>
  <c r="AY71" i="7"/>
  <c r="V71" i="7"/>
  <c r="AZ71" i="7" s="1"/>
  <c r="L259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L261" i="7" s="1"/>
  <c r="AY98" i="7"/>
  <c r="AY14" i="7"/>
  <c r="V14" i="7"/>
  <c r="AZ14" i="7" s="1"/>
  <c r="L169" i="7" s="1"/>
  <c r="V48" i="7"/>
  <c r="AZ48" i="7" s="1"/>
  <c r="V43" i="7"/>
  <c r="AZ43" i="7" s="1"/>
  <c r="AY43" i="7"/>
  <c r="AY9" i="7"/>
  <c r="V9" i="7"/>
  <c r="AY21" i="7"/>
  <c r="V17" i="7"/>
  <c r="AZ17" i="7" s="1"/>
  <c r="L172" i="7" s="1"/>
  <c r="AY17" i="7"/>
  <c r="AY11" i="7"/>
  <c r="AY91" i="7"/>
  <c r="AY10" i="7"/>
  <c r="V99" i="7"/>
  <c r="AZ99" i="7" s="1"/>
  <c r="V19" i="7"/>
  <c r="AZ19" i="7" s="1"/>
  <c r="V93" i="7"/>
  <c r="AZ93" i="7" s="1"/>
  <c r="AY93" i="7"/>
  <c r="V92" i="7"/>
  <c r="AZ92" i="7" s="1"/>
  <c r="CZ4" i="7"/>
  <c r="BA107" i="7"/>
  <c r="AO138" i="1"/>
  <c r="IZ138" i="1" s="1"/>
  <c r="IH138" i="1" s="1"/>
  <c r="BA79" i="7"/>
  <c r="AO136" i="1"/>
  <c r="IZ136" i="1" s="1"/>
  <c r="IH136" i="1" s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AP105" i="1"/>
  <c r="AP126" i="1"/>
  <c r="AO126" i="1"/>
  <c r="AO120" i="1"/>
  <c r="AP120" i="1"/>
  <c r="AO102" i="1"/>
  <c r="AP102" i="1"/>
  <c r="AO101" i="1"/>
  <c r="IU110" i="1" s="1"/>
  <c r="AP101" i="1"/>
  <c r="AO128" i="1"/>
  <c r="IZ128" i="1" s="1"/>
  <c r="IH128" i="1" s="1"/>
  <c r="AP128" i="1"/>
  <c r="AO122" i="1"/>
  <c r="AP122" i="1"/>
  <c r="BA77" i="7"/>
  <c r="BA81" i="7"/>
  <c r="AO98" i="1"/>
  <c r="AP98" i="1"/>
  <c r="AO106" i="1"/>
  <c r="IZ106" i="1" s="1"/>
  <c r="IH106" i="1" s="1"/>
  <c r="AP106" i="1"/>
  <c r="AO119" i="1"/>
  <c r="AP119" i="1"/>
  <c r="AP94" i="1"/>
  <c r="AO94" i="1"/>
  <c r="IZ94" i="1" s="1"/>
  <c r="AO114" i="1"/>
  <c r="AP114" i="1"/>
  <c r="AP123" i="1"/>
  <c r="AO123" i="1"/>
  <c r="AO108" i="1"/>
  <c r="AP108" i="1"/>
  <c r="AO133" i="1"/>
  <c r="IZ133" i="1" s="1"/>
  <c r="IH133" i="1" s="1"/>
  <c r="AP133" i="1"/>
  <c r="AP93" i="1"/>
  <c r="AO93" i="1"/>
  <c r="IZ93" i="1" s="1"/>
  <c r="IH93" i="1" s="1"/>
  <c r="AO104" i="1"/>
  <c r="AP104" i="1"/>
  <c r="AO113" i="1"/>
  <c r="AP113" i="1"/>
  <c r="AO95" i="1"/>
  <c r="IZ95" i="1" s="1"/>
  <c r="IH95" i="1" s="1"/>
  <c r="AP95" i="1"/>
  <c r="AO118" i="1"/>
  <c r="AP118" i="1"/>
  <c r="AO135" i="1"/>
  <c r="IZ135" i="1" s="1"/>
  <c r="IH135" i="1" s="1"/>
  <c r="AP135" i="1"/>
  <c r="AP117" i="1"/>
  <c r="AO117" i="1"/>
  <c r="AO103" i="1"/>
  <c r="IZ103" i="1" s="1"/>
  <c r="IH103" i="1" s="1"/>
  <c r="AP103" i="1"/>
  <c r="AP91" i="1"/>
  <c r="AO91" i="1"/>
  <c r="IZ91" i="1" s="1"/>
  <c r="AP125" i="1"/>
  <c r="AO125" i="1"/>
  <c r="AP115" i="1"/>
  <c r="AO115" i="1"/>
  <c r="IZ115" i="1" s="1"/>
  <c r="IH115" i="1" s="1"/>
  <c r="AP110" i="1"/>
  <c r="AO110" i="1"/>
  <c r="IZ110" i="1" s="1"/>
  <c r="IH110" i="1" s="1"/>
  <c r="AP134" i="1"/>
  <c r="AO134" i="1"/>
  <c r="IZ134" i="1" s="1"/>
  <c r="IH134" i="1" s="1"/>
  <c r="AO109" i="1"/>
  <c r="IZ109" i="1" s="1"/>
  <c r="IH109" i="1" s="1"/>
  <c r="AP109" i="1"/>
  <c r="BA65" i="7"/>
  <c r="BA67" i="7"/>
  <c r="AP97" i="1"/>
  <c r="AO97" i="1"/>
  <c r="AO130" i="1"/>
  <c r="IZ130" i="1" s="1"/>
  <c r="IH130" i="1" s="1"/>
  <c r="AP130" i="1"/>
  <c r="AP137" i="1"/>
  <c r="AO137" i="1"/>
  <c r="IZ137" i="1" s="1"/>
  <c r="IH137" i="1" s="1"/>
  <c r="AO127" i="1"/>
  <c r="IZ127" i="1" s="1"/>
  <c r="IH127" i="1" s="1"/>
  <c r="AP127" i="1"/>
  <c r="AP131" i="1"/>
  <c r="AO131" i="1"/>
  <c r="IZ131" i="1" s="1"/>
  <c r="IH131" i="1" s="1"/>
  <c r="AO96" i="1"/>
  <c r="AP96" i="1"/>
  <c r="BA74" i="7"/>
  <c r="BA85" i="7"/>
  <c r="BA87" i="7"/>
  <c r="AO99" i="1"/>
  <c r="AP99" i="1"/>
  <c r="AP112" i="1"/>
  <c r="AO112" i="1"/>
  <c r="AP121" i="1"/>
  <c r="AO121" i="1"/>
  <c r="AP107" i="1"/>
  <c r="AO107" i="1"/>
  <c r="AP100" i="1"/>
  <c r="AO100" i="1"/>
  <c r="IU109" i="1" s="1"/>
  <c r="AO116" i="1"/>
  <c r="IZ116" i="1" s="1"/>
  <c r="IH116" i="1" s="1"/>
  <c r="AP116" i="1"/>
  <c r="BA52" i="7"/>
  <c r="AO132" i="1"/>
  <c r="IZ132" i="1" s="1"/>
  <c r="IH132" i="1" s="1"/>
  <c r="AP132" i="1"/>
  <c r="AP111" i="1"/>
  <c r="AO111" i="1"/>
  <c r="AP92" i="1"/>
  <c r="AO92" i="1"/>
  <c r="AP129" i="1"/>
  <c r="AO129" i="1"/>
  <c r="IZ129" i="1" s="1"/>
  <c r="IH129" i="1" s="1"/>
  <c r="AO124" i="1"/>
  <c r="AP124" i="1"/>
  <c r="BA54" i="7"/>
  <c r="BA50" i="7"/>
  <c r="DC5" i="7"/>
  <c r="CI6" i="7" s="1"/>
  <c r="DC4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AP90" i="1"/>
  <c r="AO87" i="1"/>
  <c r="AP87" i="1"/>
  <c r="AO88" i="1"/>
  <c r="AP88" i="1"/>
  <c r="AP86" i="1"/>
  <c r="AO86" i="1"/>
  <c r="AP85" i="1"/>
  <c r="AP84" i="1"/>
  <c r="AO84" i="1"/>
  <c r="AP83" i="1"/>
  <c r="AO83" i="1"/>
  <c r="IZ83" i="1" s="1"/>
  <c r="AO81" i="1"/>
  <c r="AP81" i="1"/>
  <c r="AO82" i="1"/>
  <c r="IZ82" i="1" s="1"/>
  <c r="AP82" i="1"/>
  <c r="AO79" i="1"/>
  <c r="AP79" i="1"/>
  <c r="AP80" i="1"/>
  <c r="AO80" i="1"/>
  <c r="AO77" i="1"/>
  <c r="AP77" i="1"/>
  <c r="AP78" i="1"/>
  <c r="AO78" i="1"/>
  <c r="AO75" i="1"/>
  <c r="AP75" i="1"/>
  <c r="AO76" i="1"/>
  <c r="AP76" i="1"/>
  <c r="AP73" i="1"/>
  <c r="AO73" i="1"/>
  <c r="IZ73" i="1" s="1"/>
  <c r="AP74" i="1"/>
  <c r="AO74" i="1"/>
  <c r="AP71" i="1"/>
  <c r="AO72" i="1"/>
  <c r="AP72" i="1"/>
  <c r="AO69" i="1"/>
  <c r="IZ69" i="1" s="1"/>
  <c r="AP69" i="1"/>
  <c r="AP70" i="1"/>
  <c r="AO70" i="1"/>
  <c r="IZ70" i="1" s="1"/>
  <c r="AO67" i="1"/>
  <c r="AP67" i="1"/>
  <c r="AO68" i="1"/>
  <c r="IZ68" i="1" s="1"/>
  <c r="AP68" i="1"/>
  <c r="AO65" i="1"/>
  <c r="AP65" i="1"/>
  <c r="AP66" i="1"/>
  <c r="AO66" i="1"/>
  <c r="AO63" i="1"/>
  <c r="AP63" i="1"/>
  <c r="AO64" i="1"/>
  <c r="IZ64" i="1" s="1"/>
  <c r="AP64" i="1"/>
  <c r="AP62" i="1"/>
  <c r="AO62" i="1"/>
  <c r="AO61" i="1"/>
  <c r="IZ61" i="1" s="1"/>
  <c r="AP61" i="1"/>
  <c r="AO59" i="1"/>
  <c r="IZ59" i="1" s="1"/>
  <c r="AP59" i="1"/>
  <c r="AO60" i="1"/>
  <c r="IZ60" i="1" s="1"/>
  <c r="AP60" i="1"/>
  <c r="AN57" i="1"/>
  <c r="M212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AP52" i="1"/>
  <c r="AP49" i="1"/>
  <c r="AP50" i="1"/>
  <c r="AO50" i="1"/>
  <c r="AN47" i="1"/>
  <c r="M202" i="1" s="1"/>
  <c r="AP47" i="1"/>
  <c r="AO48" i="1"/>
  <c r="AP48" i="1"/>
  <c r="AP45" i="1"/>
  <c r="AO45" i="1"/>
  <c r="AP46" i="1"/>
  <c r="AO46" i="1"/>
  <c r="AP43" i="1"/>
  <c r="AO44" i="1"/>
  <c r="AP44" i="1"/>
  <c r="AO42" i="1"/>
  <c r="AP42" i="1"/>
  <c r="AP41" i="1"/>
  <c r="AO40" i="1"/>
  <c r="AP40" i="1"/>
  <c r="AO39" i="1"/>
  <c r="AP39" i="1"/>
  <c r="AP37" i="1"/>
  <c r="AO37" i="1"/>
  <c r="AO38" i="1"/>
  <c r="AP38" i="1"/>
  <c r="AP35" i="1"/>
  <c r="AO35" i="1"/>
  <c r="AP36" i="1"/>
  <c r="AO36" i="1"/>
  <c r="AO33" i="1"/>
  <c r="AP33" i="1"/>
  <c r="AO34" i="1"/>
  <c r="AP34" i="1"/>
  <c r="AO31" i="1"/>
  <c r="AP31" i="1"/>
  <c r="AO32" i="1"/>
  <c r="AP32" i="1"/>
  <c r="AO29" i="1"/>
  <c r="AP29" i="1"/>
  <c r="AP30" i="1"/>
  <c r="AO27" i="1"/>
  <c r="AP27" i="1"/>
  <c r="AP28" i="1"/>
  <c r="AO28" i="1"/>
  <c r="AP25" i="1"/>
  <c r="AO26" i="1"/>
  <c r="AP26" i="1"/>
  <c r="AO24" i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M165" i="1" s="1"/>
  <c r="AO9" i="1"/>
  <c r="AP9" i="1"/>
  <c r="IH82" i="1" l="1"/>
  <c r="IH94" i="1"/>
  <c r="IV54" i="1"/>
  <c r="IH91" i="1"/>
  <c r="IH64" i="1"/>
  <c r="IH69" i="1"/>
  <c r="IH70" i="1"/>
  <c r="IH73" i="1"/>
  <c r="IH61" i="1"/>
  <c r="IV58" i="1"/>
  <c r="IH60" i="1"/>
  <c r="IV62" i="1"/>
  <c r="IH68" i="1"/>
  <c r="IH59" i="1"/>
  <c r="IV56" i="1"/>
  <c r="IH25" i="1"/>
  <c r="IH43" i="1"/>
  <c r="IZ19" i="1"/>
  <c r="IH19" i="1" s="1"/>
  <c r="IZ37" i="1"/>
  <c r="IH37" i="1" s="1"/>
  <c r="IZ34" i="1"/>
  <c r="IH34" i="1" s="1"/>
  <c r="IZ42" i="1"/>
  <c r="IH42" i="1" s="1"/>
  <c r="IZ26" i="1"/>
  <c r="IH26" i="1" s="1"/>
  <c r="IZ51" i="1"/>
  <c r="IH51" i="1" s="1"/>
  <c r="IV43" i="1"/>
  <c r="IZ50" i="1"/>
  <c r="IH50" i="1" s="1"/>
  <c r="IZ24" i="1"/>
  <c r="IH24" i="1" s="1"/>
  <c r="IZ38" i="1"/>
  <c r="IH38" i="1" s="1"/>
  <c r="IZ52" i="1"/>
  <c r="IH52" i="1" s="1"/>
  <c r="IZ35" i="1"/>
  <c r="IH35" i="1" s="1"/>
  <c r="IZ20" i="1"/>
  <c r="IH20" i="1" s="1"/>
  <c r="IZ32" i="1"/>
  <c r="IH32" i="1" s="1"/>
  <c r="IV52" i="1"/>
  <c r="IZ17" i="1"/>
  <c r="IH17" i="1" s="1"/>
  <c r="HN14" i="1"/>
  <c r="HN15" i="1"/>
  <c r="HN12" i="1"/>
  <c r="IV59" i="1"/>
  <c r="IU94" i="1"/>
  <c r="IV61" i="1"/>
  <c r="AX164" i="1" a="1"/>
  <c r="AX164" i="1" s="1"/>
  <c r="HN9" i="1"/>
  <c r="AP164" i="1" a="1"/>
  <c r="AP164" i="1" s="1"/>
  <c r="IV50" i="1"/>
  <c r="IV18" i="1"/>
  <c r="IU34" i="1"/>
  <c r="IU55" i="1"/>
  <c r="AS12" i="1"/>
  <c r="AS13" i="1" s="1"/>
  <c r="AT13" i="1" s="1"/>
  <c r="AT11" i="1"/>
  <c r="BB11" i="1" s="1"/>
  <c r="BE11" i="1" s="1"/>
  <c r="IZ92" i="1"/>
  <c r="IH92" i="1" s="1"/>
  <c r="IU107" i="1"/>
  <c r="IU106" i="1"/>
  <c r="IU74" i="1"/>
  <c r="IU57" i="1"/>
  <c r="IU56" i="1"/>
  <c r="IV53" i="1"/>
  <c r="IU64" i="1"/>
  <c r="IU98" i="1"/>
  <c r="IU38" i="1"/>
  <c r="IV63" i="1"/>
  <c r="IU50" i="1"/>
  <c r="HN10" i="1"/>
  <c r="BU9" i="1"/>
  <c r="BX9" i="1"/>
  <c r="BA33" i="7"/>
  <c r="IU133" i="1"/>
  <c r="IZ124" i="1"/>
  <c r="IH124" i="1" s="1"/>
  <c r="IU135" i="1"/>
  <c r="IZ126" i="1"/>
  <c r="IH126" i="1" s="1"/>
  <c r="JF23" i="7" a="1"/>
  <c r="JF23" i="7" s="1"/>
  <c r="JH23" i="7" s="1" a="1"/>
  <c r="JH23" i="7" s="1"/>
  <c r="IU114" i="1"/>
  <c r="IZ107" i="1"/>
  <c r="IH107" i="1" s="1"/>
  <c r="IU132" i="1"/>
  <c r="IZ123" i="1"/>
  <c r="IH123" i="1" s="1"/>
  <c r="IU82" i="1"/>
  <c r="IZ74" i="1"/>
  <c r="IH74" i="1" s="1"/>
  <c r="IU134" i="1"/>
  <c r="IZ125" i="1"/>
  <c r="IH125" i="1" s="1"/>
  <c r="BA58" i="7"/>
  <c r="IZ27" i="1"/>
  <c r="IH27" i="1" s="1"/>
  <c r="HN11" i="1"/>
  <c r="IZ45" i="1"/>
  <c r="IH45" i="1" s="1"/>
  <c r="HN13" i="1"/>
  <c r="HW15" i="1"/>
  <c r="HX15" i="1"/>
  <c r="HV15" i="1"/>
  <c r="ID15" i="1"/>
  <c r="HU15" i="1"/>
  <c r="HT15" i="1"/>
  <c r="HZ15" i="1"/>
  <c r="HK15" i="1"/>
  <c r="HS16" i="1" s="1"/>
  <c r="HL16" i="1" s="1"/>
  <c r="HN16" i="1" s="1"/>
  <c r="IU131" i="1"/>
  <c r="IZ122" i="1"/>
  <c r="IH122" i="1" s="1"/>
  <c r="IU130" i="1"/>
  <c r="IZ121" i="1"/>
  <c r="IH121" i="1" s="1"/>
  <c r="IH83" i="1"/>
  <c r="IZ113" i="1"/>
  <c r="IH113" i="1" s="1"/>
  <c r="IU121" i="1"/>
  <c r="IZ112" i="1"/>
  <c r="IH112" i="1" s="1"/>
  <c r="IU120" i="1"/>
  <c r="IU128" i="1"/>
  <c r="IZ119" i="1"/>
  <c r="IH119" i="1" s="1"/>
  <c r="IU129" i="1"/>
  <c r="IZ120" i="1"/>
  <c r="IH120" i="1" s="1"/>
  <c r="IZ114" i="1"/>
  <c r="IH114" i="1" s="1"/>
  <c r="IU122" i="1"/>
  <c r="IZ76" i="1"/>
  <c r="IH76" i="1" s="1"/>
  <c r="IU84" i="1"/>
  <c r="IU93" i="1"/>
  <c r="IZ84" i="1"/>
  <c r="IH84" i="1" s="1"/>
  <c r="IZ111" i="1"/>
  <c r="IH111" i="1" s="1"/>
  <c r="IU119" i="1"/>
  <c r="IZ75" i="1"/>
  <c r="IH75" i="1" s="1"/>
  <c r="IU83" i="1"/>
  <c r="L239" i="7"/>
  <c r="L237" i="7"/>
  <c r="L218" i="7"/>
  <c r="L174" i="7"/>
  <c r="L219" i="7"/>
  <c r="L231" i="7"/>
  <c r="L238" i="7"/>
  <c r="IF30" i="7"/>
  <c r="JI30" i="7" s="1" a="1"/>
  <c r="JI30" i="7" s="1"/>
  <c r="JH30" i="7" a="1"/>
  <c r="JH30" i="7" s="1"/>
  <c r="L20" i="7" s="1"/>
  <c r="IU72" i="1"/>
  <c r="IU88" i="1"/>
  <c r="IU91" i="1"/>
  <c r="IU92" i="1"/>
  <c r="IZ99" i="1"/>
  <c r="IH99" i="1" s="1"/>
  <c r="IU108" i="1"/>
  <c r="IU87" i="1"/>
  <c r="IH89" i="1"/>
  <c r="IU115" i="1"/>
  <c r="IZ108" i="1"/>
  <c r="IH108" i="1" s="1"/>
  <c r="IU90" i="1"/>
  <c r="IU113" i="1"/>
  <c r="IH85" i="1"/>
  <c r="IH49" i="1"/>
  <c r="IZ63" i="1"/>
  <c r="IH63" i="1" s="1"/>
  <c r="IU70" i="1"/>
  <c r="IU95" i="1"/>
  <c r="IZ86" i="1"/>
  <c r="IH86" i="1" s="1"/>
  <c r="IU73" i="1"/>
  <c r="IU111" i="1"/>
  <c r="IZ104" i="1"/>
  <c r="IH104" i="1" s="1"/>
  <c r="IZ62" i="1"/>
  <c r="IH62" i="1" s="1"/>
  <c r="IU69" i="1"/>
  <c r="IZ77" i="1"/>
  <c r="IH77" i="1" s="1"/>
  <c r="IU85" i="1"/>
  <c r="IZ81" i="1"/>
  <c r="IH81" i="1" s="1"/>
  <c r="IU89" i="1"/>
  <c r="IZ96" i="1"/>
  <c r="IH96" i="1" s="1"/>
  <c r="IU103" i="1"/>
  <c r="IU68" i="1"/>
  <c r="IV22" i="1"/>
  <c r="JA57" i="1"/>
  <c r="IH57" i="1" s="1"/>
  <c r="IU97" i="1"/>
  <c r="IZ88" i="1"/>
  <c r="IH88" i="1" s="1"/>
  <c r="IZ97" i="1"/>
  <c r="IH97" i="1" s="1"/>
  <c r="IU104" i="1"/>
  <c r="IZ98" i="1"/>
  <c r="IH98" i="1" s="1"/>
  <c r="IU105" i="1"/>
  <c r="IU112" i="1"/>
  <c r="IZ105" i="1"/>
  <c r="IH105" i="1" s="1"/>
  <c r="IU99" i="1"/>
  <c r="IZ90" i="1"/>
  <c r="IH90" i="1" s="1"/>
  <c r="IV55" i="1"/>
  <c r="IZ78" i="1"/>
  <c r="IH78" i="1" s="1"/>
  <c r="IU86" i="1"/>
  <c r="IU96" i="1"/>
  <c r="IZ87" i="1"/>
  <c r="IH87" i="1" s="1"/>
  <c r="IU58" i="1"/>
  <c r="IU71" i="1"/>
  <c r="IZ56" i="1"/>
  <c r="IH56" i="1" s="1"/>
  <c r="IU76" i="1"/>
  <c r="IU51" i="1"/>
  <c r="IU75" i="1"/>
  <c r="IU77" i="1"/>
  <c r="IU20" i="1"/>
  <c r="IV65" i="1"/>
  <c r="IU49" i="1"/>
  <c r="IU78" i="1"/>
  <c r="IZ72" i="1"/>
  <c r="IH72" i="1" s="1"/>
  <c r="IH71" i="1"/>
  <c r="IV60" i="1"/>
  <c r="IV72" i="1"/>
  <c r="IV64" i="1"/>
  <c r="IV19" i="1"/>
  <c r="IU32" i="1"/>
  <c r="IU46" i="1"/>
  <c r="IZ36" i="1"/>
  <c r="IH36" i="1" s="1"/>
  <c r="IU37" i="1"/>
  <c r="IU31" i="1"/>
  <c r="IU47" i="1"/>
  <c r="IH41" i="1"/>
  <c r="IU19" i="1"/>
  <c r="IU54" i="1"/>
  <c r="IV17" i="1"/>
  <c r="IH55" i="1"/>
  <c r="IU53" i="1"/>
  <c r="IU48" i="1"/>
  <c r="IU52" i="1"/>
  <c r="IZ48" i="1"/>
  <c r="IH48" i="1" s="1"/>
  <c r="IV29" i="1"/>
  <c r="JA47" i="1"/>
  <c r="IH47" i="1" s="1"/>
  <c r="IU35" i="1"/>
  <c r="IZ31" i="1"/>
  <c r="IH31" i="1" s="1"/>
  <c r="IV25" i="1"/>
  <c r="IH21" i="1"/>
  <c r="IU28" i="1"/>
  <c r="IH30" i="1"/>
  <c r="IU59" i="1"/>
  <c r="IU66" i="1"/>
  <c r="IU102" i="1"/>
  <c r="IU41" i="1"/>
  <c r="IZ54" i="1"/>
  <c r="IH54" i="1" s="1"/>
  <c r="IU63" i="1"/>
  <c r="IU26" i="1"/>
  <c r="IZ23" i="1"/>
  <c r="IH23" i="1" s="1"/>
  <c r="IU101" i="1"/>
  <c r="IZ80" i="1"/>
  <c r="IH80" i="1" s="1"/>
  <c r="IZ53" i="1"/>
  <c r="IH53" i="1" s="1"/>
  <c r="IU62" i="1"/>
  <c r="IZ102" i="1"/>
  <c r="IH102" i="1" s="1"/>
  <c r="IU118" i="1"/>
  <c r="IU42" i="1"/>
  <c r="IZ39" i="1"/>
  <c r="IH39" i="1" s="1"/>
  <c r="IU67" i="1"/>
  <c r="IZ46" i="1"/>
  <c r="IH46" i="1" s="1"/>
  <c r="IZ101" i="1"/>
  <c r="IH101" i="1" s="1"/>
  <c r="IU117" i="1"/>
  <c r="IU79" i="1"/>
  <c r="IZ65" i="1"/>
  <c r="IH65" i="1" s="1"/>
  <c r="IU60" i="1"/>
  <c r="IU16" i="1"/>
  <c r="IU21" i="1"/>
  <c r="IZ79" i="1"/>
  <c r="IH79" i="1" s="1"/>
  <c r="IU100" i="1"/>
  <c r="IU24" i="1"/>
  <c r="IZ28" i="1"/>
  <c r="IH28" i="1" s="1"/>
  <c r="IU44" i="1"/>
  <c r="IU61" i="1"/>
  <c r="IZ58" i="1"/>
  <c r="IH58" i="1" s="1"/>
  <c r="IU43" i="1"/>
  <c r="IZ40" i="1"/>
  <c r="IH40" i="1" s="1"/>
  <c r="IU33" i="1"/>
  <c r="IZ29" i="1"/>
  <c r="IH29" i="1" s="1"/>
  <c r="IU45" i="1"/>
  <c r="IZ33" i="1"/>
  <c r="IH33" i="1" s="1"/>
  <c r="IU40" i="1"/>
  <c r="IU81" i="1"/>
  <c r="IZ67" i="1"/>
  <c r="IH67" i="1" s="1"/>
  <c r="IU18" i="1"/>
  <c r="IU23" i="1"/>
  <c r="IZ18" i="1"/>
  <c r="IH18" i="1" s="1"/>
  <c r="IU27" i="1"/>
  <c r="IU25" i="1"/>
  <c r="IZ22" i="1"/>
  <c r="IH22" i="1" s="1"/>
  <c r="IU65" i="1"/>
  <c r="IZ44" i="1"/>
  <c r="IH44" i="1" s="1"/>
  <c r="IZ66" i="1"/>
  <c r="IH66" i="1" s="1"/>
  <c r="IU80" i="1"/>
  <c r="IZ100" i="1"/>
  <c r="IH100" i="1" s="1"/>
  <c r="IU116" i="1"/>
  <c r="IU30" i="1"/>
  <c r="IZ118" i="1"/>
  <c r="IH118" i="1" s="1"/>
  <c r="IU36" i="1"/>
  <c r="IU39" i="1"/>
  <c r="IV51" i="1"/>
  <c r="IV66" i="1"/>
  <c r="IU29" i="1"/>
  <c r="IZ117" i="1"/>
  <c r="IH117" i="1" s="1"/>
  <c r="IU17" i="1"/>
  <c r="IU22" i="1"/>
  <c r="IZ16" i="1"/>
  <c r="IH16" i="1" s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1" s="1"/>
  <c r="BE10" i="1" s="1"/>
  <c r="BB10" i="7"/>
  <c r="AT12" i="1" l="1"/>
  <c r="BB12" i="1" s="1"/>
  <c r="BE12" i="1" s="1"/>
  <c r="CC9" i="1"/>
  <c r="CF9" i="1" s="1"/>
  <c r="CL9" i="1" s="1"/>
  <c r="CB9" i="1"/>
  <c r="CG9" i="1" s="1"/>
  <c r="CE9" i="1"/>
  <c r="HK16" i="1"/>
  <c r="HS17" i="1" s="1"/>
  <c r="HL17" i="1" s="1"/>
  <c r="HW17" i="1" s="1"/>
  <c r="HW16" i="1"/>
  <c r="ID16" i="1"/>
  <c r="HU16" i="1"/>
  <c r="HT16" i="1"/>
  <c r="HZ16" i="1"/>
  <c r="HX16" i="1"/>
  <c r="HV16" i="1"/>
  <c r="BX11" i="1"/>
  <c r="BU11" i="1"/>
  <c r="CA11" i="1"/>
  <c r="BU10" i="1"/>
  <c r="CA10" i="1"/>
  <c r="BX10" i="1"/>
  <c r="L22" i="7"/>
  <c r="JC24" i="7" a="1"/>
  <c r="JC24" i="7" s="1"/>
  <c r="JE24" i="7" a="1"/>
  <c r="JE24" i="7" s="1"/>
  <c r="JD24" i="7" a="1"/>
  <c r="JD24" i="7" s="1"/>
  <c r="L164" i="7"/>
  <c r="JE11" i="7" a="1"/>
  <c r="JE11" i="7" s="1"/>
  <c r="JD11" i="7" a="1"/>
  <c r="JD11" i="7" s="1"/>
  <c r="JC11" i="7" a="1"/>
  <c r="JC11" i="7" s="1"/>
  <c r="L210" i="7"/>
  <c r="L173" i="7"/>
  <c r="L269" i="7"/>
  <c r="L268" i="7"/>
  <c r="L215" i="7"/>
  <c r="L265" i="7"/>
  <c r="L228" i="7"/>
  <c r="L171" i="7"/>
  <c r="L214" i="7"/>
  <c r="L248" i="7"/>
  <c r="L249" i="7"/>
  <c r="L244" i="7"/>
  <c r="L206" i="7"/>
  <c r="L186" i="7"/>
  <c r="L251" i="7"/>
  <c r="L204" i="7"/>
  <c r="L207" i="7"/>
  <c r="L212" i="7"/>
  <c r="L247" i="7"/>
  <c r="L246" i="7"/>
  <c r="L208" i="7"/>
  <c r="L190" i="7"/>
  <c r="L165" i="7"/>
  <c r="L166" i="7"/>
  <c r="L230" i="7"/>
  <c r="L188" i="7"/>
  <c r="L209" i="7"/>
  <c r="L242" i="7"/>
  <c r="L176" i="7"/>
  <c r="L175" i="7"/>
  <c r="L233" i="7"/>
  <c r="L227" i="7"/>
  <c r="L205" i="7"/>
  <c r="L170" i="7"/>
  <c r="L245" i="7"/>
  <c r="L189" i="7"/>
  <c r="L225" i="7"/>
  <c r="L211" i="7"/>
  <c r="L191" i="7"/>
  <c r="L262" i="7"/>
  <c r="L229" i="7"/>
  <c r="L264" i="7"/>
  <c r="L253" i="7"/>
  <c r="L168" i="7"/>
  <c r="L187" i="7"/>
  <c r="L243" i="7"/>
  <c r="L193" i="7"/>
  <c r="L194" i="7"/>
  <c r="L232" i="7"/>
  <c r="L234" i="7"/>
  <c r="L167" i="7"/>
  <c r="JH29" i="7" a="1"/>
  <c r="JH29" i="7" s="1"/>
  <c r="L13" i="7" s="1"/>
  <c r="JI29" i="7" a="1"/>
  <c r="JI29" i="7" s="1"/>
  <c r="JE23" i="7" a="1"/>
  <c r="JE23" i="7" s="1"/>
  <c r="JC23" i="7" a="1"/>
  <c r="JC23" i="7" s="1"/>
  <c r="JD23" i="7" a="1"/>
  <c r="JD23" i="7" s="1"/>
  <c r="JK29" i="1" a="1"/>
  <c r="JK29" i="1" s="1"/>
  <c r="JK30" i="1" a="1"/>
  <c r="JK30" i="1" s="1"/>
  <c r="JH23" i="1" a="1"/>
  <c r="JH23" i="1" s="1"/>
  <c r="JJ23" i="1" s="1" a="1"/>
  <c r="JJ23" i="1" s="1"/>
  <c r="JJ30" i="1" a="1"/>
  <c r="JJ30" i="1" s="1"/>
  <c r="JJ29" i="1" a="1"/>
  <c r="JJ29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CA12" i="1" l="1"/>
  <c r="BX12" i="1"/>
  <c r="BU12" i="1"/>
  <c r="AT14" i="1"/>
  <c r="BB14" i="1" s="1"/>
  <c r="BE14" i="1" s="1"/>
  <c r="CA14" i="1" s="1"/>
  <c r="CK9" i="1"/>
  <c r="CH9" i="1"/>
  <c r="CJ9" i="1"/>
  <c r="CM9" i="1" s="1"/>
  <c r="HZ17" i="1"/>
  <c r="HN17" i="1"/>
  <c r="HK17" i="1"/>
  <c r="HS18" i="1" s="1"/>
  <c r="HL18" i="1" s="1"/>
  <c r="HU17" i="1"/>
  <c r="ID17" i="1"/>
  <c r="HT17" i="1"/>
  <c r="HV17" i="1"/>
  <c r="HX17" i="1"/>
  <c r="CC11" i="1"/>
  <c r="CE11" i="1"/>
  <c r="CB11" i="1"/>
  <c r="CG11" i="1" s="1"/>
  <c r="CC10" i="1"/>
  <c r="CB10" i="1"/>
  <c r="CG10" i="1" s="1"/>
  <c r="CE10" i="1"/>
  <c r="L15" i="7"/>
  <c r="L15" i="1"/>
  <c r="L13" i="1"/>
  <c r="L22" i="1"/>
  <c r="L20" i="1"/>
  <c r="AS15" i="1"/>
  <c r="AT15" i="1" s="1"/>
  <c r="BB15" i="1" s="1"/>
  <c r="BE15" i="1" s="1"/>
  <c r="AZ156" i="7"/>
  <c r="BC156" i="7"/>
  <c r="BB156" i="7"/>
  <c r="BA156" i="7"/>
  <c r="CJ11" i="1" l="1"/>
  <c r="BU15" i="1"/>
  <c r="CA15" i="1"/>
  <c r="BX15" i="1"/>
  <c r="CK11" i="1"/>
  <c r="BX14" i="1"/>
  <c r="BU14" i="1"/>
  <c r="CE12" i="1"/>
  <c r="CB12" i="1"/>
  <c r="CG12" i="1" s="1"/>
  <c r="CC12" i="1"/>
  <c r="CN9" i="1"/>
  <c r="CP9" i="1" s="1"/>
  <c r="CR9" i="1"/>
  <c r="ID18" i="1"/>
  <c r="HN18" i="1"/>
  <c r="HV18" i="1"/>
  <c r="HX18" i="1"/>
  <c r="HW18" i="1"/>
  <c r="HK18" i="1"/>
  <c r="HS19" i="1" s="1"/>
  <c r="HL19" i="1" s="1"/>
  <c r="HZ18" i="1"/>
  <c r="HT18" i="1"/>
  <c r="HU18" i="1"/>
  <c r="CJ10" i="1"/>
  <c r="CH10" i="1"/>
  <c r="CF10" i="1"/>
  <c r="CL10" i="1" s="1"/>
  <c r="CK10" i="1"/>
  <c r="CH11" i="1"/>
  <c r="CF11" i="1"/>
  <c r="CL11" i="1" s="1"/>
  <c r="AS16" i="1"/>
  <c r="AT16" i="1" s="1"/>
  <c r="BB16" i="1" s="1"/>
  <c r="BE16" i="1" s="1"/>
  <c r="BB13" i="1"/>
  <c r="BE13" i="1" s="1"/>
  <c r="CA16" i="1" l="1"/>
  <c r="BX16" i="1"/>
  <c r="BU16" i="1"/>
  <c r="CB15" i="1"/>
  <c r="CG15" i="1" s="1"/>
  <c r="CC15" i="1"/>
  <c r="CE15" i="1"/>
  <c r="CC14" i="1"/>
  <c r="CE14" i="1"/>
  <c r="CB14" i="1"/>
  <c r="CG14" i="1" s="1"/>
  <c r="CK12" i="1"/>
  <c r="CH12" i="1"/>
  <c r="CF12" i="1"/>
  <c r="CL12" i="1" s="1"/>
  <c r="CJ12" i="1"/>
  <c r="CQ9" i="1"/>
  <c r="CS9" i="1" s="1"/>
  <c r="CT9" i="1" s="1"/>
  <c r="CW9" i="1" s="1"/>
  <c r="DM9" i="1" s="1"/>
  <c r="HW19" i="1"/>
  <c r="HN19" i="1"/>
  <c r="HU19" i="1"/>
  <c r="HX19" i="1"/>
  <c r="HV19" i="1"/>
  <c r="HZ19" i="1"/>
  <c r="ID19" i="1"/>
  <c r="HT19" i="1"/>
  <c r="HK19" i="1"/>
  <c r="HS20" i="1" s="1"/>
  <c r="HL20" i="1" s="1"/>
  <c r="CR11" i="1"/>
  <c r="CM11" i="1"/>
  <c r="CN10" i="1"/>
  <c r="CM10" i="1"/>
  <c r="CR10" i="1"/>
  <c r="CN11" i="1"/>
  <c r="CA13" i="1"/>
  <c r="BU13" i="1"/>
  <c r="BX13" i="1"/>
  <c r="AS17" i="1"/>
  <c r="AT17" i="1" s="1"/>
  <c r="BB17" i="1" s="1"/>
  <c r="BE17" i="1" s="1"/>
  <c r="CJ15" i="1" l="1"/>
  <c r="CM15" i="1" s="1"/>
  <c r="CJ14" i="1"/>
  <c r="CM14" i="1" s="1"/>
  <c r="CC16" i="1"/>
  <c r="CB16" i="1"/>
  <c r="CG16" i="1" s="1"/>
  <c r="CE16" i="1"/>
  <c r="CF14" i="1"/>
  <c r="CL14" i="1" s="1"/>
  <c r="CH15" i="1"/>
  <c r="CF15" i="1"/>
  <c r="CL15" i="1" s="1"/>
  <c r="CK15" i="1"/>
  <c r="BX17" i="1"/>
  <c r="BU17" i="1"/>
  <c r="CA17" i="1"/>
  <c r="CH14" i="1"/>
  <c r="CK14" i="1"/>
  <c r="CM12" i="1"/>
  <c r="CR12" i="1"/>
  <c r="CN12" i="1"/>
  <c r="HZ20" i="1"/>
  <c r="HN20" i="1"/>
  <c r="HT20" i="1"/>
  <c r="HW20" i="1"/>
  <c r="HU20" i="1"/>
  <c r="HK20" i="1"/>
  <c r="HS21" i="1" s="1"/>
  <c r="HL21" i="1" s="1"/>
  <c r="ID20" i="1"/>
  <c r="HV20" i="1"/>
  <c r="HX20" i="1"/>
  <c r="CV9" i="1"/>
  <c r="DL9" i="1" s="1"/>
  <c r="CX9" i="1"/>
  <c r="DN9" i="1" s="1"/>
  <c r="CU9" i="1"/>
  <c r="CY9" i="1" s="1"/>
  <c r="CQ10" i="1"/>
  <c r="CQ11" i="1"/>
  <c r="CP11" i="1"/>
  <c r="CP10" i="1"/>
  <c r="CC13" i="1"/>
  <c r="CE13" i="1"/>
  <c r="CB13" i="1"/>
  <c r="CG13" i="1" s="1"/>
  <c r="AS18" i="1"/>
  <c r="AT18" i="1" s="1"/>
  <c r="BB18" i="1" s="1"/>
  <c r="BE18" i="1" s="1"/>
  <c r="CR15" i="1" l="1"/>
  <c r="CN14" i="1"/>
  <c r="CQ14" i="1" s="1"/>
  <c r="CB17" i="1"/>
  <c r="CG17" i="1" s="1"/>
  <c r="CE17" i="1"/>
  <c r="CC17" i="1"/>
  <c r="CN15" i="1"/>
  <c r="CQ15" i="1" s="1"/>
  <c r="CJ16" i="1"/>
  <c r="BU18" i="1"/>
  <c r="BX18" i="1"/>
  <c r="CA18" i="1"/>
  <c r="CF16" i="1"/>
  <c r="CL16" i="1" s="1"/>
  <c r="CH16" i="1"/>
  <c r="CK16" i="1"/>
  <c r="CR14" i="1"/>
  <c r="CP12" i="1"/>
  <c r="CQ12" i="1"/>
  <c r="HV21" i="1"/>
  <c r="HN21" i="1"/>
  <c r="HX21" i="1"/>
  <c r="HW21" i="1"/>
  <c r="HK21" i="1"/>
  <c r="HS22" i="1" s="1"/>
  <c r="HL22" i="1" s="1"/>
  <c r="HZ21" i="1"/>
  <c r="HU21" i="1"/>
  <c r="ID21" i="1"/>
  <c r="HT21" i="1"/>
  <c r="DR9" i="1"/>
  <c r="DW9" i="1"/>
  <c r="DX9" i="1" s="1"/>
  <c r="DO9" i="1"/>
  <c r="CZ9" i="1"/>
  <c r="DP9" i="1" s="1"/>
  <c r="DA9" i="1"/>
  <c r="DQ9" i="1" s="1"/>
  <c r="CS11" i="1"/>
  <c r="CT11" i="1" s="1"/>
  <c r="CS10" i="1"/>
  <c r="CT10" i="1" s="1"/>
  <c r="CJ13" i="1"/>
  <c r="CM13" i="1" s="1"/>
  <c r="CK13" i="1"/>
  <c r="CH13" i="1"/>
  <c r="CF13" i="1"/>
  <c r="CL13" i="1" s="1"/>
  <c r="AS19" i="1"/>
  <c r="AT19" i="1" s="1"/>
  <c r="BB19" i="1" s="1"/>
  <c r="BE19" i="1" s="1"/>
  <c r="CP14" i="1" l="1"/>
  <c r="CS14" i="1" s="1"/>
  <c r="CU14" i="1" s="1"/>
  <c r="CP15" i="1"/>
  <c r="CS15" i="1" s="1"/>
  <c r="CM16" i="1"/>
  <c r="CR16" i="1"/>
  <c r="CA19" i="1"/>
  <c r="BX19" i="1"/>
  <c r="BU19" i="1"/>
  <c r="CF17" i="1"/>
  <c r="CL17" i="1" s="1"/>
  <c r="CK17" i="1"/>
  <c r="CH17" i="1"/>
  <c r="CN16" i="1"/>
  <c r="CE18" i="1"/>
  <c r="CC18" i="1"/>
  <c r="CB18" i="1"/>
  <c r="CG18" i="1" s="1"/>
  <c r="CJ17" i="1"/>
  <c r="CS12" i="1"/>
  <c r="HZ22" i="1"/>
  <c r="HN22" i="1"/>
  <c r="HW22" i="1"/>
  <c r="HK22" i="1"/>
  <c r="HS23" i="1" s="1"/>
  <c r="HL23" i="1" s="1"/>
  <c r="HT22" i="1"/>
  <c r="HV22" i="1"/>
  <c r="HU22" i="1"/>
  <c r="HX22" i="1"/>
  <c r="ID22" i="1"/>
  <c r="EA9" i="1"/>
  <c r="DU9" i="1"/>
  <c r="DV9" i="1"/>
  <c r="DS9" i="1"/>
  <c r="CX10" i="1"/>
  <c r="DN10" i="1" s="1"/>
  <c r="CV10" i="1"/>
  <c r="DL10" i="1" s="1"/>
  <c r="CW10" i="1"/>
  <c r="DM10" i="1" s="1"/>
  <c r="CU10" i="1"/>
  <c r="DA10" i="1" s="1"/>
  <c r="CU11" i="1"/>
  <c r="CZ11" i="1" s="1"/>
  <c r="CN13" i="1"/>
  <c r="CP13" i="1" s="1"/>
  <c r="CR13" i="1"/>
  <c r="CV11" i="1"/>
  <c r="CW11" i="1"/>
  <c r="CX11" i="1"/>
  <c r="AS20" i="1"/>
  <c r="AT20" i="1" s="1"/>
  <c r="CT14" i="1" l="1"/>
  <c r="CW14" i="1" s="1"/>
  <c r="DM14" i="1" s="1"/>
  <c r="CP16" i="1"/>
  <c r="CQ16" i="1"/>
  <c r="CT15" i="1"/>
  <c r="CV15" i="1" s="1"/>
  <c r="CU15" i="1"/>
  <c r="DA15" i="1" s="1"/>
  <c r="CJ18" i="1"/>
  <c r="CM18" i="1" s="1"/>
  <c r="CM17" i="1"/>
  <c r="CR17" i="1"/>
  <c r="CN17" i="1"/>
  <c r="CF18" i="1"/>
  <c r="CL18" i="1" s="1"/>
  <c r="CH18" i="1"/>
  <c r="CK18" i="1"/>
  <c r="CB19" i="1"/>
  <c r="CG19" i="1" s="1"/>
  <c r="CE19" i="1"/>
  <c r="CC19" i="1"/>
  <c r="CT12" i="1"/>
  <c r="CU12" i="1"/>
  <c r="HX23" i="1"/>
  <c r="HN23" i="1"/>
  <c r="HW23" i="1"/>
  <c r="HK23" i="1"/>
  <c r="HS24" i="1" s="1"/>
  <c r="HL24" i="1" s="1"/>
  <c r="HZ23" i="1"/>
  <c r="HT23" i="1"/>
  <c r="HU23" i="1"/>
  <c r="ID23" i="1"/>
  <c r="HV23" i="1"/>
  <c r="CY11" i="1"/>
  <c r="DO11" i="1" s="1"/>
  <c r="DY9" i="1"/>
  <c r="DA11" i="1"/>
  <c r="DQ11" i="1" s="1"/>
  <c r="DZ9" i="1"/>
  <c r="DQ10" i="1"/>
  <c r="CZ14" i="1"/>
  <c r="CY14" i="1"/>
  <c r="DA14" i="1"/>
  <c r="CY10" i="1"/>
  <c r="DO10" i="1" s="1"/>
  <c r="CZ10" i="1"/>
  <c r="DP10" i="1" s="1"/>
  <c r="DP11" i="1"/>
  <c r="DN11" i="1"/>
  <c r="DM11" i="1"/>
  <c r="DL11" i="1"/>
  <c r="CQ13" i="1"/>
  <c r="DR10" i="1"/>
  <c r="DW10" i="1"/>
  <c r="DX10" i="1" s="1"/>
  <c r="AS21" i="1"/>
  <c r="AT21" i="1" s="1"/>
  <c r="CS16" i="1" l="1"/>
  <c r="CT16" i="1" s="1"/>
  <c r="CV16" i="1" s="1"/>
  <c r="CY15" i="1"/>
  <c r="DO15" i="1" s="1"/>
  <c r="CV14" i="1"/>
  <c r="DL14" i="1" s="1"/>
  <c r="DP14" i="1"/>
  <c r="CZ15" i="1"/>
  <c r="CX14" i="1"/>
  <c r="DN14" i="1" s="1"/>
  <c r="CP17" i="1"/>
  <c r="CW15" i="1"/>
  <c r="CX15" i="1"/>
  <c r="DN15" i="1" s="1"/>
  <c r="CR18" i="1"/>
  <c r="DL15" i="1"/>
  <c r="CN18" i="1"/>
  <c r="CQ18" i="1" s="1"/>
  <c r="CF19" i="1"/>
  <c r="CL19" i="1" s="1"/>
  <c r="CK19" i="1"/>
  <c r="CH19" i="1"/>
  <c r="CJ19" i="1"/>
  <c r="CQ17" i="1"/>
  <c r="CY12" i="1"/>
  <c r="CZ12" i="1"/>
  <c r="DA12" i="1"/>
  <c r="CV12" i="1"/>
  <c r="DL12" i="1" s="1"/>
  <c r="CX12" i="1"/>
  <c r="DN12" i="1" s="1"/>
  <c r="CW12" i="1"/>
  <c r="DM12" i="1" s="1"/>
  <c r="ID24" i="1"/>
  <c r="HN24" i="1"/>
  <c r="HK24" i="1"/>
  <c r="HS25" i="1" s="1"/>
  <c r="HL25" i="1" s="1"/>
  <c r="HW24" i="1"/>
  <c r="HV24" i="1"/>
  <c r="HX24" i="1"/>
  <c r="HZ24" i="1"/>
  <c r="HT24" i="1"/>
  <c r="HU24" i="1"/>
  <c r="DV10" i="1"/>
  <c r="EB9" i="1"/>
  <c r="EC9" i="1"/>
  <c r="EG9" i="1" s="1"/>
  <c r="ED9" i="1"/>
  <c r="EI9" i="1" s="1"/>
  <c r="DS10" i="1"/>
  <c r="EA10" i="1"/>
  <c r="DU10" i="1"/>
  <c r="DR11" i="1"/>
  <c r="DV11" i="1"/>
  <c r="DW11" i="1"/>
  <c r="DX11" i="1" s="1"/>
  <c r="CS13" i="1"/>
  <c r="CT13" i="1" s="1"/>
  <c r="DS11" i="1"/>
  <c r="DU11" i="1"/>
  <c r="AS22" i="1"/>
  <c r="AT22" i="1" s="1"/>
  <c r="DP15" i="1" l="1"/>
  <c r="DQ14" i="1"/>
  <c r="DR14" i="1"/>
  <c r="CU16" i="1"/>
  <c r="CZ16" i="1" s="1"/>
  <c r="CX16" i="1"/>
  <c r="DN16" i="1" s="1"/>
  <c r="CW16" i="1"/>
  <c r="DM16" i="1" s="1"/>
  <c r="DW14" i="1"/>
  <c r="DX14" i="1" s="1"/>
  <c r="DO14" i="1"/>
  <c r="DQ15" i="1"/>
  <c r="CP18" i="1"/>
  <c r="CS18" i="1" s="1"/>
  <c r="CT18" i="1" s="1"/>
  <c r="DM15" i="1"/>
  <c r="DR15" i="1" s="1"/>
  <c r="DL16" i="1"/>
  <c r="CS17" i="1"/>
  <c r="CT17" i="1" s="1"/>
  <c r="CN19" i="1"/>
  <c r="CR19" i="1"/>
  <c r="CM19" i="1"/>
  <c r="DP12" i="1"/>
  <c r="DO12" i="1"/>
  <c r="DR12" i="1"/>
  <c r="DW12" i="1"/>
  <c r="DX12" i="1" s="1"/>
  <c r="DQ12" i="1"/>
  <c r="HX25" i="1"/>
  <c r="HN25" i="1"/>
  <c r="HZ25" i="1"/>
  <c r="HW25" i="1"/>
  <c r="HK25" i="1"/>
  <c r="HS26" i="1" s="1"/>
  <c r="HL26" i="1" s="1"/>
  <c r="ID25" i="1"/>
  <c r="HU25" i="1"/>
  <c r="HT25" i="1"/>
  <c r="HV25" i="1"/>
  <c r="DZ10" i="1"/>
  <c r="EK9" i="1"/>
  <c r="EE9" i="1"/>
  <c r="EF9" i="1"/>
  <c r="EL9" i="1"/>
  <c r="EJ9" i="1"/>
  <c r="EH9" i="1"/>
  <c r="DY10" i="1"/>
  <c r="DY11" i="1"/>
  <c r="CU13" i="1"/>
  <c r="CV13" i="1"/>
  <c r="CW13" i="1"/>
  <c r="CX13" i="1"/>
  <c r="EA11" i="1"/>
  <c r="DZ11" i="1"/>
  <c r="AS23" i="1"/>
  <c r="AT23" i="1" s="1"/>
  <c r="BB20" i="1"/>
  <c r="BE20" i="1" s="1"/>
  <c r="DS15" i="1" l="1"/>
  <c r="DU14" i="1"/>
  <c r="DS14" i="1"/>
  <c r="DV14" i="1"/>
  <c r="DA16" i="1"/>
  <c r="DQ16" i="1" s="1"/>
  <c r="CY16" i="1"/>
  <c r="DO16" i="1" s="1"/>
  <c r="EA14" i="1"/>
  <c r="DP16" i="1"/>
  <c r="DU15" i="1"/>
  <c r="DV15" i="1"/>
  <c r="DW15" i="1"/>
  <c r="DX15" i="1" s="1"/>
  <c r="EA15" i="1" s="1"/>
  <c r="CQ19" i="1"/>
  <c r="CP19" i="1"/>
  <c r="CU18" i="1"/>
  <c r="DA18" i="1" s="1"/>
  <c r="CV17" i="1"/>
  <c r="CW17" i="1"/>
  <c r="CX17" i="1"/>
  <c r="DW16" i="1"/>
  <c r="DX16" i="1" s="1"/>
  <c r="DR16" i="1"/>
  <c r="CU17" i="1"/>
  <c r="CX18" i="1"/>
  <c r="CV18" i="1"/>
  <c r="CW18" i="1"/>
  <c r="DU12" i="1"/>
  <c r="DV12" i="1"/>
  <c r="DS12" i="1"/>
  <c r="EA12" i="1"/>
  <c r="HX26" i="1"/>
  <c r="HN26" i="1"/>
  <c r="HK26" i="1"/>
  <c r="HS27" i="1" s="1"/>
  <c r="HL27" i="1" s="1"/>
  <c r="HW26" i="1"/>
  <c r="HZ26" i="1"/>
  <c r="HT26" i="1"/>
  <c r="HU26" i="1"/>
  <c r="ID26" i="1"/>
  <c r="HV26" i="1"/>
  <c r="EB10" i="1"/>
  <c r="EM9" i="1"/>
  <c r="EN9" i="1"/>
  <c r="EO9" i="1"/>
  <c r="ER9" i="1" s="1"/>
  <c r="ED10" i="1"/>
  <c r="EH10" i="1" s="1"/>
  <c r="EC10" i="1"/>
  <c r="EF10" i="1" s="1"/>
  <c r="DN13" i="1"/>
  <c r="DM13" i="1"/>
  <c r="DL13" i="1"/>
  <c r="CA20" i="1"/>
  <c r="BU20" i="1"/>
  <c r="BX20" i="1"/>
  <c r="EC11" i="1"/>
  <c r="ED11" i="1"/>
  <c r="EB11" i="1"/>
  <c r="CY13" i="1"/>
  <c r="DO13" i="1" s="1"/>
  <c r="CZ13" i="1"/>
  <c r="DP13" i="1" s="1"/>
  <c r="DA13" i="1"/>
  <c r="DQ13" i="1" s="1"/>
  <c r="AS24" i="1"/>
  <c r="AT24" i="1" s="1"/>
  <c r="BB24" i="1" s="1"/>
  <c r="BE24" i="1" s="1"/>
  <c r="BB21" i="1"/>
  <c r="BE21" i="1" s="1"/>
  <c r="DY15" i="1" l="1"/>
  <c r="DZ15" i="1"/>
  <c r="DY14" i="1"/>
  <c r="DV16" i="1"/>
  <c r="DS16" i="1"/>
  <c r="DZ14" i="1"/>
  <c r="DU16" i="1"/>
  <c r="CY18" i="1"/>
  <c r="DO18" i="1" s="1"/>
  <c r="CS19" i="1"/>
  <c r="CU19" i="1" s="1"/>
  <c r="DA19" i="1" s="1"/>
  <c r="CZ18" i="1"/>
  <c r="DP18" i="1" s="1"/>
  <c r="DM18" i="1"/>
  <c r="DL18" i="1"/>
  <c r="CY17" i="1"/>
  <c r="DO17" i="1" s="1"/>
  <c r="CZ17" i="1"/>
  <c r="DP17" i="1" s="1"/>
  <c r="DA17" i="1"/>
  <c r="DQ17" i="1" s="1"/>
  <c r="EA16" i="1"/>
  <c r="DN17" i="1"/>
  <c r="CA24" i="1"/>
  <c r="BU24" i="1"/>
  <c r="BX24" i="1"/>
  <c r="DM17" i="1"/>
  <c r="DQ18" i="1"/>
  <c r="DL17" i="1"/>
  <c r="DN18" i="1"/>
  <c r="DY12" i="1"/>
  <c r="DZ12" i="1"/>
  <c r="HZ27" i="1"/>
  <c r="HN27" i="1"/>
  <c r="HK27" i="1"/>
  <c r="HS28" i="1" s="1"/>
  <c r="HL28" i="1" s="1"/>
  <c r="HU27" i="1"/>
  <c r="HX27" i="1"/>
  <c r="HT27" i="1"/>
  <c r="HW27" i="1"/>
  <c r="ID27" i="1"/>
  <c r="HV27" i="1"/>
  <c r="EQ9" i="1"/>
  <c r="EP9" i="1"/>
  <c r="EJ10" i="1"/>
  <c r="EL10" i="1"/>
  <c r="EI10" i="1"/>
  <c r="EE10" i="1"/>
  <c r="EK10" i="1"/>
  <c r="EG10" i="1"/>
  <c r="EL11" i="1"/>
  <c r="EI11" i="1"/>
  <c r="EH11" i="1"/>
  <c r="EJ11" i="1"/>
  <c r="EK11" i="1"/>
  <c r="EF11" i="1"/>
  <c r="EG11" i="1"/>
  <c r="EE11" i="1"/>
  <c r="DV13" i="1"/>
  <c r="DW13" i="1"/>
  <c r="DX13" i="1" s="1"/>
  <c r="DR13" i="1"/>
  <c r="CA21" i="1"/>
  <c r="BX21" i="1"/>
  <c r="BU21" i="1"/>
  <c r="CE20" i="1"/>
  <c r="CC20" i="1"/>
  <c r="CB20" i="1"/>
  <c r="CG20" i="1" s="1"/>
  <c r="DU13" i="1"/>
  <c r="DS13" i="1"/>
  <c r="AS25" i="1"/>
  <c r="AT25" i="1" s="1"/>
  <c r="BB25" i="1" s="1"/>
  <c r="BE25" i="1" s="1"/>
  <c r="BB22" i="1"/>
  <c r="BE22" i="1" s="1"/>
  <c r="ED15" i="1" l="1"/>
  <c r="EL15" i="1" s="1"/>
  <c r="EC15" i="1"/>
  <c r="EG15" i="1" s="1"/>
  <c r="EB15" i="1"/>
  <c r="ED14" i="1"/>
  <c r="EJ14" i="1" s="1"/>
  <c r="EC14" i="1"/>
  <c r="EE14" i="1" s="1"/>
  <c r="DZ16" i="1"/>
  <c r="EB14" i="1"/>
  <c r="DY16" i="1"/>
  <c r="CY19" i="1"/>
  <c r="CT19" i="1"/>
  <c r="CW19" i="1" s="1"/>
  <c r="CZ19" i="1"/>
  <c r="DW17" i="1"/>
  <c r="DX17" i="1" s="1"/>
  <c r="DV17" i="1"/>
  <c r="DR17" i="1"/>
  <c r="DS17" i="1"/>
  <c r="DU17" i="1"/>
  <c r="DR18" i="1"/>
  <c r="DW18" i="1"/>
  <c r="DX18" i="1" s="1"/>
  <c r="DV18" i="1"/>
  <c r="CA25" i="1"/>
  <c r="BU25" i="1"/>
  <c r="BX25" i="1"/>
  <c r="DS18" i="1"/>
  <c r="DU18" i="1"/>
  <c r="CC24" i="1"/>
  <c r="CE24" i="1"/>
  <c r="CB24" i="1"/>
  <c r="CG24" i="1" s="1"/>
  <c r="ED12" i="1"/>
  <c r="EL12" i="1" s="1"/>
  <c r="EB12" i="1"/>
  <c r="EC12" i="1"/>
  <c r="EK12" i="1" s="1"/>
  <c r="HX28" i="1"/>
  <c r="HN28" i="1"/>
  <c r="HZ28" i="1"/>
  <c r="HK28" i="1"/>
  <c r="HS29" i="1" s="1"/>
  <c r="HL29" i="1" s="1"/>
  <c r="HT28" i="1"/>
  <c r="HW28" i="1"/>
  <c r="HU28" i="1"/>
  <c r="ID28" i="1"/>
  <c r="HV28" i="1"/>
  <c r="EV9" i="1"/>
  <c r="EX9" i="1" s="1"/>
  <c r="EZ9" i="1"/>
  <c r="FC9" i="1" s="1"/>
  <c r="EM10" i="1"/>
  <c r="EN10" i="1"/>
  <c r="EO10" i="1"/>
  <c r="ER10" i="1" s="1"/>
  <c r="CJ20" i="1"/>
  <c r="CM20" i="1" s="1"/>
  <c r="EA13" i="1"/>
  <c r="DY13" i="1"/>
  <c r="DZ13" i="1"/>
  <c r="CK20" i="1"/>
  <c r="CH20" i="1"/>
  <c r="CF20" i="1"/>
  <c r="CL20" i="1" s="1"/>
  <c r="CE21" i="1"/>
  <c r="CB21" i="1"/>
  <c r="CG21" i="1" s="1"/>
  <c r="CC21" i="1"/>
  <c r="BX22" i="1"/>
  <c r="CA22" i="1"/>
  <c r="BU22" i="1"/>
  <c r="EN11" i="1"/>
  <c r="EM11" i="1"/>
  <c r="EO11" i="1"/>
  <c r="ER11" i="1" s="1"/>
  <c r="AS26" i="1"/>
  <c r="AT26" i="1" s="1"/>
  <c r="BB26" i="1" s="1"/>
  <c r="BE26" i="1" s="1"/>
  <c r="BB23" i="1"/>
  <c r="BE23" i="1" s="1"/>
  <c r="EH15" i="1" l="1"/>
  <c r="EI15" i="1"/>
  <c r="EJ15" i="1"/>
  <c r="EE15" i="1"/>
  <c r="EK15" i="1"/>
  <c r="EF15" i="1"/>
  <c r="EH14" i="1"/>
  <c r="EI14" i="1"/>
  <c r="EL14" i="1"/>
  <c r="EG14" i="1"/>
  <c r="EK14" i="1"/>
  <c r="EF14" i="1"/>
  <c r="EB16" i="1"/>
  <c r="ED16" i="1"/>
  <c r="EI16" i="1" s="1"/>
  <c r="EC16" i="1"/>
  <c r="EK16" i="1" s="1"/>
  <c r="CV19" i="1"/>
  <c r="DL19" i="1" s="1"/>
  <c r="CX19" i="1"/>
  <c r="DQ19" i="1" s="1"/>
  <c r="EA18" i="1"/>
  <c r="DY17" i="1"/>
  <c r="DY18" i="1"/>
  <c r="DZ18" i="1"/>
  <c r="EA17" i="1"/>
  <c r="CA26" i="1"/>
  <c r="BU26" i="1"/>
  <c r="BX26" i="1"/>
  <c r="DM19" i="1"/>
  <c r="CK24" i="1"/>
  <c r="CF24" i="1"/>
  <c r="CL24" i="1" s="1"/>
  <c r="CH24" i="1"/>
  <c r="CC25" i="1"/>
  <c r="CB25" i="1"/>
  <c r="CG25" i="1" s="1"/>
  <c r="CE25" i="1"/>
  <c r="DP19" i="1"/>
  <c r="CJ24" i="1"/>
  <c r="DZ17" i="1"/>
  <c r="EJ12" i="1"/>
  <c r="EO12" i="1" s="1"/>
  <c r="ER12" i="1" s="1"/>
  <c r="EI12" i="1"/>
  <c r="EN12" i="1" s="1"/>
  <c r="EH12" i="1"/>
  <c r="EM12" i="1" s="1"/>
  <c r="EG12" i="1"/>
  <c r="EF12" i="1"/>
  <c r="EE12" i="1"/>
  <c r="HU29" i="1"/>
  <c r="HN29" i="1"/>
  <c r="HW29" i="1"/>
  <c r="HB9" i="1"/>
  <c r="HF9" i="1" s="1"/>
  <c r="HX29" i="1"/>
  <c r="ID29" i="1"/>
  <c r="FB9" i="1"/>
  <c r="HZ29" i="1"/>
  <c r="HV29" i="1"/>
  <c r="HT29" i="1"/>
  <c r="HK29" i="1"/>
  <c r="HS30" i="1" s="1"/>
  <c r="HL30" i="1" s="1"/>
  <c r="FF9" i="1"/>
  <c r="FI9" i="1" s="1"/>
  <c r="FY9" i="1"/>
  <c r="HE9" i="1" s="1"/>
  <c r="FA9" i="1"/>
  <c r="EW9" i="1"/>
  <c r="EQ10" i="1"/>
  <c r="EZ10" i="1" s="1"/>
  <c r="FC10" i="1" s="1"/>
  <c r="FY10" i="1" s="1"/>
  <c r="HE10" i="1" s="1"/>
  <c r="EP10" i="1"/>
  <c r="CJ21" i="1"/>
  <c r="CM21" i="1" s="1"/>
  <c r="CR20" i="1"/>
  <c r="BX23" i="1"/>
  <c r="CA23" i="1"/>
  <c r="BU23" i="1"/>
  <c r="CB22" i="1"/>
  <c r="CG22" i="1" s="1"/>
  <c r="CE22" i="1"/>
  <c r="CC22" i="1"/>
  <c r="CN20" i="1"/>
  <c r="CQ20" i="1" s="1"/>
  <c r="CK21" i="1"/>
  <c r="CH21" i="1"/>
  <c r="CF21" i="1"/>
  <c r="CL21" i="1" s="1"/>
  <c r="EC13" i="1"/>
  <c r="ED13" i="1"/>
  <c r="EB13" i="1"/>
  <c r="EQ11" i="1"/>
  <c r="EZ11" i="1" s="1"/>
  <c r="FC11" i="1" s="1"/>
  <c r="EP11" i="1"/>
  <c r="AS27" i="1"/>
  <c r="AT27" i="1" s="1"/>
  <c r="EM15" i="1" l="1"/>
  <c r="EN15" i="1"/>
  <c r="EO15" i="1"/>
  <c r="ER15" i="1" s="1"/>
  <c r="EO14" i="1"/>
  <c r="ER14" i="1" s="1"/>
  <c r="EN14" i="1"/>
  <c r="EM14" i="1"/>
  <c r="EH16" i="1"/>
  <c r="EL16" i="1"/>
  <c r="EJ16" i="1"/>
  <c r="EG16" i="1"/>
  <c r="DO19" i="1"/>
  <c r="DU19" i="1" s="1"/>
  <c r="EE16" i="1"/>
  <c r="EF16" i="1"/>
  <c r="DN19" i="1"/>
  <c r="DW19" i="1" s="1"/>
  <c r="DX19" i="1" s="1"/>
  <c r="EC18" i="1"/>
  <c r="EE18" i="1" s="1"/>
  <c r="EB18" i="1"/>
  <c r="ED18" i="1"/>
  <c r="EI18" i="1" s="1"/>
  <c r="CJ25" i="1"/>
  <c r="CM25" i="1" s="1"/>
  <c r="EB17" i="1"/>
  <c r="ED17" i="1"/>
  <c r="EC17" i="1"/>
  <c r="CM24" i="1"/>
  <c r="CR24" i="1"/>
  <c r="CK25" i="1"/>
  <c r="CF25" i="1"/>
  <c r="CL25" i="1" s="1"/>
  <c r="CH25" i="1"/>
  <c r="CN24" i="1"/>
  <c r="CE26" i="1"/>
  <c r="CC26" i="1"/>
  <c r="CB26" i="1"/>
  <c r="CG26" i="1" s="1"/>
  <c r="EQ12" i="1"/>
  <c r="EZ12" i="1" s="1"/>
  <c r="FC12" i="1" s="1"/>
  <c r="EP12" i="1"/>
  <c r="HV30" i="1"/>
  <c r="HN30" i="1"/>
  <c r="FO9" i="1"/>
  <c r="HG9" i="1"/>
  <c r="HH9" i="1"/>
  <c r="FE9" i="1"/>
  <c r="FH9" i="1" s="1"/>
  <c r="FD9" i="1"/>
  <c r="FV9" i="1" s="1"/>
  <c r="FL9" i="1"/>
  <c r="HK30" i="1"/>
  <c r="HS31" i="1" s="1"/>
  <c r="HL31" i="1" s="1"/>
  <c r="HZ30" i="1"/>
  <c r="ID30" i="1"/>
  <c r="HW30" i="1"/>
  <c r="HX30" i="1"/>
  <c r="HT30" i="1"/>
  <c r="HU30" i="1"/>
  <c r="FU9" i="1"/>
  <c r="FF10" i="1"/>
  <c r="FI10" i="1" s="1"/>
  <c r="FA10" i="1"/>
  <c r="EV10" i="1"/>
  <c r="EX10" i="1" s="1"/>
  <c r="CR21" i="1"/>
  <c r="FB10" i="1"/>
  <c r="CP20" i="1"/>
  <c r="CS20" i="1" s="1"/>
  <c r="CU20" i="1" s="1"/>
  <c r="CH22" i="1"/>
  <c r="CF22" i="1"/>
  <c r="CL22" i="1" s="1"/>
  <c r="CK22" i="1"/>
  <c r="CJ22" i="1"/>
  <c r="CN21" i="1"/>
  <c r="CP21" i="1" s="1"/>
  <c r="EK13" i="1"/>
  <c r="EE13" i="1"/>
  <c r="EG13" i="1"/>
  <c r="EF13" i="1"/>
  <c r="EV11" i="1"/>
  <c r="FA11" i="1"/>
  <c r="FB11" i="1"/>
  <c r="CC23" i="1"/>
  <c r="CB23" i="1"/>
  <c r="CG23" i="1" s="1"/>
  <c r="CE23" i="1"/>
  <c r="FF11" i="1"/>
  <c r="FI11" i="1" s="1"/>
  <c r="FY11" i="1"/>
  <c r="HE11" i="1" s="1"/>
  <c r="EL13" i="1"/>
  <c r="EJ13" i="1"/>
  <c r="EH13" i="1"/>
  <c r="EI13" i="1"/>
  <c r="AS28" i="1"/>
  <c r="AT28" i="1" s="1"/>
  <c r="EP14" i="1" l="1"/>
  <c r="EV14" i="1" s="1"/>
  <c r="EW14" i="1" s="1"/>
  <c r="EQ15" i="1"/>
  <c r="EP15" i="1"/>
  <c r="EV15" i="1" s="1"/>
  <c r="EW15" i="1" s="1"/>
  <c r="EQ14" i="1"/>
  <c r="EO16" i="1"/>
  <c r="ER16" i="1" s="1"/>
  <c r="EM16" i="1"/>
  <c r="DS19" i="1"/>
  <c r="DY19" i="1" s="1"/>
  <c r="EN16" i="1"/>
  <c r="DR19" i="1"/>
  <c r="EA19" i="1" s="1"/>
  <c r="DV19" i="1"/>
  <c r="EK18" i="1"/>
  <c r="EL18" i="1"/>
  <c r="EJ18" i="1"/>
  <c r="EH18" i="1"/>
  <c r="EG18" i="1"/>
  <c r="EF18" i="1"/>
  <c r="CP24" i="1"/>
  <c r="CN25" i="1"/>
  <c r="CP25" i="1" s="1"/>
  <c r="CJ26" i="1"/>
  <c r="CM26" i="1" s="1"/>
  <c r="CQ24" i="1"/>
  <c r="CR25" i="1"/>
  <c r="EK17" i="1"/>
  <c r="EG17" i="1"/>
  <c r="EF17" i="1"/>
  <c r="EE17" i="1"/>
  <c r="EL17" i="1"/>
  <c r="EI17" i="1"/>
  <c r="EJ17" i="1"/>
  <c r="EH17" i="1"/>
  <c r="CK26" i="1"/>
  <c r="CH26" i="1"/>
  <c r="CF26" i="1"/>
  <c r="CL26" i="1" s="1"/>
  <c r="FA12" i="1"/>
  <c r="FB12" i="1"/>
  <c r="EV12" i="1"/>
  <c r="FY12" i="1"/>
  <c r="HE12" i="1" s="1"/>
  <c r="FF12" i="1"/>
  <c r="FI12" i="1" s="1"/>
  <c r="HW31" i="1"/>
  <c r="HN31" i="1"/>
  <c r="FG9" i="1"/>
  <c r="FJ9" i="1" s="1"/>
  <c r="GQ9" i="1" s="1"/>
  <c r="HU31" i="1"/>
  <c r="HZ31" i="1"/>
  <c r="HT31" i="1"/>
  <c r="ID31" i="1"/>
  <c r="HV31" i="1"/>
  <c r="HX31" i="1"/>
  <c r="HK31" i="1"/>
  <c r="HS32" i="1" s="1"/>
  <c r="HL32" i="1" s="1"/>
  <c r="EW10" i="1"/>
  <c r="HB10" i="1"/>
  <c r="HF10" i="1" s="1"/>
  <c r="HH10" i="1" s="1"/>
  <c r="FL10" i="1"/>
  <c r="FD10" i="1"/>
  <c r="FV10" i="1" s="1"/>
  <c r="FO10" i="1"/>
  <c r="FE10" i="1"/>
  <c r="FH10" i="1" s="1"/>
  <c r="CJ23" i="1"/>
  <c r="CM23" i="1" s="1"/>
  <c r="FL11" i="1"/>
  <c r="FO11" i="1"/>
  <c r="EM13" i="1"/>
  <c r="EO13" i="1"/>
  <c r="ER13" i="1" s="1"/>
  <c r="EN13" i="1"/>
  <c r="CR22" i="1"/>
  <c r="CM22" i="1"/>
  <c r="EX11" i="1"/>
  <c r="FE11" i="1"/>
  <c r="FD11" i="1"/>
  <c r="FV11" i="1" s="1"/>
  <c r="HB11" i="1"/>
  <c r="HF11" i="1" s="1"/>
  <c r="HH11" i="1" s="1"/>
  <c r="EW11" i="1"/>
  <c r="CT20" i="1"/>
  <c r="CQ21" i="1"/>
  <c r="CZ20" i="1"/>
  <c r="CY20" i="1"/>
  <c r="DA20" i="1"/>
  <c r="CN22" i="1"/>
  <c r="CH23" i="1"/>
  <c r="CK23" i="1"/>
  <c r="CF23" i="1"/>
  <c r="CL23" i="1" s="1"/>
  <c r="AS29" i="1"/>
  <c r="AT29" i="1" s="1"/>
  <c r="BB27" i="1"/>
  <c r="BE27" i="1" s="1"/>
  <c r="EZ14" i="1" l="1"/>
  <c r="FC14" i="1" s="1"/>
  <c r="FY14" i="1" s="1"/>
  <c r="HE14" i="1" s="1"/>
  <c r="EZ15" i="1"/>
  <c r="FC15" i="1" s="1"/>
  <c r="HB14" i="1"/>
  <c r="HF14" i="1" s="1"/>
  <c r="EQ16" i="1"/>
  <c r="EZ16" i="1" s="1"/>
  <c r="FC16" i="1" s="1"/>
  <c r="FF16" i="1" s="1"/>
  <c r="FI16" i="1" s="1"/>
  <c r="EP16" i="1"/>
  <c r="EV16" i="1" s="1"/>
  <c r="EW16" i="1" s="1"/>
  <c r="DZ19" i="1"/>
  <c r="EB19" i="1" s="1"/>
  <c r="EN18" i="1"/>
  <c r="EO18" i="1"/>
  <c r="ER18" i="1" s="1"/>
  <c r="EM18" i="1"/>
  <c r="CQ25" i="1"/>
  <c r="CS25" i="1" s="1"/>
  <c r="CT25" i="1" s="1"/>
  <c r="CS24" i="1"/>
  <c r="CU24" i="1" s="1"/>
  <c r="CZ24" i="1" s="1"/>
  <c r="EX15" i="1"/>
  <c r="HB15" i="1"/>
  <c r="HF15" i="1" s="1"/>
  <c r="CN26" i="1"/>
  <c r="CQ26" i="1" s="1"/>
  <c r="EO17" i="1"/>
  <c r="ER17" i="1" s="1"/>
  <c r="EM17" i="1"/>
  <c r="EN17" i="1"/>
  <c r="CR26" i="1"/>
  <c r="EX12" i="1"/>
  <c r="EW12" i="1"/>
  <c r="FE12" i="1"/>
  <c r="FD12" i="1"/>
  <c r="FV12" i="1" s="1"/>
  <c r="HB12" i="1"/>
  <c r="HF12" i="1" s="1"/>
  <c r="FL12" i="1"/>
  <c r="FO12" i="1"/>
  <c r="ID32" i="1"/>
  <c r="HN32" i="1"/>
  <c r="FW9" i="1"/>
  <c r="FX9" i="1" s="1"/>
  <c r="FZ9" i="1" s="1"/>
  <c r="GP9" i="1" s="1"/>
  <c r="FM9" i="1"/>
  <c r="FN9" i="1" s="1"/>
  <c r="FR9" i="1" s="1"/>
  <c r="HV32" i="1"/>
  <c r="HX32" i="1"/>
  <c r="HZ32" i="1"/>
  <c r="HK32" i="1"/>
  <c r="HS33" i="1" s="1"/>
  <c r="HL33" i="1" s="1"/>
  <c r="HT32" i="1"/>
  <c r="HU32" i="1"/>
  <c r="HW32" i="1"/>
  <c r="FU10" i="1"/>
  <c r="FG10" i="1"/>
  <c r="FJ10" i="1" s="1"/>
  <c r="GQ10" i="1" s="1"/>
  <c r="HG10" i="1"/>
  <c r="CP22" i="1"/>
  <c r="FH11" i="1"/>
  <c r="CN23" i="1"/>
  <c r="CQ23" i="1" s="1"/>
  <c r="CS21" i="1"/>
  <c r="CT21" i="1" s="1"/>
  <c r="EQ13" i="1"/>
  <c r="EZ13" i="1" s="1"/>
  <c r="FC13" i="1" s="1"/>
  <c r="EP13" i="1"/>
  <c r="CQ22" i="1"/>
  <c r="CA27" i="1"/>
  <c r="BU27" i="1"/>
  <c r="BX27" i="1"/>
  <c r="CW20" i="1"/>
  <c r="DP20" i="1" s="1"/>
  <c r="CV20" i="1"/>
  <c r="DO20" i="1" s="1"/>
  <c r="CX20" i="1"/>
  <c r="HG11" i="1"/>
  <c r="FG11" i="1"/>
  <c r="FU11" i="1"/>
  <c r="CR23" i="1"/>
  <c r="AS30" i="1"/>
  <c r="AT30" i="1" s="1"/>
  <c r="FB14" i="1" l="1"/>
  <c r="FA14" i="1"/>
  <c r="FF14" i="1"/>
  <c r="FI14" i="1" s="1"/>
  <c r="FB15" i="1"/>
  <c r="FA15" i="1"/>
  <c r="FF15" i="1"/>
  <c r="FI15" i="1" s="1"/>
  <c r="FY15" i="1"/>
  <c r="HE15" i="1" s="1"/>
  <c r="HH15" i="1" s="1"/>
  <c r="EX14" i="1"/>
  <c r="FU14" i="1"/>
  <c r="EC19" i="1"/>
  <c r="EF19" i="1" s="1"/>
  <c r="ED19" i="1"/>
  <c r="EJ19" i="1" s="1"/>
  <c r="DA24" i="1"/>
  <c r="CY24" i="1"/>
  <c r="FY16" i="1"/>
  <c r="HE16" i="1" s="1"/>
  <c r="HB16" i="1"/>
  <c r="HF16" i="1" s="1"/>
  <c r="EX16" i="1"/>
  <c r="FB16" i="1"/>
  <c r="FA16" i="1"/>
  <c r="EQ18" i="1"/>
  <c r="EZ18" i="1" s="1"/>
  <c r="FC18" i="1" s="1"/>
  <c r="FY18" i="1" s="1"/>
  <c r="HE18" i="1" s="1"/>
  <c r="EP18" i="1"/>
  <c r="EV18" i="1" s="1"/>
  <c r="CT24" i="1"/>
  <c r="CU25" i="1"/>
  <c r="CY25" i="1" s="1"/>
  <c r="EQ17" i="1"/>
  <c r="EZ17" i="1" s="1"/>
  <c r="FC17" i="1" s="1"/>
  <c r="EP17" i="1"/>
  <c r="FU15" i="1"/>
  <c r="CX25" i="1"/>
  <c r="CV25" i="1"/>
  <c r="CW25" i="1"/>
  <c r="CP26" i="1"/>
  <c r="CS26" i="1" s="1"/>
  <c r="FU16" i="1"/>
  <c r="FH12" i="1"/>
  <c r="HG12" i="1"/>
  <c r="HH12" i="1"/>
  <c r="FU12" i="1"/>
  <c r="FG12" i="1"/>
  <c r="HZ33" i="1"/>
  <c r="HN33" i="1"/>
  <c r="FQ9" i="1"/>
  <c r="FP9" i="1"/>
  <c r="GO9" i="1" s="1"/>
  <c r="HU33" i="1"/>
  <c r="ID33" i="1"/>
  <c r="HT33" i="1"/>
  <c r="HK33" i="1"/>
  <c r="HS34" i="1" s="1"/>
  <c r="HL34" i="1" s="1"/>
  <c r="HV33" i="1"/>
  <c r="HW33" i="1"/>
  <c r="HX33" i="1"/>
  <c r="FW10" i="1"/>
  <c r="FX10" i="1" s="1"/>
  <c r="FZ10" i="1" s="1"/>
  <c r="GP10" i="1" s="1"/>
  <c r="GA9" i="1"/>
  <c r="GD9" i="1"/>
  <c r="CP23" i="1"/>
  <c r="CS23" i="1" s="1"/>
  <c r="CT23" i="1" s="1"/>
  <c r="FM10" i="1"/>
  <c r="FN10" i="1" s="1"/>
  <c r="FQ10" i="1" s="1"/>
  <c r="HH14" i="1"/>
  <c r="HG14" i="1"/>
  <c r="CU21" i="1"/>
  <c r="CY21" i="1" s="1"/>
  <c r="FB13" i="1"/>
  <c r="FA13" i="1"/>
  <c r="EV13" i="1"/>
  <c r="FY13" i="1"/>
  <c r="HE13" i="1" s="1"/>
  <c r="FF13" i="1"/>
  <c r="FI13" i="1" s="1"/>
  <c r="CC27" i="1"/>
  <c r="CE27" i="1"/>
  <c r="CB27" i="1"/>
  <c r="CG27" i="1" s="1"/>
  <c r="CS22" i="1"/>
  <c r="CT22" i="1" s="1"/>
  <c r="CW21" i="1"/>
  <c r="CV21" i="1"/>
  <c r="CX21" i="1"/>
  <c r="DM20" i="1"/>
  <c r="FM11" i="1"/>
  <c r="FN11" i="1" s="1"/>
  <c r="FW11" i="1"/>
  <c r="FX11" i="1" s="1"/>
  <c r="FZ11" i="1" s="1"/>
  <c r="FJ11" i="1"/>
  <c r="GQ11" i="1" s="1"/>
  <c r="DQ20" i="1"/>
  <c r="DS20" i="1" s="1"/>
  <c r="DN20" i="1"/>
  <c r="DL20" i="1"/>
  <c r="AS31" i="1"/>
  <c r="AT31" i="1" s="1"/>
  <c r="BB28" i="1"/>
  <c r="BE28" i="1" s="1"/>
  <c r="FD15" i="1" l="1"/>
  <c r="FV15" i="1" s="1"/>
  <c r="FE14" i="1"/>
  <c r="FH14" i="1" s="1"/>
  <c r="FL14" i="1"/>
  <c r="FE15" i="1"/>
  <c r="FH15" i="1" s="1"/>
  <c r="FO14" i="1"/>
  <c r="FD14" i="1"/>
  <c r="FG14" i="1" s="1"/>
  <c r="HG15" i="1"/>
  <c r="FO15" i="1"/>
  <c r="FL15" i="1"/>
  <c r="EK19" i="1"/>
  <c r="EG19" i="1"/>
  <c r="EE19" i="1"/>
  <c r="EI19" i="1"/>
  <c r="EH19" i="1"/>
  <c r="EL19" i="1"/>
  <c r="FF18" i="1"/>
  <c r="FI18" i="1" s="1"/>
  <c r="FO16" i="1"/>
  <c r="HG16" i="1"/>
  <c r="HH16" i="1"/>
  <c r="FE16" i="1"/>
  <c r="FH16" i="1" s="1"/>
  <c r="FD16" i="1"/>
  <c r="FL16" i="1"/>
  <c r="FA18" i="1"/>
  <c r="FB18" i="1"/>
  <c r="CZ25" i="1"/>
  <c r="DP25" i="1" s="1"/>
  <c r="DA25" i="1"/>
  <c r="DQ25" i="1" s="1"/>
  <c r="CX24" i="1"/>
  <c r="CV24" i="1"/>
  <c r="CW24" i="1"/>
  <c r="CT26" i="1"/>
  <c r="CU26" i="1"/>
  <c r="EW18" i="1"/>
  <c r="HB18" i="1"/>
  <c r="HF18" i="1" s="1"/>
  <c r="HH18" i="1" s="1"/>
  <c r="EX18" i="1"/>
  <c r="DO25" i="1"/>
  <c r="FB17" i="1"/>
  <c r="EV17" i="1"/>
  <c r="FA17" i="1"/>
  <c r="FF17" i="1"/>
  <c r="FI17" i="1" s="1"/>
  <c r="FY17" i="1"/>
  <c r="HE17" i="1" s="1"/>
  <c r="DL25" i="1"/>
  <c r="DN25" i="1"/>
  <c r="DM25" i="1"/>
  <c r="FW12" i="1"/>
  <c r="FX12" i="1" s="1"/>
  <c r="FZ12" i="1" s="1"/>
  <c r="FM12" i="1"/>
  <c r="FN12" i="1" s="1"/>
  <c r="FJ12" i="1"/>
  <c r="GQ12" i="1" s="1"/>
  <c r="GC9" i="1"/>
  <c r="GB9" i="1"/>
  <c r="HX34" i="1"/>
  <c r="HN34" i="1"/>
  <c r="FT9" i="1"/>
  <c r="FS9" i="1"/>
  <c r="HZ34" i="1"/>
  <c r="HW34" i="1"/>
  <c r="HK34" i="1"/>
  <c r="HS35" i="1" s="1"/>
  <c r="HL35" i="1" s="1"/>
  <c r="HT34" i="1"/>
  <c r="ID34" i="1"/>
  <c r="HV34" i="1"/>
  <c r="HU34" i="1"/>
  <c r="GD10" i="1"/>
  <c r="GA10" i="1"/>
  <c r="FP10" i="1"/>
  <c r="GC10" i="1" s="1"/>
  <c r="CZ21" i="1"/>
  <c r="DP21" i="1" s="1"/>
  <c r="FR10" i="1"/>
  <c r="FS10" i="1" s="1"/>
  <c r="DA21" i="1"/>
  <c r="DQ21" i="1" s="1"/>
  <c r="DU20" i="1"/>
  <c r="DY20" i="1" s="1"/>
  <c r="CJ27" i="1"/>
  <c r="CM27" i="1" s="1"/>
  <c r="CU22" i="1"/>
  <c r="CY22" i="1" s="1"/>
  <c r="DO21" i="1"/>
  <c r="DR20" i="1"/>
  <c r="CU23" i="1"/>
  <c r="CZ23" i="1" s="1"/>
  <c r="CA28" i="1"/>
  <c r="BX28" i="1"/>
  <c r="BU28" i="1"/>
  <c r="DW20" i="1"/>
  <c r="DX20" i="1" s="1"/>
  <c r="DV20" i="1"/>
  <c r="CV22" i="1"/>
  <c r="CW22" i="1"/>
  <c r="CX22" i="1"/>
  <c r="DN21" i="1"/>
  <c r="DL21" i="1"/>
  <c r="HB13" i="1"/>
  <c r="HF13" i="1" s="1"/>
  <c r="HH13" i="1" s="1"/>
  <c r="FE13" i="1"/>
  <c r="EX13" i="1"/>
  <c r="FD13" i="1"/>
  <c r="FV13" i="1" s="1"/>
  <c r="EW13" i="1"/>
  <c r="DM21" i="1"/>
  <c r="FL13" i="1"/>
  <c r="FO13" i="1"/>
  <c r="CW23" i="1"/>
  <c r="CV23" i="1"/>
  <c r="CX23" i="1"/>
  <c r="GA11" i="1"/>
  <c r="GD11" i="1"/>
  <c r="GP11" i="1"/>
  <c r="FQ11" i="1"/>
  <c r="FP11" i="1"/>
  <c r="FR11" i="1"/>
  <c r="CK27" i="1"/>
  <c r="CF27" i="1"/>
  <c r="CL27" i="1" s="1"/>
  <c r="CH27" i="1"/>
  <c r="AS32" i="1"/>
  <c r="AT32" i="1" s="1"/>
  <c r="BB29" i="1"/>
  <c r="BE29" i="1" s="1"/>
  <c r="FG15" i="1" l="1"/>
  <c r="FW15" i="1" s="1"/>
  <c r="FX15" i="1" s="1"/>
  <c r="FZ15" i="1" s="1"/>
  <c r="GP15" i="1" s="1"/>
  <c r="FI1" i="1"/>
  <c r="FJ1" i="1"/>
  <c r="FJ14" i="1"/>
  <c r="GQ14" i="1" s="1"/>
  <c r="FV14" i="1"/>
  <c r="FM14" i="1"/>
  <c r="FN14" i="1" s="1"/>
  <c r="FP14" i="1" s="1"/>
  <c r="FW14" i="1"/>
  <c r="EO19" i="1"/>
  <c r="ER19" i="1" s="1"/>
  <c r="EM19" i="1"/>
  <c r="EN19" i="1"/>
  <c r="FO18" i="1"/>
  <c r="FD18" i="1"/>
  <c r="FV18" i="1" s="1"/>
  <c r="FL18" i="1"/>
  <c r="FE18" i="1"/>
  <c r="FH18" i="1" s="1"/>
  <c r="FV16" i="1"/>
  <c r="FG16" i="1"/>
  <c r="DP24" i="1"/>
  <c r="DM24" i="1"/>
  <c r="DO24" i="1"/>
  <c r="DL24" i="1"/>
  <c r="DN24" i="1"/>
  <c r="DQ24" i="1"/>
  <c r="HG18" i="1"/>
  <c r="FU18" i="1"/>
  <c r="DW25" i="1"/>
  <c r="DX25" i="1" s="1"/>
  <c r="DR25" i="1"/>
  <c r="DV25" i="1"/>
  <c r="FL17" i="1"/>
  <c r="FO17" i="1"/>
  <c r="DU25" i="1"/>
  <c r="DS25" i="1"/>
  <c r="FD17" i="1"/>
  <c r="FV17" i="1" s="1"/>
  <c r="EW17" i="1"/>
  <c r="EX17" i="1"/>
  <c r="HB17" i="1"/>
  <c r="HF17" i="1" s="1"/>
  <c r="HG17" i="1" s="1"/>
  <c r="FE17" i="1"/>
  <c r="DA26" i="1"/>
  <c r="CY26" i="1"/>
  <c r="CZ26" i="1"/>
  <c r="CX26" i="1"/>
  <c r="CV26" i="1"/>
  <c r="CW26" i="1"/>
  <c r="FR12" i="1"/>
  <c r="FQ12" i="1"/>
  <c r="FP12" i="1"/>
  <c r="GA12" i="1"/>
  <c r="GD12" i="1"/>
  <c r="GP12" i="1"/>
  <c r="GH9" i="1"/>
  <c r="GE9" i="1"/>
  <c r="GF9" i="1" s="1"/>
  <c r="GG9" i="1"/>
  <c r="GI9" i="1"/>
  <c r="HT35" i="1"/>
  <c r="HN35" i="1"/>
  <c r="HK35" i="1"/>
  <c r="HS36" i="1" s="1"/>
  <c r="HL36" i="1" s="1"/>
  <c r="HU35" i="1"/>
  <c r="ID35" i="1"/>
  <c r="HW35" i="1"/>
  <c r="HX35" i="1"/>
  <c r="HZ35" i="1"/>
  <c r="HV35" i="1"/>
  <c r="GB10" i="1"/>
  <c r="GI10" i="1" s="1"/>
  <c r="GO10" i="1"/>
  <c r="FT10" i="1"/>
  <c r="DA23" i="1"/>
  <c r="DQ23" i="1" s="1"/>
  <c r="DA22" i="1"/>
  <c r="DQ22" i="1" s="1"/>
  <c r="CR27" i="1"/>
  <c r="DU21" i="1"/>
  <c r="CY23" i="1"/>
  <c r="DO23" i="1" s="1"/>
  <c r="DZ20" i="1"/>
  <c r="CZ22" i="1"/>
  <c r="DP22" i="1" s="1"/>
  <c r="EA20" i="1"/>
  <c r="HG13" i="1"/>
  <c r="DS21" i="1"/>
  <c r="FS11" i="1"/>
  <c r="DM23" i="1"/>
  <c r="FU13" i="1"/>
  <c r="FG13" i="1"/>
  <c r="DM22" i="1"/>
  <c r="DL22" i="1"/>
  <c r="BU29" i="1"/>
  <c r="CA29" i="1"/>
  <c r="BX29" i="1"/>
  <c r="FH13" i="1"/>
  <c r="DL23" i="1"/>
  <c r="DR21" i="1"/>
  <c r="DW21" i="1"/>
  <c r="DX21" i="1" s="1"/>
  <c r="DV21" i="1"/>
  <c r="DN22" i="1"/>
  <c r="DO22" i="1"/>
  <c r="FT11" i="1"/>
  <c r="DP23" i="1"/>
  <c r="CN27" i="1"/>
  <c r="CP27" i="1" s="1"/>
  <c r="GO11" i="1"/>
  <c r="GC11" i="1"/>
  <c r="GB11" i="1"/>
  <c r="DN23" i="1"/>
  <c r="CB28" i="1"/>
  <c r="CG28" i="1" s="1"/>
  <c r="CE28" i="1"/>
  <c r="CC28" i="1"/>
  <c r="AS33" i="1"/>
  <c r="AT33" i="1" s="1"/>
  <c r="BB33" i="1" s="1"/>
  <c r="BE33" i="1" s="1"/>
  <c r="BB30" i="1"/>
  <c r="BE30" i="1" s="1"/>
  <c r="GA15" i="1" l="1"/>
  <c r="FM15" i="1"/>
  <c r="FN15" i="1" s="1"/>
  <c r="FQ15" i="1" s="1"/>
  <c r="FJ15" i="1"/>
  <c r="GQ15" i="1" s="1"/>
  <c r="GD15" i="1"/>
  <c r="FX14" i="1"/>
  <c r="FZ14" i="1" s="1"/>
  <c r="GP14" i="1" s="1"/>
  <c r="FR14" i="1"/>
  <c r="FQ14" i="1"/>
  <c r="EP19" i="1"/>
  <c r="EV19" i="1" s="1"/>
  <c r="EX19" i="1" s="1"/>
  <c r="EQ19" i="1"/>
  <c r="EZ19" i="1" s="1"/>
  <c r="FC19" i="1" s="1"/>
  <c r="FY19" i="1" s="1"/>
  <c r="HE19" i="1" s="1"/>
  <c r="FG18" i="1"/>
  <c r="FW18" i="1" s="1"/>
  <c r="FX18" i="1" s="1"/>
  <c r="FZ18" i="1" s="1"/>
  <c r="DP26" i="1"/>
  <c r="FM16" i="1"/>
  <c r="FN16" i="1" s="1"/>
  <c r="FW16" i="1"/>
  <c r="FX16" i="1" s="1"/>
  <c r="FZ16" i="1" s="1"/>
  <c r="FJ16" i="1"/>
  <c r="GQ16" i="1" s="1"/>
  <c r="DW24" i="1"/>
  <c r="DX24" i="1" s="1"/>
  <c r="DR24" i="1"/>
  <c r="DV24" i="1"/>
  <c r="DU24" i="1"/>
  <c r="DS24" i="1"/>
  <c r="HH17" i="1"/>
  <c r="FH17" i="1"/>
  <c r="FG17" i="1"/>
  <c r="FU17" i="1"/>
  <c r="DY25" i="1"/>
  <c r="DM26" i="1"/>
  <c r="DO26" i="1"/>
  <c r="BU33" i="1"/>
  <c r="BX33" i="1"/>
  <c r="CA33" i="1"/>
  <c r="DL26" i="1"/>
  <c r="DQ26" i="1"/>
  <c r="DZ25" i="1"/>
  <c r="DN26" i="1"/>
  <c r="EA25" i="1"/>
  <c r="FT12" i="1"/>
  <c r="GB12" i="1"/>
  <c r="GO12" i="1"/>
  <c r="GC12" i="1"/>
  <c r="FS12" i="1"/>
  <c r="GY9" i="1"/>
  <c r="GS9" i="1"/>
  <c r="HA9" i="1" s="1"/>
  <c r="HC9" i="1" s="1"/>
  <c r="HX36" i="1"/>
  <c r="HN36" i="1"/>
  <c r="HZ36" i="1"/>
  <c r="HW36" i="1"/>
  <c r="HT36" i="1"/>
  <c r="HK36" i="1"/>
  <c r="HS37" i="1" s="1"/>
  <c r="HL37" i="1" s="1"/>
  <c r="HU36" i="1"/>
  <c r="ID36" i="1"/>
  <c r="HV36" i="1"/>
  <c r="GE10" i="1"/>
  <c r="GF10" i="1" s="1"/>
  <c r="GH10" i="1"/>
  <c r="GY10" i="1" s="1"/>
  <c r="GG10" i="1"/>
  <c r="GO14" i="1"/>
  <c r="ED20" i="1"/>
  <c r="EH20" i="1" s="1"/>
  <c r="EB20" i="1"/>
  <c r="DY21" i="1"/>
  <c r="EC20" i="1"/>
  <c r="EG20" i="1" s="1"/>
  <c r="EA21" i="1"/>
  <c r="GH11" i="1"/>
  <c r="CJ28" i="1"/>
  <c r="CM28" i="1" s="1"/>
  <c r="DZ21" i="1"/>
  <c r="CF28" i="1"/>
  <c r="CL28" i="1" s="1"/>
  <c r="CH28" i="1"/>
  <c r="CK28" i="1"/>
  <c r="DW23" i="1"/>
  <c r="DX23" i="1" s="1"/>
  <c r="DR23" i="1"/>
  <c r="DV23" i="1"/>
  <c r="CE29" i="1"/>
  <c r="CB29" i="1"/>
  <c r="CG29" i="1" s="1"/>
  <c r="CC29" i="1"/>
  <c r="FW13" i="1"/>
  <c r="FX13" i="1" s="1"/>
  <c r="FZ13" i="1" s="1"/>
  <c r="FJ13" i="1"/>
  <c r="GQ13" i="1" s="1"/>
  <c r="FM13" i="1"/>
  <c r="FN13" i="1" s="1"/>
  <c r="DS23" i="1"/>
  <c r="DU23" i="1"/>
  <c r="DU22" i="1"/>
  <c r="DS22" i="1"/>
  <c r="BU30" i="1"/>
  <c r="BX30" i="1"/>
  <c r="CA30" i="1"/>
  <c r="DV22" i="1"/>
  <c r="DW22" i="1"/>
  <c r="DX22" i="1" s="1"/>
  <c r="DR22" i="1"/>
  <c r="CQ27" i="1"/>
  <c r="GE11" i="1"/>
  <c r="GF11" i="1" s="1"/>
  <c r="GG11" i="1"/>
  <c r="GI11" i="1"/>
  <c r="AS34" i="1"/>
  <c r="AT34" i="1" s="1"/>
  <c r="BB34" i="1" s="1"/>
  <c r="BE34" i="1" s="1"/>
  <c r="BB31" i="1"/>
  <c r="BE31" i="1" s="1"/>
  <c r="FP15" i="1" l="1"/>
  <c r="FR15" i="1"/>
  <c r="GD14" i="1"/>
  <c r="GA14" i="1"/>
  <c r="GC14" i="1"/>
  <c r="GB14" i="1"/>
  <c r="FT14" i="1"/>
  <c r="FS14" i="1"/>
  <c r="FF19" i="1"/>
  <c r="FI19" i="1" s="1"/>
  <c r="HB19" i="1"/>
  <c r="HF19" i="1" s="1"/>
  <c r="HG19" i="1" s="1"/>
  <c r="EW19" i="1"/>
  <c r="FU19" i="1" s="1"/>
  <c r="FB19" i="1"/>
  <c r="FA19" i="1"/>
  <c r="FM18" i="1"/>
  <c r="FN18" i="1" s="1"/>
  <c r="FP18" i="1" s="1"/>
  <c r="FJ18" i="1"/>
  <c r="GQ18" i="1" s="1"/>
  <c r="GD16" i="1"/>
  <c r="GP16" i="1"/>
  <c r="GA16" i="1"/>
  <c r="FP16" i="1"/>
  <c r="FR16" i="1"/>
  <c r="FQ16" i="1"/>
  <c r="DZ24" i="1"/>
  <c r="DY24" i="1"/>
  <c r="EA24" i="1"/>
  <c r="DR26" i="1"/>
  <c r="DW26" i="1"/>
  <c r="DX26" i="1" s="1"/>
  <c r="DV26" i="1"/>
  <c r="CC33" i="1"/>
  <c r="CE33" i="1"/>
  <c r="CB33" i="1"/>
  <c r="CG33" i="1" s="1"/>
  <c r="GP18" i="1"/>
  <c r="GA18" i="1"/>
  <c r="GD18" i="1"/>
  <c r="BX34" i="1"/>
  <c r="BU34" i="1"/>
  <c r="CA34" i="1"/>
  <c r="ED25" i="1"/>
  <c r="EC25" i="1"/>
  <c r="EB25" i="1"/>
  <c r="DU26" i="1"/>
  <c r="DS26" i="1"/>
  <c r="FJ17" i="1"/>
  <c r="GQ17" i="1" s="1"/>
  <c r="FM17" i="1"/>
  <c r="FN17" i="1" s="1"/>
  <c r="FW17" i="1"/>
  <c r="FX17" i="1" s="1"/>
  <c r="FZ17" i="1" s="1"/>
  <c r="GH12" i="1"/>
  <c r="GG12" i="1"/>
  <c r="GE12" i="1"/>
  <c r="GF12" i="1" s="1"/>
  <c r="GI12" i="1"/>
  <c r="GZ9" i="1"/>
  <c r="GR9" i="1"/>
  <c r="GT9" i="1"/>
  <c r="HD9" i="1"/>
  <c r="HV37" i="1"/>
  <c r="HN37" i="1"/>
  <c r="HK37" i="1"/>
  <c r="HS38" i="1" s="1"/>
  <c r="HL38" i="1" s="1"/>
  <c r="HW37" i="1"/>
  <c r="HZ37" i="1"/>
  <c r="HX37" i="1"/>
  <c r="HT37" i="1"/>
  <c r="GS10" i="1"/>
  <c r="GT10" i="1" s="1"/>
  <c r="HU37" i="1"/>
  <c r="ID37" i="1"/>
  <c r="GZ10" i="1"/>
  <c r="EJ20" i="1"/>
  <c r="EL20" i="1"/>
  <c r="EB21" i="1"/>
  <c r="EK20" i="1"/>
  <c r="EF20" i="1"/>
  <c r="EI20" i="1"/>
  <c r="EE20" i="1"/>
  <c r="EC21" i="1"/>
  <c r="EG21" i="1" s="1"/>
  <c r="ED21" i="1"/>
  <c r="EI21" i="1" s="1"/>
  <c r="GS11" i="1"/>
  <c r="GY11" i="1"/>
  <c r="CJ29" i="1"/>
  <c r="CM29" i="1" s="1"/>
  <c r="EA22" i="1"/>
  <c r="DZ23" i="1"/>
  <c r="CA31" i="1"/>
  <c r="BU31" i="1"/>
  <c r="BX31" i="1"/>
  <c r="DZ22" i="1"/>
  <c r="FR13" i="1"/>
  <c r="FP13" i="1"/>
  <c r="FQ13" i="1"/>
  <c r="EA23" i="1"/>
  <c r="CN28" i="1"/>
  <c r="CQ28" i="1" s="1"/>
  <c r="GP13" i="1"/>
  <c r="GD13" i="1"/>
  <c r="GA13" i="1"/>
  <c r="CE30" i="1"/>
  <c r="CC30" i="1"/>
  <c r="CB30" i="1"/>
  <c r="CG30" i="1" s="1"/>
  <c r="DY22" i="1"/>
  <c r="CK29" i="1"/>
  <c r="CH29" i="1"/>
  <c r="CF29" i="1"/>
  <c r="CL29" i="1" s="1"/>
  <c r="CS27" i="1"/>
  <c r="CT27" i="1" s="1"/>
  <c r="DY23" i="1"/>
  <c r="CR28" i="1"/>
  <c r="AS35" i="1"/>
  <c r="AT35" i="1" s="1"/>
  <c r="BB35" i="1" s="1"/>
  <c r="BE35" i="1" s="1"/>
  <c r="BB32" i="1"/>
  <c r="BE32" i="1" s="1"/>
  <c r="GG14" i="1" l="1"/>
  <c r="GB15" i="1"/>
  <c r="GC15" i="1"/>
  <c r="GO15" i="1"/>
  <c r="GI14" i="1"/>
  <c r="GE14" i="1"/>
  <c r="GF14" i="1" s="1"/>
  <c r="GH14" i="1"/>
  <c r="FT15" i="1"/>
  <c r="FS15" i="1"/>
  <c r="FE19" i="1"/>
  <c r="FH19" i="1" s="1"/>
  <c r="FO19" i="1"/>
  <c r="FD19" i="1"/>
  <c r="FV19" i="1" s="1"/>
  <c r="FL19" i="1"/>
  <c r="HH19" i="1"/>
  <c r="FS16" i="1"/>
  <c r="FQ18" i="1"/>
  <c r="FR18" i="1"/>
  <c r="EA26" i="1"/>
  <c r="FT16" i="1"/>
  <c r="GC16" i="1"/>
  <c r="GO16" i="1"/>
  <c r="GB16" i="1"/>
  <c r="ED24" i="1"/>
  <c r="EB24" i="1"/>
  <c r="EC24" i="1"/>
  <c r="DY26" i="1"/>
  <c r="CJ33" i="1"/>
  <c r="CM33" i="1" s="1"/>
  <c r="GP17" i="1"/>
  <c r="GA17" i="1"/>
  <c r="GD17" i="1"/>
  <c r="EK25" i="1"/>
  <c r="EF25" i="1"/>
  <c r="EG25" i="1"/>
  <c r="EE25" i="1"/>
  <c r="BU35" i="1"/>
  <c r="BX35" i="1"/>
  <c r="CA35" i="1"/>
  <c r="FQ17" i="1"/>
  <c r="FR17" i="1"/>
  <c r="FP17" i="1"/>
  <c r="EH25" i="1"/>
  <c r="EL25" i="1"/>
  <c r="EI25" i="1"/>
  <c r="EJ25" i="1"/>
  <c r="DZ26" i="1"/>
  <c r="GB18" i="1"/>
  <c r="GC18" i="1"/>
  <c r="GO18" i="1"/>
  <c r="CE34" i="1"/>
  <c r="CC34" i="1"/>
  <c r="CB34" i="1"/>
  <c r="CG34" i="1" s="1"/>
  <c r="GY12" i="1"/>
  <c r="GZ12" i="1" s="1"/>
  <c r="CH33" i="1"/>
  <c r="CK33" i="1"/>
  <c r="CF33" i="1"/>
  <c r="CL33" i="1" s="1"/>
  <c r="GS12" i="1"/>
  <c r="HA10" i="1"/>
  <c r="HC10" i="1" s="1"/>
  <c r="HW38" i="1"/>
  <c r="HN38" i="1"/>
  <c r="HX38" i="1"/>
  <c r="GR10" i="1"/>
  <c r="HV38" i="1"/>
  <c r="HK38" i="1"/>
  <c r="HS39" i="1" s="1"/>
  <c r="HL39" i="1" s="1"/>
  <c r="HT38" i="1"/>
  <c r="HZ38" i="1"/>
  <c r="HU38" i="1"/>
  <c r="ID38" i="1"/>
  <c r="GT11" i="1"/>
  <c r="GZ11" i="1"/>
  <c r="EM20" i="1"/>
  <c r="EN20" i="1"/>
  <c r="EH21" i="1"/>
  <c r="EO20" i="1"/>
  <c r="ER20" i="1" s="1"/>
  <c r="EJ21" i="1"/>
  <c r="EL21" i="1"/>
  <c r="HA11" i="1"/>
  <c r="HD11" i="1" s="1"/>
  <c r="EE21" i="1"/>
  <c r="EF21" i="1"/>
  <c r="EK21" i="1"/>
  <c r="GR11" i="1"/>
  <c r="CR29" i="1"/>
  <c r="CP28" i="1"/>
  <c r="CS28" i="1" s="1"/>
  <c r="CT28" i="1" s="1"/>
  <c r="FT13" i="1"/>
  <c r="CU27" i="1"/>
  <c r="CY27" i="1" s="1"/>
  <c r="GB13" i="1"/>
  <c r="GO13" i="1"/>
  <c r="GC13" i="1"/>
  <c r="CV27" i="1"/>
  <c r="CW27" i="1"/>
  <c r="CX27" i="1"/>
  <c r="CK30" i="1"/>
  <c r="CH30" i="1"/>
  <c r="CF30" i="1"/>
  <c r="CL30" i="1" s="1"/>
  <c r="EB22" i="1"/>
  <c r="ED22" i="1"/>
  <c r="EC22" i="1"/>
  <c r="BX32" i="1"/>
  <c r="BU32" i="1"/>
  <c r="CA32" i="1"/>
  <c r="CJ30" i="1"/>
  <c r="CE31" i="1"/>
  <c r="CB31" i="1"/>
  <c r="CG31" i="1" s="1"/>
  <c r="CC31" i="1"/>
  <c r="EB23" i="1"/>
  <c r="ED23" i="1"/>
  <c r="EC23" i="1"/>
  <c r="CN29" i="1"/>
  <c r="CQ29" i="1" s="1"/>
  <c r="FS13" i="1"/>
  <c r="AS36" i="1"/>
  <c r="AT36" i="1" s="1"/>
  <c r="BB36" i="1" s="1"/>
  <c r="BE36" i="1" s="1"/>
  <c r="GS14" i="1" l="1"/>
  <c r="GT14" i="1" s="1"/>
  <c r="GH15" i="1"/>
  <c r="GY14" i="1"/>
  <c r="GZ14" i="1" s="1"/>
  <c r="GG15" i="1"/>
  <c r="GE15" i="1"/>
  <c r="GF15" i="1" s="1"/>
  <c r="GI15" i="1"/>
  <c r="FG19" i="1"/>
  <c r="FW19" i="1" s="1"/>
  <c r="FX19" i="1" s="1"/>
  <c r="FZ19" i="1" s="1"/>
  <c r="GD19" i="1" s="1"/>
  <c r="FT18" i="1"/>
  <c r="FS18" i="1"/>
  <c r="GI16" i="1"/>
  <c r="GG16" i="1"/>
  <c r="GE16" i="1"/>
  <c r="GF16" i="1" s="1"/>
  <c r="GH16" i="1"/>
  <c r="GH18" i="1"/>
  <c r="FT17" i="1"/>
  <c r="CR33" i="1"/>
  <c r="EM25" i="1"/>
  <c r="EE24" i="1"/>
  <c r="EF24" i="1"/>
  <c r="EG24" i="1"/>
  <c r="EK24" i="1"/>
  <c r="EH24" i="1"/>
  <c r="EL24" i="1"/>
  <c r="EJ24" i="1"/>
  <c r="EI24" i="1"/>
  <c r="CJ34" i="1"/>
  <c r="CM34" i="1" s="1"/>
  <c r="CA36" i="1"/>
  <c r="BX36" i="1"/>
  <c r="BU36" i="1"/>
  <c r="GC17" i="1"/>
  <c r="GO17" i="1"/>
  <c r="GB17" i="1"/>
  <c r="CN33" i="1"/>
  <c r="CQ33" i="1" s="1"/>
  <c r="GE18" i="1"/>
  <c r="GF18" i="1" s="1"/>
  <c r="GG18" i="1"/>
  <c r="FS17" i="1"/>
  <c r="CK34" i="1"/>
  <c r="CH34" i="1"/>
  <c r="CF34" i="1"/>
  <c r="CL34" i="1" s="1"/>
  <c r="EC26" i="1"/>
  <c r="EB26" i="1"/>
  <c r="ED26" i="1"/>
  <c r="CB35" i="1"/>
  <c r="CG35" i="1" s="1"/>
  <c r="CE35" i="1"/>
  <c r="CC35" i="1"/>
  <c r="GI18" i="1"/>
  <c r="EO25" i="1"/>
  <c r="ER25" i="1" s="1"/>
  <c r="EN25" i="1"/>
  <c r="HA12" i="1"/>
  <c r="GT12" i="1"/>
  <c r="GR12" i="1"/>
  <c r="HD10" i="1"/>
  <c r="HN39" i="1"/>
  <c r="HU39" i="1"/>
  <c r="ID39" i="1"/>
  <c r="HV39" i="1"/>
  <c r="HT39" i="1"/>
  <c r="HX39" i="1"/>
  <c r="HW39" i="1"/>
  <c r="HZ39" i="1"/>
  <c r="HK39" i="1"/>
  <c r="HS40" i="1" s="1"/>
  <c r="HL40" i="1" s="1"/>
  <c r="EQ20" i="1"/>
  <c r="EZ20" i="1" s="1"/>
  <c r="FC20" i="1" s="1"/>
  <c r="FF20" i="1" s="1"/>
  <c r="FI20" i="1" s="1"/>
  <c r="EP20" i="1"/>
  <c r="EV20" i="1" s="1"/>
  <c r="EN21" i="1"/>
  <c r="EM21" i="1"/>
  <c r="HC11" i="1"/>
  <c r="EO21" i="1"/>
  <c r="ER21" i="1" s="1"/>
  <c r="GH13" i="1"/>
  <c r="GI13" i="1"/>
  <c r="DO27" i="1"/>
  <c r="CU28" i="1"/>
  <c r="DA28" i="1" s="1"/>
  <c r="DA27" i="1"/>
  <c r="DQ27" i="1" s="1"/>
  <c r="CZ27" i="1"/>
  <c r="DP27" i="1" s="1"/>
  <c r="CP29" i="1"/>
  <c r="CS29" i="1" s="1"/>
  <c r="CU29" i="1" s="1"/>
  <c r="EG23" i="1"/>
  <c r="EK23" i="1"/>
  <c r="EE23" i="1"/>
  <c r="EF23" i="1"/>
  <c r="CJ31" i="1"/>
  <c r="EH23" i="1"/>
  <c r="EL23" i="1"/>
  <c r="EJ23" i="1"/>
  <c r="EI23" i="1"/>
  <c r="CM30" i="1"/>
  <c r="CR30" i="1"/>
  <c r="CC32" i="1"/>
  <c r="CB32" i="1"/>
  <c r="CG32" i="1" s="1"/>
  <c r="CE32" i="1"/>
  <c r="CN30" i="1"/>
  <c r="DN27" i="1"/>
  <c r="CF31" i="1"/>
  <c r="CL31" i="1" s="1"/>
  <c r="CH31" i="1"/>
  <c r="CK31" i="1"/>
  <c r="DM27" i="1"/>
  <c r="EL22" i="1"/>
  <c r="EI22" i="1"/>
  <c r="EJ22" i="1"/>
  <c r="EH22" i="1"/>
  <c r="CV28" i="1"/>
  <c r="CW28" i="1"/>
  <c r="CX28" i="1"/>
  <c r="EE22" i="1"/>
  <c r="EK22" i="1"/>
  <c r="EF22" i="1"/>
  <c r="EG22" i="1"/>
  <c r="DL27" i="1"/>
  <c r="GG13" i="1"/>
  <c r="GE13" i="1"/>
  <c r="GF13" i="1" s="1"/>
  <c r="AS37" i="1"/>
  <c r="AT37" i="1" s="1"/>
  <c r="GR14" i="1" l="1"/>
  <c r="HA14" i="1"/>
  <c r="HC14" i="1" s="1"/>
  <c r="GY15" i="1"/>
  <c r="GZ15" i="1" s="1"/>
  <c r="GS15" i="1"/>
  <c r="GT15" i="1" s="1"/>
  <c r="GA19" i="1"/>
  <c r="GP19" i="1"/>
  <c r="GS18" i="1"/>
  <c r="GT18" i="1" s="1"/>
  <c r="FJ19" i="1"/>
  <c r="GQ19" i="1" s="1"/>
  <c r="FM19" i="1"/>
  <c r="FN19" i="1" s="1"/>
  <c r="FQ19" i="1" s="1"/>
  <c r="EQ25" i="1"/>
  <c r="EZ25" i="1" s="1"/>
  <c r="FC25" i="1" s="1"/>
  <c r="FY25" i="1" s="1"/>
  <c r="HE25" i="1" s="1"/>
  <c r="GY18" i="1"/>
  <c r="GZ18" i="1" s="1"/>
  <c r="GS16" i="1"/>
  <c r="GY16" i="1"/>
  <c r="GZ16" i="1" s="1"/>
  <c r="GI17" i="1"/>
  <c r="CJ35" i="1"/>
  <c r="CM35" i="1" s="1"/>
  <c r="EM24" i="1"/>
  <c r="EN24" i="1"/>
  <c r="EO24" i="1"/>
  <c r="ER24" i="1" s="1"/>
  <c r="CR34" i="1"/>
  <c r="GE17" i="1"/>
  <c r="GF17" i="1" s="1"/>
  <c r="GG17" i="1"/>
  <c r="CF35" i="1"/>
  <c r="CL35" i="1" s="1"/>
  <c r="CH35" i="1"/>
  <c r="CK35" i="1"/>
  <c r="CN34" i="1"/>
  <c r="CQ34" i="1" s="1"/>
  <c r="GH17" i="1"/>
  <c r="CP33" i="1"/>
  <c r="CS33" i="1" s="1"/>
  <c r="CU33" i="1" s="1"/>
  <c r="EE26" i="1"/>
  <c r="EK26" i="1"/>
  <c r="EF26" i="1"/>
  <c r="EG26" i="1"/>
  <c r="EJ26" i="1"/>
  <c r="EL26" i="1"/>
  <c r="EH26" i="1"/>
  <c r="EI26" i="1"/>
  <c r="EP25" i="1"/>
  <c r="CC36" i="1"/>
  <c r="CE36" i="1"/>
  <c r="CB36" i="1"/>
  <c r="CG36" i="1" s="1"/>
  <c r="HC12" i="1"/>
  <c r="HD12" i="1"/>
  <c r="HN40" i="1"/>
  <c r="HU40" i="1"/>
  <c r="HT40" i="1"/>
  <c r="HX40" i="1"/>
  <c r="ID40" i="1"/>
  <c r="HW40" i="1"/>
  <c r="HK40" i="1"/>
  <c r="HS41" i="1" s="1"/>
  <c r="HL41" i="1" s="1"/>
  <c r="HZ40" i="1"/>
  <c r="HV40" i="1"/>
  <c r="GS13" i="1"/>
  <c r="GT13" i="1" s="1"/>
  <c r="FY20" i="1"/>
  <c r="HE20" i="1" s="1"/>
  <c r="FA20" i="1"/>
  <c r="FB20" i="1"/>
  <c r="EQ21" i="1"/>
  <c r="EZ21" i="1" s="1"/>
  <c r="FC21" i="1" s="1"/>
  <c r="FY21" i="1" s="1"/>
  <c r="HE21" i="1" s="1"/>
  <c r="EP21" i="1"/>
  <c r="CZ28" i="1"/>
  <c r="DP28" i="1" s="1"/>
  <c r="CY28" i="1"/>
  <c r="DO28" i="1" s="1"/>
  <c r="GY13" i="1"/>
  <c r="DS27" i="1"/>
  <c r="CJ32" i="1"/>
  <c r="CM32" i="1" s="1"/>
  <c r="DU27" i="1"/>
  <c r="CQ30" i="1"/>
  <c r="CT29" i="1"/>
  <c r="CW29" i="1" s="1"/>
  <c r="DM28" i="1"/>
  <c r="CN31" i="1"/>
  <c r="EO23" i="1"/>
  <c r="ER23" i="1" s="1"/>
  <c r="EN23" i="1"/>
  <c r="EM23" i="1"/>
  <c r="DL28" i="1"/>
  <c r="DR27" i="1"/>
  <c r="DV27" i="1"/>
  <c r="DW27" i="1"/>
  <c r="DX27" i="1" s="1"/>
  <c r="CP30" i="1"/>
  <c r="HB20" i="1"/>
  <c r="HF20" i="1" s="1"/>
  <c r="EX20" i="1"/>
  <c r="EW20" i="1"/>
  <c r="CM31" i="1"/>
  <c r="CR31" i="1"/>
  <c r="DN28" i="1"/>
  <c r="EM22" i="1"/>
  <c r="EO22" i="1"/>
  <c r="ER22" i="1" s="1"/>
  <c r="EN22" i="1"/>
  <c r="DQ28" i="1"/>
  <c r="CH32" i="1"/>
  <c r="CK32" i="1"/>
  <c r="CF32" i="1"/>
  <c r="CL32" i="1" s="1"/>
  <c r="CY29" i="1"/>
  <c r="CZ29" i="1"/>
  <c r="DA29" i="1"/>
  <c r="AS38" i="1"/>
  <c r="AT38" i="1" s="1"/>
  <c r="HD14" i="1" l="1"/>
  <c r="HA15" i="1"/>
  <c r="HD15" i="1" s="1"/>
  <c r="GR15" i="1"/>
  <c r="HA18" i="1"/>
  <c r="HC18" i="1" s="1"/>
  <c r="FR19" i="1"/>
  <c r="FP19" i="1"/>
  <c r="FF25" i="1"/>
  <c r="FI25" i="1" s="1"/>
  <c r="GR18" i="1"/>
  <c r="GR16" i="1"/>
  <c r="HA16" i="1"/>
  <c r="GT16" i="1"/>
  <c r="EQ24" i="1"/>
  <c r="EZ24" i="1" s="1"/>
  <c r="FC24" i="1" s="1"/>
  <c r="EP24" i="1"/>
  <c r="CH36" i="1"/>
  <c r="CK36" i="1"/>
  <c r="CF36" i="1"/>
  <c r="CL36" i="1" s="1"/>
  <c r="CY33" i="1"/>
  <c r="CZ33" i="1"/>
  <c r="DA33" i="1"/>
  <c r="EV25" i="1"/>
  <c r="FA25" i="1"/>
  <c r="FB25" i="1"/>
  <c r="EM26" i="1"/>
  <c r="EN26" i="1"/>
  <c r="EO26" i="1"/>
  <c r="ER26" i="1" s="1"/>
  <c r="CN35" i="1"/>
  <c r="CP35" i="1" s="1"/>
  <c r="GY17" i="1"/>
  <c r="GZ17" i="1" s="1"/>
  <c r="GS17" i="1"/>
  <c r="CP34" i="1"/>
  <c r="CS34" i="1" s="1"/>
  <c r="CR35" i="1"/>
  <c r="CJ36" i="1"/>
  <c r="CT33" i="1"/>
  <c r="HN41" i="1"/>
  <c r="HT41" i="1"/>
  <c r="HX41" i="1"/>
  <c r="HU41" i="1"/>
  <c r="ID41" i="1"/>
  <c r="HZ41" i="1"/>
  <c r="HV41" i="1"/>
  <c r="HW41" i="1"/>
  <c r="HK41" i="1"/>
  <c r="HS42" i="1" s="1"/>
  <c r="HL42" i="1" s="1"/>
  <c r="GR13" i="1"/>
  <c r="FE20" i="1"/>
  <c r="FH20" i="1" s="1"/>
  <c r="HA13" i="1"/>
  <c r="HD13" i="1" s="1"/>
  <c r="FF21" i="1"/>
  <c r="FI21" i="1" s="1"/>
  <c r="FB21" i="1"/>
  <c r="EV21" i="1"/>
  <c r="EX21" i="1" s="1"/>
  <c r="HG20" i="1"/>
  <c r="CX29" i="1"/>
  <c r="DN29" i="1" s="1"/>
  <c r="FA21" i="1"/>
  <c r="FD20" i="1"/>
  <c r="FV20" i="1" s="1"/>
  <c r="CV29" i="1"/>
  <c r="DO29" i="1" s="1"/>
  <c r="FO20" i="1"/>
  <c r="FL20" i="1"/>
  <c r="GZ13" i="1"/>
  <c r="CP31" i="1"/>
  <c r="DY27" i="1"/>
  <c r="DU28" i="1"/>
  <c r="CS30" i="1"/>
  <c r="CU30" i="1" s="1"/>
  <c r="DP29" i="1"/>
  <c r="HH20" i="1"/>
  <c r="DW28" i="1"/>
  <c r="DX28" i="1" s="1"/>
  <c r="CN32" i="1"/>
  <c r="CQ32" i="1" s="1"/>
  <c r="DS28" i="1"/>
  <c r="EA27" i="1"/>
  <c r="DM29" i="1"/>
  <c r="DZ27" i="1"/>
  <c r="DR28" i="1"/>
  <c r="DV28" i="1"/>
  <c r="CQ31" i="1"/>
  <c r="EP23" i="1"/>
  <c r="EQ23" i="1"/>
  <c r="EZ23" i="1" s="1"/>
  <c r="FC23" i="1" s="1"/>
  <c r="EP22" i="1"/>
  <c r="EQ22" i="1"/>
  <c r="EZ22" i="1" s="1"/>
  <c r="FC22" i="1" s="1"/>
  <c r="FU20" i="1"/>
  <c r="CR32" i="1"/>
  <c r="AS39" i="1"/>
  <c r="AT39" i="1" s="1"/>
  <c r="HC15" i="1" l="1"/>
  <c r="HD18" i="1"/>
  <c r="FS19" i="1"/>
  <c r="FT19" i="1"/>
  <c r="GO19" i="1"/>
  <c r="GC19" i="1"/>
  <c r="GB19" i="1"/>
  <c r="HC16" i="1"/>
  <c r="HD16" i="1"/>
  <c r="EV24" i="1"/>
  <c r="FB24" i="1"/>
  <c r="FA24" i="1"/>
  <c r="FF24" i="1"/>
  <c r="FI24" i="1" s="1"/>
  <c r="FY24" i="1"/>
  <c r="HE24" i="1" s="1"/>
  <c r="CT34" i="1"/>
  <c r="CU34" i="1"/>
  <c r="CM36" i="1"/>
  <c r="CR36" i="1"/>
  <c r="CQ35" i="1"/>
  <c r="CW33" i="1"/>
  <c r="CV33" i="1"/>
  <c r="CX33" i="1"/>
  <c r="DQ33" i="1" s="1"/>
  <c r="EQ26" i="1"/>
  <c r="EZ26" i="1" s="1"/>
  <c r="FC26" i="1" s="1"/>
  <c r="EP26" i="1"/>
  <c r="CN36" i="1"/>
  <c r="GR17" i="1"/>
  <c r="GT17" i="1"/>
  <c r="HA17" i="1"/>
  <c r="FL25" i="1"/>
  <c r="FO25" i="1"/>
  <c r="EW25" i="1"/>
  <c r="EX25" i="1"/>
  <c r="HB25" i="1"/>
  <c r="HF25" i="1" s="1"/>
  <c r="FD25" i="1"/>
  <c r="FV25" i="1" s="1"/>
  <c r="FE25" i="1"/>
  <c r="HU42" i="1"/>
  <c r="HN42" i="1"/>
  <c r="ID42" i="1"/>
  <c r="HV42" i="1"/>
  <c r="HZ42" i="1"/>
  <c r="HK42" i="1"/>
  <c r="HS43" i="1" s="1"/>
  <c r="HL43" i="1" s="1"/>
  <c r="HX42" i="1"/>
  <c r="HT42" i="1"/>
  <c r="HW42" i="1"/>
  <c r="FG20" i="1"/>
  <c r="FM20" i="1" s="1"/>
  <c r="FN20" i="1" s="1"/>
  <c r="HC13" i="1"/>
  <c r="FL21" i="1"/>
  <c r="DQ29" i="1"/>
  <c r="DU29" i="1" s="1"/>
  <c r="FE21" i="1"/>
  <c r="FH21" i="1" s="1"/>
  <c r="FD21" i="1"/>
  <c r="FV21" i="1" s="1"/>
  <c r="EW21" i="1"/>
  <c r="FU21" i="1" s="1"/>
  <c r="HB21" i="1"/>
  <c r="HF21" i="1" s="1"/>
  <c r="HG21" i="1" s="1"/>
  <c r="FO21" i="1"/>
  <c r="DL29" i="1"/>
  <c r="DW29" i="1" s="1"/>
  <c r="DX29" i="1" s="1"/>
  <c r="CT30" i="1"/>
  <c r="CV30" i="1" s="1"/>
  <c r="EA28" i="1"/>
  <c r="DY28" i="1"/>
  <c r="DZ28" i="1"/>
  <c r="FY22" i="1"/>
  <c r="HE22" i="1" s="1"/>
  <c r="FF22" i="1"/>
  <c r="FI22" i="1" s="1"/>
  <c r="EV22" i="1"/>
  <c r="FA22" i="1"/>
  <c r="FB22" i="1"/>
  <c r="ED27" i="1"/>
  <c r="EB27" i="1"/>
  <c r="EC27" i="1"/>
  <c r="FY23" i="1"/>
  <c r="HE23" i="1" s="1"/>
  <c r="FF23" i="1"/>
  <c r="FI23" i="1" s="1"/>
  <c r="EV23" i="1"/>
  <c r="FA23" i="1"/>
  <c r="FB23" i="1"/>
  <c r="CY30" i="1"/>
  <c r="DA30" i="1"/>
  <c r="CZ30" i="1"/>
  <c r="CP32" i="1"/>
  <c r="CS32" i="1" s="1"/>
  <c r="CU32" i="1" s="1"/>
  <c r="CS31" i="1"/>
  <c r="CU31" i="1" s="1"/>
  <c r="AS40" i="1"/>
  <c r="AT40" i="1" s="1"/>
  <c r="BB37" i="1"/>
  <c r="BE37" i="1" s="1"/>
  <c r="CP36" i="1" l="1"/>
  <c r="GH19" i="1"/>
  <c r="GE19" i="1"/>
  <c r="GF19" i="1" s="1"/>
  <c r="GG19" i="1"/>
  <c r="GI19" i="1"/>
  <c r="FH25" i="1"/>
  <c r="FL24" i="1"/>
  <c r="FO24" i="1"/>
  <c r="FE24" i="1"/>
  <c r="EX24" i="1"/>
  <c r="FD24" i="1"/>
  <c r="FV24" i="1" s="1"/>
  <c r="HB24" i="1"/>
  <c r="HF24" i="1" s="1"/>
  <c r="HH24" i="1" s="1"/>
  <c r="EW24" i="1"/>
  <c r="DN33" i="1"/>
  <c r="DL33" i="1"/>
  <c r="DM33" i="1"/>
  <c r="FU25" i="1"/>
  <c r="FG25" i="1"/>
  <c r="HC17" i="1"/>
  <c r="HD17" i="1"/>
  <c r="CQ36" i="1"/>
  <c r="EV26" i="1"/>
  <c r="FB26" i="1"/>
  <c r="FA26" i="1"/>
  <c r="CY34" i="1"/>
  <c r="CZ34" i="1"/>
  <c r="DA34" i="1"/>
  <c r="CS35" i="1"/>
  <c r="CT35" i="1" s="1"/>
  <c r="HG25" i="1"/>
  <c r="HH25" i="1"/>
  <c r="DP33" i="1"/>
  <c r="FF26" i="1"/>
  <c r="FI26" i="1" s="1"/>
  <c r="FY26" i="1"/>
  <c r="HE26" i="1" s="1"/>
  <c r="DO33" i="1"/>
  <c r="CV34" i="1"/>
  <c r="CW34" i="1"/>
  <c r="CX34" i="1"/>
  <c r="HN43" i="1"/>
  <c r="HT43" i="1"/>
  <c r="FW20" i="1"/>
  <c r="FX20" i="1" s="1"/>
  <c r="FZ20" i="1" s="1"/>
  <c r="GD20" i="1" s="1"/>
  <c r="HX43" i="1"/>
  <c r="HV43" i="1"/>
  <c r="FJ20" i="1"/>
  <c r="GQ20" i="1" s="1"/>
  <c r="HK43" i="1"/>
  <c r="HS44" i="1" s="1"/>
  <c r="HL44" i="1" s="1"/>
  <c r="HW43" i="1"/>
  <c r="HZ43" i="1"/>
  <c r="ID43" i="1"/>
  <c r="HU43" i="1"/>
  <c r="DS29" i="1"/>
  <c r="DY29" i="1" s="1"/>
  <c r="CW30" i="1"/>
  <c r="DM30" i="1" s="1"/>
  <c r="FG21" i="1"/>
  <c r="FM21" i="1" s="1"/>
  <c r="FN21" i="1" s="1"/>
  <c r="HH21" i="1"/>
  <c r="DV29" i="1"/>
  <c r="DR29" i="1"/>
  <c r="EA29" i="1" s="1"/>
  <c r="CX30" i="1"/>
  <c r="DQ30" i="1" s="1"/>
  <c r="EC28" i="1"/>
  <c r="EG28" i="1" s="1"/>
  <c r="ED28" i="1"/>
  <c r="EJ28" i="1" s="1"/>
  <c r="EB28" i="1"/>
  <c r="FR20" i="1"/>
  <c r="FP20" i="1"/>
  <c r="FQ20" i="1"/>
  <c r="EK27" i="1"/>
  <c r="EG27" i="1"/>
  <c r="EF27" i="1"/>
  <c r="EE27" i="1"/>
  <c r="FL23" i="1"/>
  <c r="FO23" i="1"/>
  <c r="EL27" i="1"/>
  <c r="EJ27" i="1"/>
  <c r="EI27" i="1"/>
  <c r="EH27" i="1"/>
  <c r="EW23" i="1"/>
  <c r="HB23" i="1"/>
  <c r="HF23" i="1" s="1"/>
  <c r="HG23" i="1" s="1"/>
  <c r="EX23" i="1"/>
  <c r="FE23" i="1"/>
  <c r="FD23" i="1"/>
  <c r="FV23" i="1" s="1"/>
  <c r="CZ31" i="1"/>
  <c r="CY31" i="1"/>
  <c r="DA31" i="1"/>
  <c r="CA37" i="1"/>
  <c r="BX37" i="1"/>
  <c r="BU37" i="1"/>
  <c r="DO30" i="1"/>
  <c r="CT32" i="1"/>
  <c r="DL30" i="1"/>
  <c r="FL22" i="1"/>
  <c r="FO22" i="1"/>
  <c r="CZ32" i="1"/>
  <c r="CY32" i="1"/>
  <c r="DA32" i="1"/>
  <c r="CT31" i="1"/>
  <c r="HB22" i="1"/>
  <c r="HF22" i="1" s="1"/>
  <c r="HG22" i="1" s="1"/>
  <c r="EX22" i="1"/>
  <c r="EW22" i="1"/>
  <c r="FE22" i="1"/>
  <c r="FD22" i="1"/>
  <c r="FV22" i="1" s="1"/>
  <c r="AS41" i="1"/>
  <c r="AT41" i="1" s="1"/>
  <c r="BB41" i="1" s="1"/>
  <c r="BE41" i="1" s="1"/>
  <c r="BB38" i="1"/>
  <c r="BE38" i="1" s="1"/>
  <c r="GY19" i="1" l="1"/>
  <c r="GZ19" i="1" s="1"/>
  <c r="GS19" i="1"/>
  <c r="FH24" i="1"/>
  <c r="CU35" i="1"/>
  <c r="CY35" i="1" s="1"/>
  <c r="FU24" i="1"/>
  <c r="FG24" i="1"/>
  <c r="HG24" i="1"/>
  <c r="DQ34" i="1"/>
  <c r="DO34" i="1"/>
  <c r="CA41" i="1"/>
  <c r="BX41" i="1"/>
  <c r="BU41" i="1"/>
  <c r="DP34" i="1"/>
  <c r="CS36" i="1"/>
  <c r="CU36" i="1" s="1"/>
  <c r="FM25" i="1"/>
  <c r="FN25" i="1" s="1"/>
  <c r="FW25" i="1"/>
  <c r="FX25" i="1" s="1"/>
  <c r="FZ25" i="1" s="1"/>
  <c r="FJ25" i="1"/>
  <c r="GQ25" i="1" s="1"/>
  <c r="FL26" i="1"/>
  <c r="FO26" i="1"/>
  <c r="DN34" i="1"/>
  <c r="EW26" i="1"/>
  <c r="EX26" i="1"/>
  <c r="HB26" i="1"/>
  <c r="HF26" i="1" s="1"/>
  <c r="HG26" i="1" s="1"/>
  <c r="FD26" i="1"/>
  <c r="FV26" i="1" s="1"/>
  <c r="FE26" i="1"/>
  <c r="DM34" i="1"/>
  <c r="DW33" i="1"/>
  <c r="DX33" i="1" s="1"/>
  <c r="DR33" i="1"/>
  <c r="DV33" i="1"/>
  <c r="DL34" i="1"/>
  <c r="CV35" i="1"/>
  <c r="CW35" i="1"/>
  <c r="CX35" i="1"/>
  <c r="DS33" i="1"/>
  <c r="DU33" i="1"/>
  <c r="FJ21" i="1"/>
  <c r="GQ21" i="1" s="1"/>
  <c r="HN44" i="1"/>
  <c r="GA20" i="1"/>
  <c r="GP20" i="1"/>
  <c r="FW21" i="1"/>
  <c r="FX21" i="1" s="1"/>
  <c r="FZ21" i="1" s="1"/>
  <c r="GA21" i="1" s="1"/>
  <c r="HT44" i="1"/>
  <c r="HX44" i="1"/>
  <c r="HU44" i="1"/>
  <c r="ID44" i="1"/>
  <c r="HZ44" i="1"/>
  <c r="HV44" i="1"/>
  <c r="HW44" i="1"/>
  <c r="HK44" i="1"/>
  <c r="HS45" i="1" s="1"/>
  <c r="HL45" i="1" s="1"/>
  <c r="DP30" i="1"/>
  <c r="DU30" i="1" s="1"/>
  <c r="EK28" i="1"/>
  <c r="DZ29" i="1"/>
  <c r="EC29" i="1" s="1"/>
  <c r="EG29" i="1" s="1"/>
  <c r="DN30" i="1"/>
  <c r="DR30" i="1" s="1"/>
  <c r="EF28" i="1"/>
  <c r="EE28" i="1"/>
  <c r="FS20" i="1"/>
  <c r="EH28" i="1"/>
  <c r="EI28" i="1"/>
  <c r="EL28" i="1"/>
  <c r="FU22" i="1"/>
  <c r="FG22" i="1"/>
  <c r="CC37" i="1"/>
  <c r="CB37" i="1"/>
  <c r="CG37" i="1" s="1"/>
  <c r="CE37" i="1"/>
  <c r="GO20" i="1"/>
  <c r="GC20" i="1"/>
  <c r="GB20" i="1"/>
  <c r="FT20" i="1"/>
  <c r="CV31" i="1"/>
  <c r="DO31" i="1" s="1"/>
  <c r="CW31" i="1"/>
  <c r="CX31" i="1"/>
  <c r="DQ31" i="1" s="1"/>
  <c r="FP21" i="1"/>
  <c r="FR21" i="1"/>
  <c r="FQ21" i="1"/>
  <c r="FU23" i="1"/>
  <c r="FG23" i="1"/>
  <c r="BX38" i="1"/>
  <c r="CA38" i="1"/>
  <c r="BU38" i="1"/>
  <c r="CX32" i="1"/>
  <c r="DQ32" i="1" s="1"/>
  <c r="CV32" i="1"/>
  <c r="CW32" i="1"/>
  <c r="HH22" i="1"/>
  <c r="FH22" i="1"/>
  <c r="FH23" i="1"/>
  <c r="EN27" i="1"/>
  <c r="EO27" i="1"/>
  <c r="ER27" i="1" s="1"/>
  <c r="EM27" i="1"/>
  <c r="HH23" i="1"/>
  <c r="AS42" i="1"/>
  <c r="AT42" i="1" s="1"/>
  <c r="BB42" i="1" s="1"/>
  <c r="BE42" i="1" s="1"/>
  <c r="BB39" i="1"/>
  <c r="BE39" i="1" s="1"/>
  <c r="EO28" i="1" l="1"/>
  <c r="ER28" i="1" s="1"/>
  <c r="GT19" i="1"/>
  <c r="GR19" i="1"/>
  <c r="HA19" i="1"/>
  <c r="CZ35" i="1"/>
  <c r="DP35" i="1" s="1"/>
  <c r="HH26" i="1"/>
  <c r="DA35" i="1"/>
  <c r="DQ35" i="1" s="1"/>
  <c r="DU34" i="1"/>
  <c r="FJ24" i="1"/>
  <c r="GQ24" i="1" s="1"/>
  <c r="FM24" i="1"/>
  <c r="FN24" i="1" s="1"/>
  <c r="FW24" i="1"/>
  <c r="FX24" i="1" s="1"/>
  <c r="FZ24" i="1" s="1"/>
  <c r="DY33" i="1"/>
  <c r="DS34" i="1"/>
  <c r="DZ33" i="1"/>
  <c r="DO35" i="1"/>
  <c r="GP25" i="1"/>
  <c r="GD25" i="1"/>
  <c r="GA25" i="1"/>
  <c r="FQ25" i="1"/>
  <c r="FR25" i="1"/>
  <c r="FP25" i="1"/>
  <c r="DV34" i="1"/>
  <c r="DW34" i="1"/>
  <c r="DX34" i="1" s="1"/>
  <c r="DR34" i="1"/>
  <c r="DN35" i="1"/>
  <c r="EA33" i="1"/>
  <c r="FU26" i="1"/>
  <c r="FG26" i="1"/>
  <c r="DM35" i="1"/>
  <c r="CB41" i="1"/>
  <c r="CG41" i="1" s="1"/>
  <c r="CE41" i="1"/>
  <c r="CC41" i="1"/>
  <c r="BX42" i="1"/>
  <c r="CA42" i="1"/>
  <c r="BU42" i="1"/>
  <c r="DL35" i="1"/>
  <c r="FH26" i="1"/>
  <c r="CT36" i="1"/>
  <c r="CY36" i="1"/>
  <c r="DA36" i="1"/>
  <c r="CZ36" i="1"/>
  <c r="ID45" i="1"/>
  <c r="HN45" i="1"/>
  <c r="GP21" i="1"/>
  <c r="GD21" i="1"/>
  <c r="HK45" i="1"/>
  <c r="HS46" i="1" s="1"/>
  <c r="HL46" i="1" s="1"/>
  <c r="HZ45" i="1"/>
  <c r="HV45" i="1"/>
  <c r="HU45" i="1"/>
  <c r="HW45" i="1"/>
  <c r="HX45" i="1"/>
  <c r="HT45" i="1"/>
  <c r="DS30" i="1"/>
  <c r="DY30" i="1" s="1"/>
  <c r="DW30" i="1"/>
  <c r="DX30" i="1" s="1"/>
  <c r="EA30" i="1" s="1"/>
  <c r="DV30" i="1"/>
  <c r="ED29" i="1"/>
  <c r="EH29" i="1" s="1"/>
  <c r="EB29" i="1"/>
  <c r="EN28" i="1"/>
  <c r="EM28" i="1"/>
  <c r="EF29" i="1"/>
  <c r="EE29" i="1"/>
  <c r="EK29" i="1"/>
  <c r="GI20" i="1"/>
  <c r="FT21" i="1"/>
  <c r="DL31" i="1"/>
  <c r="CK37" i="1"/>
  <c r="CF37" i="1"/>
  <c r="CL37" i="1" s="1"/>
  <c r="CH37" i="1"/>
  <c r="DM32" i="1"/>
  <c r="FS21" i="1"/>
  <c r="DP32" i="1"/>
  <c r="EQ27" i="1"/>
  <c r="EZ27" i="1" s="1"/>
  <c r="FC27" i="1" s="1"/>
  <c r="EP27" i="1"/>
  <c r="DO32" i="1"/>
  <c r="DL32" i="1"/>
  <c r="CE38" i="1"/>
  <c r="CB38" i="1"/>
  <c r="CG38" i="1" s="1"/>
  <c r="CC38" i="1"/>
  <c r="GG20" i="1"/>
  <c r="GE20" i="1"/>
  <c r="GF20" i="1" s="1"/>
  <c r="BX39" i="1"/>
  <c r="CA39" i="1"/>
  <c r="BU39" i="1"/>
  <c r="DN32" i="1"/>
  <c r="GO21" i="1"/>
  <c r="GB21" i="1"/>
  <c r="GC21" i="1"/>
  <c r="GH20" i="1"/>
  <c r="FW22" i="1"/>
  <c r="FX22" i="1" s="1"/>
  <c r="FZ22" i="1" s="1"/>
  <c r="FM22" i="1"/>
  <c r="FN22" i="1" s="1"/>
  <c r="FJ22" i="1"/>
  <c r="GQ22" i="1" s="1"/>
  <c r="FW23" i="1"/>
  <c r="FX23" i="1" s="1"/>
  <c r="FZ23" i="1" s="1"/>
  <c r="FJ23" i="1"/>
  <c r="GQ23" i="1" s="1"/>
  <c r="FM23" i="1"/>
  <c r="FN23" i="1" s="1"/>
  <c r="DN31" i="1"/>
  <c r="DP31" i="1"/>
  <c r="DM31" i="1"/>
  <c r="CJ37" i="1"/>
  <c r="AS43" i="1"/>
  <c r="AT43" i="1" s="1"/>
  <c r="BB43" i="1" s="1"/>
  <c r="BE43" i="1" s="1"/>
  <c r="BB40" i="1"/>
  <c r="BE40" i="1" s="1"/>
  <c r="HC19" i="1" l="1"/>
  <c r="HD19" i="1"/>
  <c r="DU35" i="1"/>
  <c r="DS35" i="1"/>
  <c r="DY34" i="1"/>
  <c r="ED33" i="1"/>
  <c r="EL33" i="1" s="1"/>
  <c r="GP24" i="1"/>
  <c r="GD24" i="1"/>
  <c r="GA24" i="1"/>
  <c r="FR24" i="1"/>
  <c r="FQ24" i="1"/>
  <c r="FP24" i="1"/>
  <c r="EC33" i="1"/>
  <c r="EG33" i="1" s="1"/>
  <c r="EB33" i="1"/>
  <c r="FT25" i="1"/>
  <c r="CB42" i="1"/>
  <c r="CG42" i="1" s="1"/>
  <c r="CE42" i="1"/>
  <c r="CC42" i="1"/>
  <c r="CA43" i="1"/>
  <c r="BU43" i="1"/>
  <c r="BX43" i="1"/>
  <c r="CX36" i="1"/>
  <c r="DQ36" i="1" s="1"/>
  <c r="CV36" i="1"/>
  <c r="CW36" i="1"/>
  <c r="CK41" i="1"/>
  <c r="CF41" i="1"/>
  <c r="CL41" i="1" s="1"/>
  <c r="CH41" i="1"/>
  <c r="DZ34" i="1"/>
  <c r="EA34" i="1"/>
  <c r="CJ41" i="1"/>
  <c r="GO25" i="1"/>
  <c r="GC25" i="1"/>
  <c r="GB25" i="1"/>
  <c r="FW26" i="1"/>
  <c r="FX26" i="1" s="1"/>
  <c r="FZ26" i="1" s="1"/>
  <c r="FJ26" i="1"/>
  <c r="GQ26" i="1" s="1"/>
  <c r="FM26" i="1"/>
  <c r="FN26" i="1" s="1"/>
  <c r="FS25" i="1"/>
  <c r="DV35" i="1"/>
  <c r="DW35" i="1"/>
  <c r="DX35" i="1" s="1"/>
  <c r="DR35" i="1"/>
  <c r="HN46" i="1"/>
  <c r="ID46" i="1"/>
  <c r="HW46" i="1"/>
  <c r="HX46" i="1"/>
  <c r="HK46" i="1"/>
  <c r="HS47" i="1" s="1"/>
  <c r="HL47" i="1" s="1"/>
  <c r="HV46" i="1"/>
  <c r="HT46" i="1"/>
  <c r="HZ46" i="1"/>
  <c r="HU46" i="1"/>
  <c r="DZ30" i="1"/>
  <c r="ED30" i="1" s="1"/>
  <c r="EP28" i="1"/>
  <c r="EV28" i="1" s="1"/>
  <c r="EI29" i="1"/>
  <c r="EJ29" i="1"/>
  <c r="EL29" i="1"/>
  <c r="EM29" i="1" s="1"/>
  <c r="EQ28" i="1"/>
  <c r="EZ28" i="1" s="1"/>
  <c r="FC28" i="1" s="1"/>
  <c r="FF28" i="1" s="1"/>
  <c r="FI28" i="1" s="1"/>
  <c r="DS32" i="1"/>
  <c r="GA22" i="1"/>
  <c r="GP22" i="1"/>
  <c r="GD22" i="1"/>
  <c r="CF38" i="1"/>
  <c r="CL38" i="1" s="1"/>
  <c r="CH38" i="1"/>
  <c r="CK38" i="1"/>
  <c r="CA40" i="1"/>
  <c r="BX40" i="1"/>
  <c r="BU40" i="1"/>
  <c r="GS20" i="1"/>
  <c r="GY20" i="1"/>
  <c r="CJ38" i="1"/>
  <c r="FP22" i="1"/>
  <c r="FR22" i="1"/>
  <c r="FQ22" i="1"/>
  <c r="GH21" i="1"/>
  <c r="CC39" i="1"/>
  <c r="CB39" i="1"/>
  <c r="CG39" i="1" s="1"/>
  <c r="CE39" i="1"/>
  <c r="EV27" i="1"/>
  <c r="FB27" i="1"/>
  <c r="FA27" i="1"/>
  <c r="DV31" i="1"/>
  <c r="DW31" i="1"/>
  <c r="DX31" i="1" s="1"/>
  <c r="DR31" i="1"/>
  <c r="FP23" i="1"/>
  <c r="FQ23" i="1"/>
  <c r="FR23" i="1"/>
  <c r="GG21" i="1"/>
  <c r="GE21" i="1"/>
  <c r="GF21" i="1" s="1"/>
  <c r="FF27" i="1"/>
  <c r="FI27" i="1" s="1"/>
  <c r="FY27" i="1"/>
  <c r="HE27" i="1" s="1"/>
  <c r="DS31" i="1"/>
  <c r="DU31" i="1"/>
  <c r="DR32" i="1"/>
  <c r="DW32" i="1"/>
  <c r="DX32" i="1" s="1"/>
  <c r="DV32" i="1"/>
  <c r="GI21" i="1"/>
  <c r="CN37" i="1"/>
  <c r="CR37" i="1"/>
  <c r="CM37" i="1"/>
  <c r="GP23" i="1"/>
  <c r="GD23" i="1"/>
  <c r="GA23" i="1"/>
  <c r="DU32" i="1"/>
  <c r="AS44" i="1"/>
  <c r="AT44" i="1" s="1"/>
  <c r="EI33" i="1" l="1"/>
  <c r="FT24" i="1"/>
  <c r="EH33" i="1"/>
  <c r="EJ33" i="1"/>
  <c r="DY35" i="1"/>
  <c r="FS24" i="1"/>
  <c r="EE33" i="1"/>
  <c r="EF33" i="1"/>
  <c r="EK33" i="1"/>
  <c r="EN33" i="1" s="1"/>
  <c r="GO24" i="1"/>
  <c r="GC24" i="1"/>
  <c r="GB24" i="1"/>
  <c r="CJ42" i="1"/>
  <c r="CM42" i="1" s="1"/>
  <c r="EA35" i="1"/>
  <c r="DZ35" i="1"/>
  <c r="GG25" i="1"/>
  <c r="GE25" i="1"/>
  <c r="GF25" i="1" s="1"/>
  <c r="GD26" i="1"/>
  <c r="GP26" i="1"/>
  <c r="GA26" i="1"/>
  <c r="CH42" i="1"/>
  <c r="CK42" i="1"/>
  <c r="CF42" i="1"/>
  <c r="CL42" i="1" s="1"/>
  <c r="GI25" i="1"/>
  <c r="DO36" i="1"/>
  <c r="DL36" i="1"/>
  <c r="DM36" i="1"/>
  <c r="CM41" i="1"/>
  <c r="CR41" i="1"/>
  <c r="DN36" i="1"/>
  <c r="GH25" i="1"/>
  <c r="DP36" i="1"/>
  <c r="FR26" i="1"/>
  <c r="FP26" i="1"/>
  <c r="FQ26" i="1"/>
  <c r="ED34" i="1"/>
  <c r="EC34" i="1"/>
  <c r="EB34" i="1"/>
  <c r="CN41" i="1"/>
  <c r="CE43" i="1"/>
  <c r="CB43" i="1"/>
  <c r="CG43" i="1" s="1"/>
  <c r="CC43" i="1"/>
  <c r="HK47" i="1"/>
  <c r="HS48" i="1" s="1"/>
  <c r="HL48" i="1" s="1"/>
  <c r="HN48" i="1" s="1"/>
  <c r="HN47" i="1"/>
  <c r="HW47" i="1"/>
  <c r="ID47" i="1"/>
  <c r="HU47" i="1"/>
  <c r="HZ47" i="1"/>
  <c r="HV47" i="1"/>
  <c r="HX47" i="1"/>
  <c r="HT47" i="1"/>
  <c r="EC30" i="1"/>
  <c r="EK30" i="1" s="1"/>
  <c r="EB30" i="1"/>
  <c r="EO29" i="1"/>
  <c r="ER29" i="1" s="1"/>
  <c r="FY28" i="1"/>
  <c r="HE28" i="1" s="1"/>
  <c r="FB28" i="1"/>
  <c r="EN29" i="1"/>
  <c r="EP29" i="1" s="1"/>
  <c r="FA28" i="1"/>
  <c r="DY32" i="1"/>
  <c r="DZ32" i="1"/>
  <c r="DZ31" i="1"/>
  <c r="FS23" i="1"/>
  <c r="FT22" i="1"/>
  <c r="DY31" i="1"/>
  <c r="EA32" i="1"/>
  <c r="CJ39" i="1"/>
  <c r="CM39" i="1" s="1"/>
  <c r="CP37" i="1"/>
  <c r="GT20" i="1"/>
  <c r="GR20" i="1"/>
  <c r="HA20" i="1"/>
  <c r="FL27" i="1"/>
  <c r="FO27" i="1"/>
  <c r="HB28" i="1"/>
  <c r="HF28" i="1" s="1"/>
  <c r="EX28" i="1"/>
  <c r="EW28" i="1"/>
  <c r="FT23" i="1"/>
  <c r="HB27" i="1"/>
  <c r="HF27" i="1" s="1"/>
  <c r="HH27" i="1" s="1"/>
  <c r="FE27" i="1"/>
  <c r="FD27" i="1"/>
  <c r="FV27" i="1" s="1"/>
  <c r="EX27" i="1"/>
  <c r="EW27" i="1"/>
  <c r="FS22" i="1"/>
  <c r="CC40" i="1"/>
  <c r="CB40" i="1"/>
  <c r="CG40" i="1" s="1"/>
  <c r="CE40" i="1"/>
  <c r="CN38" i="1"/>
  <c r="CQ37" i="1"/>
  <c r="GB23" i="1"/>
  <c r="GO23" i="1"/>
  <c r="GC23" i="1"/>
  <c r="GO22" i="1"/>
  <c r="GB22" i="1"/>
  <c r="GC22" i="1"/>
  <c r="CH39" i="1"/>
  <c r="CF39" i="1"/>
  <c r="CL39" i="1" s="1"/>
  <c r="CK39" i="1"/>
  <c r="CM38" i="1"/>
  <c r="CR38" i="1"/>
  <c r="EA31" i="1"/>
  <c r="GY21" i="1"/>
  <c r="GS21" i="1"/>
  <c r="GZ20" i="1"/>
  <c r="EL30" i="1"/>
  <c r="EJ30" i="1"/>
  <c r="EH30" i="1"/>
  <c r="EI30" i="1"/>
  <c r="AS45" i="1"/>
  <c r="AT45" i="1" s="1"/>
  <c r="EM33" i="1" l="1"/>
  <c r="EQ33" i="1" s="1"/>
  <c r="EZ33" i="1" s="1"/>
  <c r="FC33" i="1" s="1"/>
  <c r="FT26" i="1"/>
  <c r="EO33" i="1"/>
  <c r="ER33" i="1" s="1"/>
  <c r="CR42" i="1"/>
  <c r="ED35" i="1"/>
  <c r="EL35" i="1" s="1"/>
  <c r="GE24" i="1"/>
  <c r="GF24" i="1" s="1"/>
  <c r="GG24" i="1"/>
  <c r="GI24" i="1"/>
  <c r="GH24" i="1"/>
  <c r="EB35" i="1"/>
  <c r="EC35" i="1"/>
  <c r="EE35" i="1" s="1"/>
  <c r="CQ41" i="1"/>
  <c r="CJ43" i="1"/>
  <c r="CM43" i="1" s="1"/>
  <c r="DS36" i="1"/>
  <c r="CP41" i="1"/>
  <c r="FS26" i="1"/>
  <c r="GO26" i="1"/>
  <c r="GB26" i="1"/>
  <c r="GC26" i="1"/>
  <c r="CN42" i="1"/>
  <c r="CQ42" i="1" s="1"/>
  <c r="DW36" i="1"/>
  <c r="DX36" i="1" s="1"/>
  <c r="DV36" i="1"/>
  <c r="DR36" i="1"/>
  <c r="EG34" i="1"/>
  <c r="EK34" i="1"/>
  <c r="EE34" i="1"/>
  <c r="EF34" i="1"/>
  <c r="CK43" i="1"/>
  <c r="CH43" i="1"/>
  <c r="CF43" i="1"/>
  <c r="CL43" i="1" s="1"/>
  <c r="EI34" i="1"/>
  <c r="EL34" i="1"/>
  <c r="EJ34" i="1"/>
  <c r="EH34" i="1"/>
  <c r="DU36" i="1"/>
  <c r="GY25" i="1"/>
  <c r="GZ25" i="1" s="1"/>
  <c r="GS25" i="1"/>
  <c r="HK48" i="1"/>
  <c r="HS49" i="1" s="1"/>
  <c r="HL49" i="1" s="1"/>
  <c r="HN49" i="1" s="1"/>
  <c r="HT48" i="1"/>
  <c r="HV48" i="1"/>
  <c r="HU48" i="1"/>
  <c r="ID48" i="1"/>
  <c r="HX48" i="1"/>
  <c r="HW48" i="1"/>
  <c r="HZ48" i="1"/>
  <c r="EF30" i="1"/>
  <c r="EE30" i="1"/>
  <c r="EG30" i="1"/>
  <c r="HH28" i="1"/>
  <c r="FE28" i="1"/>
  <c r="FH28" i="1" s="1"/>
  <c r="EV29" i="1"/>
  <c r="EW29" i="1" s="1"/>
  <c r="EQ29" i="1"/>
  <c r="EZ29" i="1" s="1"/>
  <c r="FC29" i="1" s="1"/>
  <c r="FF29" i="1" s="1"/>
  <c r="FI29" i="1" s="1"/>
  <c r="EB32" i="1"/>
  <c r="HG27" i="1"/>
  <c r="FO28" i="1"/>
  <c r="FL28" i="1"/>
  <c r="FD28" i="1"/>
  <c r="FV28" i="1" s="1"/>
  <c r="CR39" i="1"/>
  <c r="GI22" i="1"/>
  <c r="EC31" i="1"/>
  <c r="EK31" i="1" s="1"/>
  <c r="ED32" i="1"/>
  <c r="EI32" i="1" s="1"/>
  <c r="EC32" i="1"/>
  <c r="EK32" i="1" s="1"/>
  <c r="GI23" i="1"/>
  <c r="HG28" i="1"/>
  <c r="EB31" i="1"/>
  <c r="CJ40" i="1"/>
  <c r="CM40" i="1" s="1"/>
  <c r="CP38" i="1"/>
  <c r="EM30" i="1"/>
  <c r="CQ38" i="1"/>
  <c r="GH22" i="1"/>
  <c r="GE23" i="1"/>
  <c r="GF23" i="1" s="1"/>
  <c r="GG23" i="1"/>
  <c r="FU27" i="1"/>
  <c r="FG27" i="1"/>
  <c r="FU28" i="1"/>
  <c r="ED31" i="1"/>
  <c r="CS37" i="1"/>
  <c r="CU37" i="1" s="1"/>
  <c r="FH27" i="1"/>
  <c r="HC20" i="1"/>
  <c r="HD20" i="1"/>
  <c r="GZ21" i="1"/>
  <c r="EN30" i="1"/>
  <c r="CN39" i="1"/>
  <c r="CP39" i="1" s="1"/>
  <c r="GG22" i="1"/>
  <c r="GE22" i="1"/>
  <c r="GF22" i="1" s="1"/>
  <c r="EO30" i="1"/>
  <c r="ER30" i="1" s="1"/>
  <c r="GT21" i="1"/>
  <c r="GR21" i="1"/>
  <c r="HA21" i="1"/>
  <c r="GH23" i="1"/>
  <c r="CK40" i="1"/>
  <c r="CH40" i="1"/>
  <c r="CF40" i="1"/>
  <c r="CL40" i="1" s="1"/>
  <c r="AS46" i="1"/>
  <c r="AT46" i="1" s="1"/>
  <c r="EP33" i="1" l="1"/>
  <c r="EV33" i="1" s="1"/>
  <c r="CP42" i="1"/>
  <c r="CS42" i="1" s="1"/>
  <c r="CU42" i="1" s="1"/>
  <c r="EJ35" i="1"/>
  <c r="EH35" i="1"/>
  <c r="EI35" i="1"/>
  <c r="EF35" i="1"/>
  <c r="EK35" i="1"/>
  <c r="CS41" i="1"/>
  <c r="CU41" i="1" s="1"/>
  <c r="DA41" i="1" s="1"/>
  <c r="DY36" i="1"/>
  <c r="EG35" i="1"/>
  <c r="GY24" i="1"/>
  <c r="GZ24" i="1" s="1"/>
  <c r="GS24" i="1"/>
  <c r="GH26" i="1"/>
  <c r="GI26" i="1"/>
  <c r="EA36" i="1"/>
  <c r="HA25" i="1"/>
  <c r="GR25" i="1"/>
  <c r="GT25" i="1"/>
  <c r="FY33" i="1"/>
  <c r="HE33" i="1" s="1"/>
  <c r="FF33" i="1"/>
  <c r="FI33" i="1" s="1"/>
  <c r="DZ36" i="1"/>
  <c r="EO34" i="1"/>
  <c r="ER34" i="1" s="1"/>
  <c r="EN34" i="1"/>
  <c r="EM34" i="1"/>
  <c r="CN43" i="1"/>
  <c r="CP43" i="1" s="1"/>
  <c r="CR43" i="1"/>
  <c r="GG26" i="1"/>
  <c r="GE26" i="1"/>
  <c r="GF26" i="1" s="1"/>
  <c r="IB49" i="1"/>
  <c r="IC49" i="1"/>
  <c r="HX49" i="1"/>
  <c r="HQ49" i="1"/>
  <c r="HY49" i="1"/>
  <c r="ID49" i="1"/>
  <c r="HU49" i="1"/>
  <c r="HZ49" i="1"/>
  <c r="IA49" i="1"/>
  <c r="HV49" i="1"/>
  <c r="HT49" i="1"/>
  <c r="HR49" i="1"/>
  <c r="IE49" i="1"/>
  <c r="HW49" i="1"/>
  <c r="HK49" i="1"/>
  <c r="HS50" i="1" s="1"/>
  <c r="HL50" i="1" s="1"/>
  <c r="HN50" i="1" s="1"/>
  <c r="HM49" i="1"/>
  <c r="FB29" i="1"/>
  <c r="FY29" i="1"/>
  <c r="HE29" i="1" s="1"/>
  <c r="HB29" i="1"/>
  <c r="HF29" i="1" s="1"/>
  <c r="EX29" i="1"/>
  <c r="FA29" i="1"/>
  <c r="FG28" i="1"/>
  <c r="FJ28" i="1" s="1"/>
  <c r="GQ28" i="1" s="1"/>
  <c r="EL32" i="1"/>
  <c r="EH32" i="1"/>
  <c r="EJ32" i="1"/>
  <c r="GY22" i="1"/>
  <c r="EG32" i="1"/>
  <c r="EF32" i="1"/>
  <c r="EE32" i="1"/>
  <c r="EF31" i="1"/>
  <c r="EG31" i="1"/>
  <c r="EE31" i="1"/>
  <c r="CS38" i="1"/>
  <c r="CT38" i="1" s="1"/>
  <c r="CX38" i="1" s="1"/>
  <c r="GS22" i="1"/>
  <c r="CQ39" i="1"/>
  <c r="CS39" i="1" s="1"/>
  <c r="CU39" i="1" s="1"/>
  <c r="EP30" i="1"/>
  <c r="EV30" i="1" s="1"/>
  <c r="CT37" i="1"/>
  <c r="CX37" i="1" s="1"/>
  <c r="EL31" i="1"/>
  <c r="EH31" i="1"/>
  <c r="EJ31" i="1"/>
  <c r="EI31" i="1"/>
  <c r="CN40" i="1"/>
  <c r="CP40" i="1" s="1"/>
  <c r="EQ30" i="1"/>
  <c r="EZ30" i="1" s="1"/>
  <c r="FC30" i="1" s="1"/>
  <c r="GS23" i="1"/>
  <c r="GY23" i="1"/>
  <c r="HC21" i="1"/>
  <c r="HD21" i="1"/>
  <c r="FU29" i="1"/>
  <c r="FW27" i="1"/>
  <c r="FX27" i="1" s="1"/>
  <c r="FZ27" i="1" s="1"/>
  <c r="FJ27" i="1"/>
  <c r="GQ27" i="1" s="1"/>
  <c r="FM27" i="1"/>
  <c r="FN27" i="1" s="1"/>
  <c r="CR40" i="1"/>
  <c r="CZ37" i="1"/>
  <c r="CY37" i="1"/>
  <c r="DA37" i="1"/>
  <c r="AS47" i="1"/>
  <c r="AT47" i="1" s="1"/>
  <c r="BB44" i="1"/>
  <c r="BE44" i="1" s="1"/>
  <c r="FB33" i="1" l="1"/>
  <c r="FA33" i="1"/>
  <c r="EN35" i="1"/>
  <c r="GS26" i="1"/>
  <c r="GT26" i="1" s="1"/>
  <c r="GY26" i="1"/>
  <c r="GZ26" i="1" s="1"/>
  <c r="EO35" i="1"/>
  <c r="ER35" i="1" s="1"/>
  <c r="EM35" i="1"/>
  <c r="CT41" i="1"/>
  <c r="CW41" i="1" s="1"/>
  <c r="CZ41" i="1"/>
  <c r="CY41" i="1"/>
  <c r="CQ43" i="1"/>
  <c r="CS43" i="1" s="1"/>
  <c r="CT43" i="1" s="1"/>
  <c r="HA24" i="1"/>
  <c r="GR24" i="1"/>
  <c r="GT24" i="1"/>
  <c r="EP34" i="1"/>
  <c r="EQ34" i="1"/>
  <c r="EZ34" i="1" s="1"/>
  <c r="FC34" i="1" s="1"/>
  <c r="EB36" i="1"/>
  <c r="ED36" i="1"/>
  <c r="EC36" i="1"/>
  <c r="CT42" i="1"/>
  <c r="EX33" i="1"/>
  <c r="HB33" i="1"/>
  <c r="HF33" i="1" s="1"/>
  <c r="HH33" i="1" s="1"/>
  <c r="EW33" i="1"/>
  <c r="HD25" i="1"/>
  <c r="HC25" i="1"/>
  <c r="CY42" i="1"/>
  <c r="CZ42" i="1"/>
  <c r="DA42" i="1"/>
  <c r="HY50" i="1"/>
  <c r="HM50" i="1"/>
  <c r="HX50" i="1"/>
  <c r="HQ50" i="1"/>
  <c r="HZ50" i="1"/>
  <c r="IB50" i="1"/>
  <c r="HU50" i="1"/>
  <c r="ID50" i="1"/>
  <c r="HT50" i="1"/>
  <c r="HW50" i="1"/>
  <c r="IC50" i="1"/>
  <c r="HK50" i="1"/>
  <c r="HS51" i="1" s="1"/>
  <c r="HL51" i="1" s="1"/>
  <c r="HN51" i="1" s="1"/>
  <c r="IA50" i="1"/>
  <c r="HV50" i="1"/>
  <c r="HR50" i="1"/>
  <c r="IE50" i="1"/>
  <c r="FO29" i="1"/>
  <c r="FW28" i="1"/>
  <c r="FX28" i="1" s="1"/>
  <c r="FZ28" i="1" s="1"/>
  <c r="GA28" i="1" s="1"/>
  <c r="HH29" i="1"/>
  <c r="EM32" i="1"/>
  <c r="EN32" i="1"/>
  <c r="FE29" i="1"/>
  <c r="FH29" i="1" s="1"/>
  <c r="HG29" i="1"/>
  <c r="FM28" i="1"/>
  <c r="FN28" i="1" s="1"/>
  <c r="FP28" i="1" s="1"/>
  <c r="FD29" i="1"/>
  <c r="FV29" i="1" s="1"/>
  <c r="FL29" i="1"/>
  <c r="EO32" i="1"/>
  <c r="ER32" i="1" s="1"/>
  <c r="GZ22" i="1"/>
  <c r="GR22" i="1"/>
  <c r="CQ40" i="1"/>
  <c r="CS40" i="1" s="1"/>
  <c r="CU40" i="1" s="1"/>
  <c r="GT22" i="1"/>
  <c r="CW37" i="1"/>
  <c r="DM37" i="1" s="1"/>
  <c r="CV37" i="1"/>
  <c r="DL37" i="1" s="1"/>
  <c r="CW38" i="1"/>
  <c r="DM38" i="1" s="1"/>
  <c r="CV38" i="1"/>
  <c r="DL38" i="1" s="1"/>
  <c r="HA22" i="1"/>
  <c r="HC22" i="1" s="1"/>
  <c r="CU38" i="1"/>
  <c r="EM31" i="1"/>
  <c r="FB30" i="1"/>
  <c r="FQ27" i="1"/>
  <c r="FP27" i="1"/>
  <c r="FR27" i="1"/>
  <c r="FF30" i="1"/>
  <c r="FI30" i="1" s="1"/>
  <c r="FY30" i="1"/>
  <c r="HE30" i="1" s="1"/>
  <c r="HB30" i="1"/>
  <c r="HF30" i="1" s="1"/>
  <c r="EW30" i="1"/>
  <c r="EX30" i="1"/>
  <c r="EO31" i="1"/>
  <c r="ER31" i="1" s="1"/>
  <c r="DN37" i="1"/>
  <c r="FA30" i="1"/>
  <c r="EN31" i="1"/>
  <c r="GA27" i="1"/>
  <c r="GD27" i="1"/>
  <c r="GP27" i="1"/>
  <c r="GZ23" i="1"/>
  <c r="DN38" i="1"/>
  <c r="GR23" i="1"/>
  <c r="GT23" i="1"/>
  <c r="HA23" i="1"/>
  <c r="BU44" i="1"/>
  <c r="BX44" i="1"/>
  <c r="CA44" i="1"/>
  <c r="DQ37" i="1"/>
  <c r="CT39" i="1"/>
  <c r="CY39" i="1"/>
  <c r="CZ39" i="1"/>
  <c r="DA39" i="1"/>
  <c r="AS48" i="1"/>
  <c r="AT48" i="1" s="1"/>
  <c r="BB45" i="1"/>
  <c r="BE45" i="1" s="1"/>
  <c r="FE33" i="1" l="1"/>
  <c r="FH33" i="1" s="1"/>
  <c r="FD33" i="1"/>
  <c r="FV33" i="1" s="1"/>
  <c r="FL33" i="1"/>
  <c r="FO33" i="1"/>
  <c r="HA26" i="1"/>
  <c r="HC26" i="1" s="1"/>
  <c r="GR26" i="1"/>
  <c r="EQ35" i="1"/>
  <c r="EZ35" i="1" s="1"/>
  <c r="FC35" i="1" s="1"/>
  <c r="FF35" i="1" s="1"/>
  <c r="FI35" i="1" s="1"/>
  <c r="EP35" i="1"/>
  <c r="EV35" i="1" s="1"/>
  <c r="CV41" i="1"/>
  <c r="DO41" i="1" s="1"/>
  <c r="DP41" i="1"/>
  <c r="CX41" i="1"/>
  <c r="DQ41" i="1" s="1"/>
  <c r="HD24" i="1"/>
  <c r="HC24" i="1"/>
  <c r="HG33" i="1"/>
  <c r="CU43" i="1"/>
  <c r="CZ43" i="1" s="1"/>
  <c r="EL36" i="1"/>
  <c r="EJ36" i="1"/>
  <c r="EI36" i="1"/>
  <c r="EH36" i="1"/>
  <c r="DM41" i="1"/>
  <c r="CV43" i="1"/>
  <c r="CW43" i="1"/>
  <c r="CX43" i="1"/>
  <c r="EF36" i="1"/>
  <c r="EK36" i="1"/>
  <c r="EG36" i="1"/>
  <c r="EE36" i="1"/>
  <c r="FU33" i="1"/>
  <c r="CV42" i="1"/>
  <c r="DO42" i="1" s="1"/>
  <c r="CW42" i="1"/>
  <c r="DP42" i="1" s="1"/>
  <c r="CX42" i="1"/>
  <c r="FF34" i="1"/>
  <c r="FI34" i="1" s="1"/>
  <c r="FY34" i="1"/>
  <c r="HE34" i="1" s="1"/>
  <c r="EV34" i="1"/>
  <c r="FB34" i="1"/>
  <c r="FA34" i="1"/>
  <c r="HM51" i="1"/>
  <c r="HV51" i="1"/>
  <c r="HU51" i="1"/>
  <c r="IE51" i="1"/>
  <c r="IA51" i="1"/>
  <c r="IC51" i="1"/>
  <c r="ID51" i="1"/>
  <c r="HQ51" i="1"/>
  <c r="HZ51" i="1"/>
  <c r="HT51" i="1"/>
  <c r="HK51" i="1"/>
  <c r="HS52" i="1" s="1"/>
  <c r="HL52" i="1" s="1"/>
  <c r="HN52" i="1" s="1"/>
  <c r="HR51" i="1"/>
  <c r="HX51" i="1"/>
  <c r="IB51" i="1"/>
  <c r="HY51" i="1"/>
  <c r="HW51" i="1"/>
  <c r="GD28" i="1"/>
  <c r="GP28" i="1"/>
  <c r="EQ32" i="1"/>
  <c r="EZ32" i="1" s="1"/>
  <c r="FC32" i="1" s="1"/>
  <c r="FF32" i="1" s="1"/>
  <c r="FI32" i="1" s="1"/>
  <c r="EP32" i="1"/>
  <c r="FQ28" i="1"/>
  <c r="FR28" i="1"/>
  <c r="FG29" i="1"/>
  <c r="DO37" i="1"/>
  <c r="DP37" i="1"/>
  <c r="HD22" i="1"/>
  <c r="CT40" i="1"/>
  <c r="CV40" i="1" s="1"/>
  <c r="CY38" i="1"/>
  <c r="DO38" i="1" s="1"/>
  <c r="CZ38" i="1"/>
  <c r="DP38" i="1" s="1"/>
  <c r="DA38" i="1"/>
  <c r="DQ38" i="1" s="1"/>
  <c r="FT27" i="1"/>
  <c r="HG30" i="1"/>
  <c r="EP31" i="1"/>
  <c r="EV31" i="1" s="1"/>
  <c r="HC23" i="1"/>
  <c r="HD23" i="1"/>
  <c r="CV39" i="1"/>
  <c r="CW39" i="1"/>
  <c r="CX39" i="1"/>
  <c r="DQ39" i="1" s="1"/>
  <c r="GO28" i="1"/>
  <c r="GB28" i="1"/>
  <c r="GC28" i="1"/>
  <c r="FL30" i="1"/>
  <c r="FO30" i="1"/>
  <c r="HH30" i="1"/>
  <c r="CY40" i="1"/>
  <c r="CZ40" i="1"/>
  <c r="DA40" i="1"/>
  <c r="FU30" i="1"/>
  <c r="GC27" i="1"/>
  <c r="GB27" i="1"/>
  <c r="GO27" i="1"/>
  <c r="DW38" i="1"/>
  <c r="DX38" i="1" s="1"/>
  <c r="DR38" i="1"/>
  <c r="DW37" i="1"/>
  <c r="DX37" i="1" s="1"/>
  <c r="DR37" i="1"/>
  <c r="FE30" i="1"/>
  <c r="FH30" i="1" s="1"/>
  <c r="FS27" i="1"/>
  <c r="EQ31" i="1"/>
  <c r="EZ31" i="1" s="1"/>
  <c r="FC31" i="1" s="1"/>
  <c r="CC44" i="1"/>
  <c r="CB44" i="1"/>
  <c r="CG44" i="1" s="1"/>
  <c r="CE44" i="1"/>
  <c r="BU45" i="1"/>
  <c r="BX45" i="1"/>
  <c r="CA45" i="1"/>
  <c r="FD30" i="1"/>
  <c r="FV30" i="1" s="1"/>
  <c r="AS49" i="1"/>
  <c r="AT49" i="1" s="1"/>
  <c r="BB46" i="1"/>
  <c r="BE46" i="1" s="1"/>
  <c r="FG33" i="1" l="1"/>
  <c r="FW33" i="1" s="1"/>
  <c r="FX33" i="1" s="1"/>
  <c r="FZ33" i="1" s="1"/>
  <c r="HD26" i="1"/>
  <c r="DL41" i="1"/>
  <c r="FY35" i="1"/>
  <c r="HE35" i="1" s="1"/>
  <c r="FB35" i="1"/>
  <c r="FA35" i="1"/>
  <c r="DN41" i="1"/>
  <c r="DA43" i="1"/>
  <c r="DQ43" i="1" s="1"/>
  <c r="CY43" i="1"/>
  <c r="DO43" i="1" s="1"/>
  <c r="DL43" i="1"/>
  <c r="DU41" i="1"/>
  <c r="DS41" i="1"/>
  <c r="EX35" i="1"/>
  <c r="HB35" i="1"/>
  <c r="HF35" i="1" s="1"/>
  <c r="EW35" i="1"/>
  <c r="DQ42" i="1"/>
  <c r="DU42" i="1" s="1"/>
  <c r="DN42" i="1"/>
  <c r="DM43" i="1"/>
  <c r="DM42" i="1"/>
  <c r="DL42" i="1"/>
  <c r="EN36" i="1"/>
  <c r="EO36" i="1"/>
  <c r="ER36" i="1" s="1"/>
  <c r="EM36" i="1"/>
  <c r="FL34" i="1"/>
  <c r="FO34" i="1"/>
  <c r="DP43" i="1"/>
  <c r="FD34" i="1"/>
  <c r="FV34" i="1" s="1"/>
  <c r="EX34" i="1"/>
  <c r="EW34" i="1"/>
  <c r="HB34" i="1"/>
  <c r="HF34" i="1" s="1"/>
  <c r="HH34" i="1" s="1"/>
  <c r="FE34" i="1"/>
  <c r="DN43" i="1"/>
  <c r="HM52" i="1"/>
  <c r="HQ52" i="1"/>
  <c r="IC52" i="1"/>
  <c r="HU52" i="1"/>
  <c r="ID52" i="1"/>
  <c r="HK52" i="1"/>
  <c r="HS53" i="1" s="1"/>
  <c r="HL53" i="1" s="1"/>
  <c r="HN53" i="1" s="1"/>
  <c r="HV52" i="1"/>
  <c r="HY52" i="1"/>
  <c r="HW52" i="1"/>
  <c r="HZ52" i="1"/>
  <c r="IB52" i="1"/>
  <c r="IE52" i="1"/>
  <c r="HX52" i="1"/>
  <c r="HR52" i="1"/>
  <c r="HT52" i="1"/>
  <c r="IA52" i="1"/>
  <c r="FY32" i="1"/>
  <c r="HE32" i="1" s="1"/>
  <c r="FB32" i="1"/>
  <c r="FA32" i="1"/>
  <c r="EV32" i="1"/>
  <c r="HB32" i="1" s="1"/>
  <c r="HF32" i="1" s="1"/>
  <c r="FS28" i="1"/>
  <c r="FT28" i="1"/>
  <c r="FM29" i="1"/>
  <c r="FN29" i="1" s="1"/>
  <c r="FW29" i="1"/>
  <c r="FX29" i="1" s="1"/>
  <c r="FZ29" i="1" s="1"/>
  <c r="FJ29" i="1"/>
  <c r="GQ29" i="1" s="1"/>
  <c r="CX40" i="1"/>
  <c r="DQ40" i="1" s="1"/>
  <c r="DS37" i="1"/>
  <c r="DV38" i="1"/>
  <c r="DU37" i="1"/>
  <c r="DV37" i="1"/>
  <c r="CW40" i="1"/>
  <c r="DP40" i="1" s="1"/>
  <c r="DU38" i="1"/>
  <c r="DS38" i="1"/>
  <c r="GI28" i="1"/>
  <c r="CJ44" i="1"/>
  <c r="CM44" i="1" s="1"/>
  <c r="GH27" i="1"/>
  <c r="EA37" i="1"/>
  <c r="GH28" i="1"/>
  <c r="EA38" i="1"/>
  <c r="CA46" i="1"/>
  <c r="BX46" i="1"/>
  <c r="BU46" i="1"/>
  <c r="GI27" i="1"/>
  <c r="FG30" i="1"/>
  <c r="DO40" i="1"/>
  <c r="DL40" i="1"/>
  <c r="DN39" i="1"/>
  <c r="DP39" i="1"/>
  <c r="DM39" i="1"/>
  <c r="FA31" i="1"/>
  <c r="DO39" i="1"/>
  <c r="DL39" i="1"/>
  <c r="EX31" i="1"/>
  <c r="EW31" i="1"/>
  <c r="HB31" i="1"/>
  <c r="HF31" i="1" s="1"/>
  <c r="CK44" i="1"/>
  <c r="CH44" i="1"/>
  <c r="CF44" i="1"/>
  <c r="CL44" i="1" s="1"/>
  <c r="FB31" i="1"/>
  <c r="CB45" i="1"/>
  <c r="CG45" i="1" s="1"/>
  <c r="CE45" i="1"/>
  <c r="CC45" i="1"/>
  <c r="FF31" i="1"/>
  <c r="FI31" i="1" s="1"/>
  <c r="FY31" i="1"/>
  <c r="HE31" i="1" s="1"/>
  <c r="GG27" i="1"/>
  <c r="GE27" i="1"/>
  <c r="GF27" i="1" s="1"/>
  <c r="GG28" i="1"/>
  <c r="GE28" i="1"/>
  <c r="GF28" i="1" s="1"/>
  <c r="AS50" i="1"/>
  <c r="AT50" i="1" s="1"/>
  <c r="BB50" i="1" s="1"/>
  <c r="BE50" i="1" s="1"/>
  <c r="BB47" i="1"/>
  <c r="BE47" i="1" s="1"/>
  <c r="FJ33" i="1" l="1"/>
  <c r="GQ33" i="1" s="1"/>
  <c r="FM33" i="1"/>
  <c r="FN33" i="1" s="1"/>
  <c r="FP33" i="1" s="1"/>
  <c r="DV41" i="1"/>
  <c r="FO35" i="1"/>
  <c r="FD35" i="1"/>
  <c r="FV35" i="1" s="1"/>
  <c r="FL35" i="1"/>
  <c r="HG35" i="1"/>
  <c r="FE35" i="1"/>
  <c r="FH35" i="1" s="1"/>
  <c r="DW41" i="1"/>
  <c r="DX41" i="1" s="1"/>
  <c r="DR41" i="1"/>
  <c r="DW42" i="1"/>
  <c r="DX42" i="1" s="1"/>
  <c r="DS42" i="1"/>
  <c r="DY42" i="1" s="1"/>
  <c r="HH35" i="1"/>
  <c r="DY41" i="1"/>
  <c r="DV42" i="1"/>
  <c r="DR42" i="1"/>
  <c r="FU34" i="1"/>
  <c r="FG34" i="1"/>
  <c r="FU35" i="1"/>
  <c r="FH34" i="1"/>
  <c r="DW43" i="1"/>
  <c r="DX43" i="1" s="1"/>
  <c r="DV43" i="1"/>
  <c r="DR43" i="1"/>
  <c r="GD33" i="1"/>
  <c r="GA33" i="1"/>
  <c r="GP33" i="1"/>
  <c r="DU43" i="1"/>
  <c r="DS43" i="1"/>
  <c r="EQ36" i="1"/>
  <c r="EZ36" i="1" s="1"/>
  <c r="FC36" i="1" s="1"/>
  <c r="EP36" i="1"/>
  <c r="HG34" i="1"/>
  <c r="BX50" i="1"/>
  <c r="BU50" i="1"/>
  <c r="CA50" i="1"/>
  <c r="IB53" i="1"/>
  <c r="HZ53" i="1"/>
  <c r="HV53" i="1"/>
  <c r="ID53" i="1"/>
  <c r="HW53" i="1"/>
  <c r="IE53" i="1"/>
  <c r="HR53" i="1"/>
  <c r="IC53" i="1"/>
  <c r="HQ53" i="1"/>
  <c r="HU53" i="1"/>
  <c r="HX53" i="1"/>
  <c r="HK53" i="1"/>
  <c r="HS54" i="1" s="1"/>
  <c r="HL54" i="1" s="1"/>
  <c r="HN54" i="1" s="1"/>
  <c r="HY53" i="1"/>
  <c r="IA53" i="1"/>
  <c r="HM53" i="1"/>
  <c r="HT53" i="1"/>
  <c r="FE32" i="1"/>
  <c r="FL32" i="1"/>
  <c r="FD32" i="1"/>
  <c r="FV32" i="1" s="1"/>
  <c r="FO32" i="1"/>
  <c r="HH32" i="1"/>
  <c r="EW32" i="1"/>
  <c r="FU32" i="1" s="1"/>
  <c r="EX32" i="1"/>
  <c r="GD29" i="1"/>
  <c r="GA29" i="1"/>
  <c r="GP29" i="1"/>
  <c r="FR29" i="1"/>
  <c r="FQ29" i="1"/>
  <c r="FP29" i="1"/>
  <c r="DN40" i="1"/>
  <c r="DZ37" i="1"/>
  <c r="DY37" i="1"/>
  <c r="DY38" i="1"/>
  <c r="DM40" i="1"/>
  <c r="GS28" i="1"/>
  <c r="DZ38" i="1"/>
  <c r="GS27" i="1"/>
  <c r="GY27" i="1"/>
  <c r="GY28" i="1"/>
  <c r="FD31" i="1"/>
  <c r="FV31" i="1" s="1"/>
  <c r="HH31" i="1"/>
  <c r="CR44" i="1"/>
  <c r="DU39" i="1"/>
  <c r="HG32" i="1"/>
  <c r="DV39" i="1"/>
  <c r="DW39" i="1"/>
  <c r="DX39" i="1" s="1"/>
  <c r="DR39" i="1"/>
  <c r="CK45" i="1"/>
  <c r="CH45" i="1"/>
  <c r="CF45" i="1"/>
  <c r="CL45" i="1" s="1"/>
  <c r="FE31" i="1"/>
  <c r="FH31" i="1" s="1"/>
  <c r="BX47" i="1"/>
  <c r="BU47" i="1"/>
  <c r="CA47" i="1"/>
  <c r="CJ45" i="1"/>
  <c r="HG31" i="1"/>
  <c r="FU31" i="1"/>
  <c r="DS39" i="1"/>
  <c r="CN44" i="1"/>
  <c r="CP44" i="1" s="1"/>
  <c r="FL31" i="1"/>
  <c r="FO31" i="1"/>
  <c r="DS40" i="1"/>
  <c r="DU40" i="1"/>
  <c r="FM30" i="1"/>
  <c r="FN30" i="1" s="1"/>
  <c r="FW30" i="1"/>
  <c r="FX30" i="1" s="1"/>
  <c r="FZ30" i="1" s="1"/>
  <c r="FJ30" i="1"/>
  <c r="GQ30" i="1" s="1"/>
  <c r="HQ48" i="1" s="1"/>
  <c r="CE46" i="1"/>
  <c r="CB46" i="1"/>
  <c r="CG46" i="1" s="1"/>
  <c r="CC46" i="1"/>
  <c r="AS51" i="1"/>
  <c r="AT51" i="1" s="1"/>
  <c r="BB51" i="1" s="1"/>
  <c r="BE51" i="1" s="1"/>
  <c r="BB48" i="1"/>
  <c r="BE48" i="1" s="1"/>
  <c r="FR33" i="1" l="1"/>
  <c r="FQ33" i="1"/>
  <c r="DZ41" i="1"/>
  <c r="FG35" i="1"/>
  <c r="FW35" i="1" s="1"/>
  <c r="FX35" i="1" s="1"/>
  <c r="FZ35" i="1" s="1"/>
  <c r="EA41" i="1"/>
  <c r="EA42" i="1"/>
  <c r="DY43" i="1"/>
  <c r="DZ42" i="1"/>
  <c r="GC33" i="1"/>
  <c r="GO33" i="1"/>
  <c r="GB33" i="1"/>
  <c r="FW34" i="1"/>
  <c r="FX34" i="1" s="1"/>
  <c r="FZ34" i="1" s="1"/>
  <c r="FJ34" i="1"/>
  <c r="GQ34" i="1" s="1"/>
  <c r="FM34" i="1"/>
  <c r="FN34" i="1" s="1"/>
  <c r="EV36" i="1"/>
  <c r="FB36" i="1"/>
  <c r="FA36" i="1"/>
  <c r="DZ43" i="1"/>
  <c r="FF36" i="1"/>
  <c r="FI36" i="1" s="1"/>
  <c r="FY36" i="1"/>
  <c r="HE36" i="1" s="1"/>
  <c r="EA43" i="1"/>
  <c r="BU51" i="1"/>
  <c r="BX51" i="1"/>
  <c r="CA51" i="1"/>
  <c r="CE50" i="1"/>
  <c r="CC50" i="1"/>
  <c r="CB50" i="1"/>
  <c r="CG50" i="1" s="1"/>
  <c r="HZ54" i="1"/>
  <c r="HM54" i="1"/>
  <c r="HQ54" i="1"/>
  <c r="HV54" i="1"/>
  <c r="IC54" i="1"/>
  <c r="HW54" i="1"/>
  <c r="HR54" i="1"/>
  <c r="ID54" i="1"/>
  <c r="HX54" i="1"/>
  <c r="HY54" i="1"/>
  <c r="IB54" i="1"/>
  <c r="IA54" i="1"/>
  <c r="IE54" i="1"/>
  <c r="HU54" i="1"/>
  <c r="HT54" i="1"/>
  <c r="HK54" i="1"/>
  <c r="HS55" i="1" s="1"/>
  <c r="HL55" i="1" s="1"/>
  <c r="HN55" i="1" s="1"/>
  <c r="FG32" i="1"/>
  <c r="FH32" i="1"/>
  <c r="GT27" i="1"/>
  <c r="EC38" i="1"/>
  <c r="EK38" i="1" s="1"/>
  <c r="HA28" i="1"/>
  <c r="HD28" i="1" s="1"/>
  <c r="ED38" i="1"/>
  <c r="EL38" i="1" s="1"/>
  <c r="GZ27" i="1"/>
  <c r="EC37" i="1"/>
  <c r="EF37" i="1" s="1"/>
  <c r="DW40" i="1"/>
  <c r="DX40" i="1" s="1"/>
  <c r="FS29" i="1"/>
  <c r="DR40" i="1"/>
  <c r="DV40" i="1"/>
  <c r="GO29" i="1"/>
  <c r="GC29" i="1"/>
  <c r="GB29" i="1"/>
  <c r="FT29" i="1"/>
  <c r="GT28" i="1"/>
  <c r="EB37" i="1"/>
  <c r="HA27" i="1"/>
  <c r="HC27" i="1" s="1"/>
  <c r="ED37" i="1"/>
  <c r="EL37" i="1" s="1"/>
  <c r="DY39" i="1"/>
  <c r="GR27" i="1"/>
  <c r="GZ28" i="1"/>
  <c r="EB38" i="1"/>
  <c r="GR28" i="1"/>
  <c r="FG31" i="1"/>
  <c r="FJ31" i="1" s="1"/>
  <c r="GQ31" i="1" s="1"/>
  <c r="CQ44" i="1"/>
  <c r="CS44" i="1" s="1"/>
  <c r="CT44" i="1" s="1"/>
  <c r="DZ39" i="1"/>
  <c r="CF46" i="1"/>
  <c r="CL46" i="1" s="1"/>
  <c r="CK46" i="1"/>
  <c r="CH46" i="1"/>
  <c r="DY40" i="1"/>
  <c r="CJ46" i="1"/>
  <c r="CR45" i="1"/>
  <c r="CM45" i="1"/>
  <c r="CN45" i="1"/>
  <c r="GP30" i="1"/>
  <c r="HR48" i="1" s="1"/>
  <c r="GD30" i="1"/>
  <c r="GA30" i="1"/>
  <c r="FR30" i="1"/>
  <c r="FQ30" i="1"/>
  <c r="FP30" i="1"/>
  <c r="CC47" i="1"/>
  <c r="CE47" i="1"/>
  <c r="CB47" i="1"/>
  <c r="CG47" i="1" s="1"/>
  <c r="BX48" i="1"/>
  <c r="CA48" i="1"/>
  <c r="BU48" i="1"/>
  <c r="EA39" i="1"/>
  <c r="AS52" i="1"/>
  <c r="AT52" i="1" s="1"/>
  <c r="BB52" i="1" s="1"/>
  <c r="BE52" i="1" s="1"/>
  <c r="BB49" i="1"/>
  <c r="BE49" i="1" s="1"/>
  <c r="FS33" i="1" l="1"/>
  <c r="FT33" i="1"/>
  <c r="ED41" i="1"/>
  <c r="EL41" i="1" s="1"/>
  <c r="FM35" i="1"/>
  <c r="FN35" i="1" s="1"/>
  <c r="FP35" i="1" s="1"/>
  <c r="FJ35" i="1"/>
  <c r="GQ35" i="1" s="1"/>
  <c r="EC41" i="1"/>
  <c r="EF41" i="1" s="1"/>
  <c r="EB41" i="1"/>
  <c r="GH33" i="1"/>
  <c r="GD34" i="1"/>
  <c r="GA34" i="1"/>
  <c r="GP34" i="1"/>
  <c r="GG33" i="1"/>
  <c r="GE33" i="1"/>
  <c r="GF33" i="1" s="1"/>
  <c r="EC43" i="1"/>
  <c r="ED43" i="1"/>
  <c r="EB43" i="1"/>
  <c r="FO36" i="1"/>
  <c r="FL36" i="1"/>
  <c r="GD35" i="1"/>
  <c r="GA35" i="1"/>
  <c r="GP35" i="1"/>
  <c r="FR34" i="1"/>
  <c r="FQ34" i="1"/>
  <c r="FP34" i="1"/>
  <c r="GI33" i="1"/>
  <c r="ED42" i="1"/>
  <c r="EC42" i="1"/>
  <c r="EB42" i="1"/>
  <c r="EX36" i="1"/>
  <c r="EW36" i="1"/>
  <c r="HB36" i="1"/>
  <c r="HF36" i="1" s="1"/>
  <c r="HG36" i="1" s="1"/>
  <c r="FD36" i="1"/>
  <c r="FV36" i="1" s="1"/>
  <c r="FE36" i="1"/>
  <c r="CF50" i="1"/>
  <c r="CL50" i="1" s="1"/>
  <c r="CK50" i="1"/>
  <c r="CH50" i="1"/>
  <c r="CJ50" i="1"/>
  <c r="CB51" i="1"/>
  <c r="CG51" i="1" s="1"/>
  <c r="CC51" i="1"/>
  <c r="CE51" i="1"/>
  <c r="BU52" i="1"/>
  <c r="CA52" i="1"/>
  <c r="BX52" i="1"/>
  <c r="IA55" i="1"/>
  <c r="ID55" i="1"/>
  <c r="HU55" i="1"/>
  <c r="FJ32" i="1"/>
  <c r="GQ32" i="1" s="1"/>
  <c r="HT55" i="1"/>
  <c r="HW55" i="1"/>
  <c r="IC55" i="1"/>
  <c r="HX55" i="1"/>
  <c r="HR55" i="1"/>
  <c r="HQ55" i="1"/>
  <c r="HY55" i="1"/>
  <c r="HZ55" i="1"/>
  <c r="FW32" i="1"/>
  <c r="FX32" i="1" s="1"/>
  <c r="FZ32" i="1" s="1"/>
  <c r="GP32" i="1" s="1"/>
  <c r="IE55" i="1"/>
  <c r="HK55" i="1"/>
  <c r="HS56" i="1" s="1"/>
  <c r="HL56" i="1" s="1"/>
  <c r="HY56" i="1" s="1"/>
  <c r="HM55" i="1"/>
  <c r="FM32" i="1"/>
  <c r="FN32" i="1" s="1"/>
  <c r="FR32" i="1" s="1"/>
  <c r="IB55" i="1"/>
  <c r="HV55" i="1"/>
  <c r="EJ38" i="1"/>
  <c r="EO38" i="1" s="1"/>
  <c r="ER38" i="1" s="1"/>
  <c r="EI38" i="1"/>
  <c r="EN38" i="1" s="1"/>
  <c r="EH38" i="1"/>
  <c r="EM38" i="1" s="1"/>
  <c r="HC28" i="1"/>
  <c r="HD27" i="1"/>
  <c r="EF38" i="1"/>
  <c r="EE38" i="1"/>
  <c r="EG38" i="1"/>
  <c r="EA40" i="1"/>
  <c r="EE37" i="1"/>
  <c r="EG37" i="1"/>
  <c r="EK37" i="1"/>
  <c r="DZ40" i="1"/>
  <c r="GE29" i="1"/>
  <c r="GF29" i="1" s="1"/>
  <c r="GI29" i="1"/>
  <c r="GG29" i="1"/>
  <c r="GH29" i="1"/>
  <c r="EI37" i="1"/>
  <c r="EH37" i="1"/>
  <c r="EJ37" i="1"/>
  <c r="EB39" i="1"/>
  <c r="FW31" i="1"/>
  <c r="FX31" i="1" s="1"/>
  <c r="FZ31" i="1" s="1"/>
  <c r="GP31" i="1" s="1"/>
  <c r="FM31" i="1"/>
  <c r="FN31" i="1" s="1"/>
  <c r="FP31" i="1" s="1"/>
  <c r="FS30" i="1"/>
  <c r="CJ47" i="1"/>
  <c r="CM47" i="1" s="1"/>
  <c r="CU44" i="1"/>
  <c r="CZ44" i="1" s="1"/>
  <c r="CP45" i="1"/>
  <c r="ED39" i="1"/>
  <c r="EC39" i="1"/>
  <c r="CV44" i="1"/>
  <c r="CW44" i="1"/>
  <c r="CX44" i="1"/>
  <c r="CQ45" i="1"/>
  <c r="CA49" i="1"/>
  <c r="BX49" i="1"/>
  <c r="BU49" i="1"/>
  <c r="GB30" i="1"/>
  <c r="GC30" i="1"/>
  <c r="GO30" i="1"/>
  <c r="HM48" i="1" s="1"/>
  <c r="CR46" i="1"/>
  <c r="CM46" i="1"/>
  <c r="FT30" i="1"/>
  <c r="CK47" i="1"/>
  <c r="CF47" i="1"/>
  <c r="CL47" i="1" s="1"/>
  <c r="CH47" i="1"/>
  <c r="CN46" i="1"/>
  <c r="CE48" i="1"/>
  <c r="CC48" i="1"/>
  <c r="CB48" i="1"/>
  <c r="CG48" i="1" s="1"/>
  <c r="AS53" i="1"/>
  <c r="AT53" i="1" s="1"/>
  <c r="BB53" i="1" s="1"/>
  <c r="BE53" i="1" s="1"/>
  <c r="CJ51" i="1" l="1"/>
  <c r="CM51" i="1" s="1"/>
  <c r="BU53" i="1"/>
  <c r="CA53" i="1"/>
  <c r="BX53" i="1"/>
  <c r="FR35" i="1"/>
  <c r="EH41" i="1"/>
  <c r="EJ41" i="1"/>
  <c r="EI41" i="1"/>
  <c r="FQ35" i="1"/>
  <c r="EG41" i="1"/>
  <c r="EE41" i="1"/>
  <c r="EK41" i="1"/>
  <c r="GS33" i="1"/>
  <c r="GT33" i="1" s="1"/>
  <c r="GY33" i="1"/>
  <c r="GZ33" i="1" s="1"/>
  <c r="FS34" i="1"/>
  <c r="EI42" i="1"/>
  <c r="EL42" i="1"/>
  <c r="EH42" i="1"/>
  <c r="EJ42" i="1"/>
  <c r="HH36" i="1"/>
  <c r="FH36" i="1"/>
  <c r="GC34" i="1"/>
  <c r="GB34" i="1"/>
  <c r="GO34" i="1"/>
  <c r="EL43" i="1"/>
  <c r="EJ43" i="1"/>
  <c r="EI43" i="1"/>
  <c r="EH43" i="1"/>
  <c r="GB35" i="1"/>
  <c r="GO35" i="1"/>
  <c r="GC35" i="1"/>
  <c r="FT34" i="1"/>
  <c r="EK43" i="1"/>
  <c r="EG43" i="1"/>
  <c r="EF43" i="1"/>
  <c r="EE43" i="1"/>
  <c r="FU36" i="1"/>
  <c r="FG36" i="1"/>
  <c r="EK42" i="1"/>
  <c r="EF42" i="1"/>
  <c r="EE42" i="1"/>
  <c r="EG42" i="1"/>
  <c r="FQ32" i="1"/>
  <c r="FS32" i="1" s="1"/>
  <c r="GD32" i="1"/>
  <c r="GA32" i="1"/>
  <c r="FP32" i="1"/>
  <c r="GC32" i="1" s="1"/>
  <c r="CK51" i="1"/>
  <c r="CF51" i="1"/>
  <c r="CL51" i="1" s="1"/>
  <c r="CH51" i="1"/>
  <c r="CM50" i="1"/>
  <c r="CR50" i="1"/>
  <c r="CN50" i="1"/>
  <c r="CE52" i="1"/>
  <c r="CC52" i="1"/>
  <c r="CB52" i="1"/>
  <c r="CG52" i="1" s="1"/>
  <c r="HQ56" i="1"/>
  <c r="HW56" i="1"/>
  <c r="HU56" i="1"/>
  <c r="HK56" i="1"/>
  <c r="HS57" i="1" s="1"/>
  <c r="HL57" i="1" s="1"/>
  <c r="HU57" i="1" s="1"/>
  <c r="IA56" i="1"/>
  <c r="HM56" i="1"/>
  <c r="IB56" i="1"/>
  <c r="HX56" i="1"/>
  <c r="HR56" i="1"/>
  <c r="HZ56" i="1"/>
  <c r="IC56" i="1"/>
  <c r="HN56" i="1"/>
  <c r="ID56" i="1"/>
  <c r="IE56" i="1"/>
  <c r="HV56" i="1"/>
  <c r="HT56" i="1"/>
  <c r="EM37" i="1"/>
  <c r="EO37" i="1"/>
  <c r="ER37" i="1" s="1"/>
  <c r="ED40" i="1"/>
  <c r="EL40" i="1" s="1"/>
  <c r="EB40" i="1"/>
  <c r="FR31" i="1"/>
  <c r="EC40" i="1"/>
  <c r="EK40" i="1" s="1"/>
  <c r="EN37" i="1"/>
  <c r="GS29" i="1"/>
  <c r="GY29" i="1"/>
  <c r="FQ31" i="1"/>
  <c r="EP38" i="1"/>
  <c r="EV38" i="1" s="1"/>
  <c r="CJ48" i="1"/>
  <c r="CM48" i="1" s="1"/>
  <c r="CR47" i="1"/>
  <c r="GI30" i="1"/>
  <c r="EQ38" i="1"/>
  <c r="EZ38" i="1" s="1"/>
  <c r="FC38" i="1" s="1"/>
  <c r="FY38" i="1" s="1"/>
  <c r="HE38" i="1" s="1"/>
  <c r="CQ46" i="1"/>
  <c r="GA31" i="1"/>
  <c r="GD31" i="1"/>
  <c r="CY44" i="1"/>
  <c r="DO44" i="1" s="1"/>
  <c r="GH30" i="1"/>
  <c r="DA44" i="1"/>
  <c r="DQ44" i="1" s="1"/>
  <c r="CP46" i="1"/>
  <c r="EK39" i="1"/>
  <c r="EG39" i="1"/>
  <c r="EE39" i="1"/>
  <c r="EF39" i="1"/>
  <c r="CN47" i="1"/>
  <c r="CP47" i="1" s="1"/>
  <c r="CE49" i="1"/>
  <c r="CC49" i="1"/>
  <c r="CB49" i="1"/>
  <c r="CG49" i="1" s="1"/>
  <c r="CS45" i="1"/>
  <c r="CT45" i="1" s="1"/>
  <c r="GE30" i="1"/>
  <c r="GF30" i="1" s="1"/>
  <c r="GG30" i="1"/>
  <c r="DN44" i="1"/>
  <c r="DP44" i="1"/>
  <c r="DM44" i="1"/>
  <c r="CF48" i="1"/>
  <c r="CL48" i="1" s="1"/>
  <c r="CK48" i="1"/>
  <c r="CH48" i="1"/>
  <c r="GO31" i="1"/>
  <c r="GC31" i="1"/>
  <c r="GB31" i="1"/>
  <c r="DL44" i="1"/>
  <c r="EL39" i="1"/>
  <c r="EI39" i="1"/>
  <c r="EJ39" i="1"/>
  <c r="EH39" i="1"/>
  <c r="AS54" i="1"/>
  <c r="AT54" i="1" s="1"/>
  <c r="BB54" i="1" s="1"/>
  <c r="BE54" i="1" s="1"/>
  <c r="CR51" i="1" l="1"/>
  <c r="BU54" i="1"/>
  <c r="BX54" i="1"/>
  <c r="CA54" i="1"/>
  <c r="CE53" i="1"/>
  <c r="CB53" i="1"/>
  <c r="CG53" i="1" s="1"/>
  <c r="CC53" i="1"/>
  <c r="CJ52" i="1"/>
  <c r="CM52" i="1" s="1"/>
  <c r="FS35" i="1"/>
  <c r="EN41" i="1"/>
  <c r="FT35" i="1"/>
  <c r="EO41" i="1"/>
  <c r="ER41" i="1" s="1"/>
  <c r="EM41" i="1"/>
  <c r="GB32" i="1"/>
  <c r="GH32" i="1" s="1"/>
  <c r="HA33" i="1"/>
  <c r="HD33" i="1" s="1"/>
  <c r="GR33" i="1"/>
  <c r="GH35" i="1"/>
  <c r="EN42" i="1"/>
  <c r="FT32" i="1"/>
  <c r="GE34" i="1"/>
  <c r="GF34" i="1" s="1"/>
  <c r="GG34" i="1"/>
  <c r="GI34" i="1"/>
  <c r="GI35" i="1"/>
  <c r="GE35" i="1"/>
  <c r="GF35" i="1" s="1"/>
  <c r="GG35" i="1"/>
  <c r="GH34" i="1"/>
  <c r="EO42" i="1"/>
  <c r="ER42" i="1" s="1"/>
  <c r="EM42" i="1"/>
  <c r="FW36" i="1"/>
  <c r="FX36" i="1" s="1"/>
  <c r="FZ36" i="1" s="1"/>
  <c r="FM36" i="1"/>
  <c r="FN36" i="1" s="1"/>
  <c r="FJ36" i="1"/>
  <c r="GQ36" i="1" s="1"/>
  <c r="EO43" i="1"/>
  <c r="ER43" i="1" s="1"/>
  <c r="EM43" i="1"/>
  <c r="EN43" i="1"/>
  <c r="EG40" i="1"/>
  <c r="EJ40" i="1"/>
  <c r="EO40" i="1" s="1"/>
  <c r="ER40" i="1" s="1"/>
  <c r="EH40" i="1"/>
  <c r="EM40" i="1" s="1"/>
  <c r="GO32" i="1"/>
  <c r="EI40" i="1"/>
  <c r="EN40" i="1" s="1"/>
  <c r="CP50" i="1"/>
  <c r="CQ50" i="1"/>
  <c r="CF52" i="1"/>
  <c r="CL52" i="1" s="1"/>
  <c r="CK52" i="1"/>
  <c r="CH52" i="1"/>
  <c r="CN51" i="1"/>
  <c r="CQ51" i="1" s="1"/>
  <c r="HK57" i="1"/>
  <c r="HS58" i="1" s="1"/>
  <c r="HL58" i="1" s="1"/>
  <c r="HV58" i="1" s="1"/>
  <c r="HM57" i="1"/>
  <c r="IB57" i="1"/>
  <c r="IC57" i="1"/>
  <c r="HX57" i="1"/>
  <c r="HN57" i="1"/>
  <c r="HY57" i="1"/>
  <c r="IE57" i="1"/>
  <c r="IA57" i="1"/>
  <c r="HZ57" i="1"/>
  <c r="HR57" i="1"/>
  <c r="HT57" i="1"/>
  <c r="HQ57" i="1"/>
  <c r="ID57" i="1"/>
  <c r="HV57" i="1"/>
  <c r="HW57" i="1"/>
  <c r="EQ37" i="1"/>
  <c r="EZ37" i="1" s="1"/>
  <c r="FC37" i="1" s="1"/>
  <c r="FT31" i="1"/>
  <c r="EE40" i="1"/>
  <c r="EF40" i="1"/>
  <c r="EP37" i="1"/>
  <c r="EV37" i="1" s="1"/>
  <c r="EW37" i="1" s="1"/>
  <c r="CR48" i="1"/>
  <c r="GZ29" i="1"/>
  <c r="GT29" i="1"/>
  <c r="HA29" i="1"/>
  <c r="GR29" i="1"/>
  <c r="FS31" i="1"/>
  <c r="CS46" i="1"/>
  <c r="CU46" i="1" s="1"/>
  <c r="CY46" i="1" s="1"/>
  <c r="FF38" i="1"/>
  <c r="FI38" i="1" s="1"/>
  <c r="GY30" i="1"/>
  <c r="IA48" i="1" s="1"/>
  <c r="FB38" i="1"/>
  <c r="GH31" i="1"/>
  <c r="FA38" i="1"/>
  <c r="CQ47" i="1"/>
  <c r="CS47" i="1" s="1"/>
  <c r="CT47" i="1" s="1"/>
  <c r="GS30" i="1"/>
  <c r="HY48" i="1" s="1"/>
  <c r="CJ49" i="1"/>
  <c r="CM49" i="1" s="1"/>
  <c r="EM39" i="1"/>
  <c r="EO39" i="1"/>
  <c r="ER39" i="1" s="1"/>
  <c r="EN39" i="1"/>
  <c r="CF49" i="1"/>
  <c r="CL49" i="1" s="1"/>
  <c r="CK49" i="1"/>
  <c r="CH49" i="1"/>
  <c r="DW44" i="1"/>
  <c r="DX44" i="1" s="1"/>
  <c r="DR44" i="1"/>
  <c r="DV44" i="1"/>
  <c r="EW38" i="1"/>
  <c r="EX38" i="1"/>
  <c r="HB38" i="1"/>
  <c r="HF38" i="1" s="1"/>
  <c r="HH38" i="1" s="1"/>
  <c r="GE31" i="1"/>
  <c r="GF31" i="1" s="1"/>
  <c r="GG31" i="1"/>
  <c r="CU45" i="1"/>
  <c r="CV45" i="1"/>
  <c r="CW45" i="1"/>
  <c r="CX45" i="1"/>
  <c r="DU44" i="1"/>
  <c r="DS44" i="1"/>
  <c r="CN48" i="1"/>
  <c r="CP48" i="1" s="1"/>
  <c r="GI31" i="1"/>
  <c r="AS55" i="1"/>
  <c r="AT55" i="1" s="1"/>
  <c r="GS35" i="1" l="1"/>
  <c r="GT35" i="1" s="1"/>
  <c r="CC54" i="1"/>
  <c r="CE54" i="1"/>
  <c r="CB54" i="1"/>
  <c r="CG54" i="1" s="1"/>
  <c r="CR52" i="1"/>
  <c r="CK53" i="1"/>
  <c r="CF53" i="1"/>
  <c r="CL53" i="1" s="1"/>
  <c r="CH53" i="1"/>
  <c r="CJ53" i="1"/>
  <c r="CP51" i="1"/>
  <c r="EP41" i="1"/>
  <c r="EV41" i="1" s="1"/>
  <c r="EQ41" i="1"/>
  <c r="EZ41" i="1" s="1"/>
  <c r="FC41" i="1" s="1"/>
  <c r="FY41" i="1" s="1"/>
  <c r="HE41" i="1" s="1"/>
  <c r="GI32" i="1"/>
  <c r="GY32" i="1" s="1"/>
  <c r="GG32" i="1"/>
  <c r="GS32" i="1" s="1"/>
  <c r="GE32" i="1"/>
  <c r="GF32" i="1" s="1"/>
  <c r="HC33" i="1"/>
  <c r="GY35" i="1"/>
  <c r="GR35" i="1" s="1"/>
  <c r="FQ36" i="1"/>
  <c r="FR36" i="1"/>
  <c r="FP36" i="1"/>
  <c r="GS34" i="1"/>
  <c r="GY34" i="1"/>
  <c r="EP42" i="1"/>
  <c r="EQ42" i="1"/>
  <c r="EZ42" i="1" s="1"/>
  <c r="FC42" i="1" s="1"/>
  <c r="EQ43" i="1"/>
  <c r="EZ43" i="1" s="1"/>
  <c r="FC43" i="1" s="1"/>
  <c r="EP43" i="1"/>
  <c r="GP36" i="1"/>
  <c r="GA36" i="1"/>
  <c r="GD36" i="1"/>
  <c r="EX37" i="1"/>
  <c r="CN52" i="1"/>
  <c r="CP52" i="1" s="1"/>
  <c r="CS51" i="1"/>
  <c r="CU51" i="1" s="1"/>
  <c r="CS50" i="1"/>
  <c r="CT50" i="1" s="1"/>
  <c r="HT58" i="1"/>
  <c r="HW58" i="1"/>
  <c r="HK58" i="1"/>
  <c r="HS59" i="1" s="1"/>
  <c r="HL59" i="1" s="1"/>
  <c r="HN59" i="1" s="1"/>
  <c r="HY58" i="1"/>
  <c r="IE58" i="1"/>
  <c r="HM58" i="1"/>
  <c r="ID58" i="1"/>
  <c r="HX58" i="1"/>
  <c r="HU58" i="1"/>
  <c r="HQ58" i="1"/>
  <c r="IC58" i="1"/>
  <c r="HN58" i="1"/>
  <c r="HZ58" i="1"/>
  <c r="IA58" i="1"/>
  <c r="HR58" i="1"/>
  <c r="IB58" i="1"/>
  <c r="HB37" i="1"/>
  <c r="HF37" i="1" s="1"/>
  <c r="FB37" i="1"/>
  <c r="FA37" i="1"/>
  <c r="DA46" i="1"/>
  <c r="CZ46" i="1"/>
  <c r="FF37" i="1"/>
  <c r="FI37" i="1" s="1"/>
  <c r="FY37" i="1"/>
  <c r="HE37" i="1" s="1"/>
  <c r="GZ30" i="1"/>
  <c r="IE48" i="1" s="1"/>
  <c r="FO38" i="1"/>
  <c r="HD29" i="1"/>
  <c r="HC29" i="1"/>
  <c r="CT46" i="1"/>
  <c r="CV46" i="1" s="1"/>
  <c r="DO46" i="1" s="1"/>
  <c r="FE38" i="1"/>
  <c r="FH38" i="1" s="1"/>
  <c r="FL38" i="1"/>
  <c r="FD38" i="1"/>
  <c r="FV38" i="1" s="1"/>
  <c r="GS31" i="1"/>
  <c r="GY31" i="1"/>
  <c r="CQ48" i="1"/>
  <c r="CS48" i="1" s="1"/>
  <c r="CU48" i="1" s="1"/>
  <c r="GT30" i="1"/>
  <c r="IC48" i="1" s="1"/>
  <c r="HA30" i="1"/>
  <c r="HC30" i="1" s="1"/>
  <c r="GR30" i="1"/>
  <c r="IB48" i="1" s="1"/>
  <c r="EA44" i="1"/>
  <c r="DY44" i="1"/>
  <c r="CU47" i="1"/>
  <c r="EQ40" i="1"/>
  <c r="EZ40" i="1" s="1"/>
  <c r="FC40" i="1" s="1"/>
  <c r="EP40" i="1"/>
  <c r="DN45" i="1"/>
  <c r="CW47" i="1"/>
  <c r="CV47" i="1"/>
  <c r="CX47" i="1"/>
  <c r="CN49" i="1"/>
  <c r="CQ49" i="1" s="1"/>
  <c r="DM45" i="1"/>
  <c r="EP39" i="1"/>
  <c r="EQ39" i="1"/>
  <c r="EZ39" i="1" s="1"/>
  <c r="FC39" i="1" s="1"/>
  <c r="DL45" i="1"/>
  <c r="FU38" i="1"/>
  <c r="HG38" i="1"/>
  <c r="DA45" i="1"/>
  <c r="DQ45" i="1" s="1"/>
  <c r="CY45" i="1"/>
  <c r="DO45" i="1" s="1"/>
  <c r="CZ45" i="1"/>
  <c r="DP45" i="1" s="1"/>
  <c r="CR49" i="1"/>
  <c r="DZ44" i="1"/>
  <c r="FU37" i="1"/>
  <c r="AS56" i="1"/>
  <c r="AT56" i="1" s="1"/>
  <c r="HA35" i="1" l="1"/>
  <c r="HD35" i="1" s="1"/>
  <c r="CJ54" i="1"/>
  <c r="CM54" i="1" s="1"/>
  <c r="CK54" i="1"/>
  <c r="CF54" i="1"/>
  <c r="CL54" i="1" s="1"/>
  <c r="CH54" i="1"/>
  <c r="CM53" i="1"/>
  <c r="CR53" i="1"/>
  <c r="CN53" i="1"/>
  <c r="CQ52" i="1"/>
  <c r="CS52" i="1" s="1"/>
  <c r="CT52" i="1" s="1"/>
  <c r="FF41" i="1"/>
  <c r="FI41" i="1" s="1"/>
  <c r="FA41" i="1"/>
  <c r="FB41" i="1"/>
  <c r="GZ35" i="1"/>
  <c r="FT36" i="1"/>
  <c r="FF42" i="1"/>
  <c r="FI42" i="1" s="1"/>
  <c r="FY42" i="1"/>
  <c r="HE42" i="1" s="1"/>
  <c r="GB36" i="1"/>
  <c r="GO36" i="1"/>
  <c r="GC36" i="1"/>
  <c r="EV42" i="1"/>
  <c r="FA42" i="1"/>
  <c r="FB42" i="1"/>
  <c r="FS36" i="1"/>
  <c r="FF43" i="1"/>
  <c r="FI43" i="1" s="1"/>
  <c r="FY43" i="1"/>
  <c r="HE43" i="1" s="1"/>
  <c r="EX41" i="1"/>
  <c r="EW41" i="1"/>
  <c r="HB41" i="1"/>
  <c r="HF41" i="1" s="1"/>
  <c r="HH41" i="1" s="1"/>
  <c r="GT34" i="1"/>
  <c r="GR34" i="1"/>
  <c r="HA34" i="1"/>
  <c r="FB43" i="1"/>
  <c r="FA43" i="1"/>
  <c r="EV43" i="1"/>
  <c r="GZ34" i="1"/>
  <c r="CU50" i="1"/>
  <c r="CY50" i="1" s="1"/>
  <c r="CY51" i="1"/>
  <c r="CZ51" i="1"/>
  <c r="DA51" i="1"/>
  <c r="CT51" i="1"/>
  <c r="CW50" i="1"/>
  <c r="CV50" i="1"/>
  <c r="CX50" i="1"/>
  <c r="IB59" i="1"/>
  <c r="HM59" i="1"/>
  <c r="HR59" i="1"/>
  <c r="HK59" i="1"/>
  <c r="HS60" i="1" s="1"/>
  <c r="HL60" i="1" s="1"/>
  <c r="HN60" i="1" s="1"/>
  <c r="HT59" i="1"/>
  <c r="IA59" i="1"/>
  <c r="HY59" i="1"/>
  <c r="IE59" i="1"/>
  <c r="IC59" i="1"/>
  <c r="HZ59" i="1"/>
  <c r="ID59" i="1"/>
  <c r="HV59" i="1"/>
  <c r="HX59" i="1"/>
  <c r="HU59" i="1"/>
  <c r="HW59" i="1"/>
  <c r="HQ59" i="1"/>
  <c r="HG37" i="1"/>
  <c r="GT31" i="1"/>
  <c r="GZ32" i="1"/>
  <c r="FL37" i="1"/>
  <c r="HH37" i="1"/>
  <c r="FD37" i="1"/>
  <c r="FG37" i="1" s="1"/>
  <c r="FW37" i="1" s="1"/>
  <c r="FE37" i="1"/>
  <c r="FH37" i="1" s="1"/>
  <c r="FO37" i="1"/>
  <c r="DL46" i="1"/>
  <c r="GR32" i="1"/>
  <c r="FG38" i="1"/>
  <c r="FW38" i="1" s="1"/>
  <c r="FX38" i="1" s="1"/>
  <c r="FZ38" i="1" s="1"/>
  <c r="CW46" i="1"/>
  <c r="DP46" i="1" s="1"/>
  <c r="CX46" i="1"/>
  <c r="DN46" i="1" s="1"/>
  <c r="HA32" i="1"/>
  <c r="HD32" i="1" s="1"/>
  <c r="HA31" i="1"/>
  <c r="HD31" i="1" s="1"/>
  <c r="CP49" i="1"/>
  <c r="CS49" i="1" s="1"/>
  <c r="CU49" i="1" s="1"/>
  <c r="GZ31" i="1"/>
  <c r="GR31" i="1"/>
  <c r="GT32" i="1"/>
  <c r="HD30" i="1"/>
  <c r="ED44" i="1"/>
  <c r="EB44" i="1"/>
  <c r="EC44" i="1"/>
  <c r="DM47" i="1"/>
  <c r="DW45" i="1"/>
  <c r="DX45" i="1" s="1"/>
  <c r="DV45" i="1"/>
  <c r="DR45" i="1"/>
  <c r="FF40" i="1"/>
  <c r="FI40" i="1" s="1"/>
  <c r="FY40" i="1"/>
  <c r="HE40" i="1" s="1"/>
  <c r="CT48" i="1"/>
  <c r="CY47" i="1"/>
  <c r="DO47" i="1" s="1"/>
  <c r="CZ47" i="1"/>
  <c r="DP47" i="1" s="1"/>
  <c r="DA47" i="1"/>
  <c r="DQ47" i="1" s="1"/>
  <c r="CY48" i="1"/>
  <c r="CZ48" i="1"/>
  <c r="DA48" i="1"/>
  <c r="DS45" i="1"/>
  <c r="DU45" i="1"/>
  <c r="FF39" i="1"/>
  <c r="FI39" i="1" s="1"/>
  <c r="FY39" i="1"/>
  <c r="HE39" i="1" s="1"/>
  <c r="DN47" i="1"/>
  <c r="FB39" i="1"/>
  <c r="FA39" i="1"/>
  <c r="EV39" i="1"/>
  <c r="DL47" i="1"/>
  <c r="EV40" i="1"/>
  <c r="FB40" i="1"/>
  <c r="FA40" i="1"/>
  <c r="AS57" i="1"/>
  <c r="AT57" i="1" s="1"/>
  <c r="HC35" i="1" l="1"/>
  <c r="CN54" i="1"/>
  <c r="CQ54" i="1" s="1"/>
  <c r="CR54" i="1"/>
  <c r="CQ53" i="1"/>
  <c r="CP53" i="1"/>
  <c r="FD41" i="1"/>
  <c r="FV41" i="1" s="1"/>
  <c r="FO41" i="1"/>
  <c r="FL41" i="1"/>
  <c r="FE41" i="1"/>
  <c r="FH41" i="1" s="1"/>
  <c r="GI36" i="1"/>
  <c r="EW42" i="1"/>
  <c r="HB42" i="1"/>
  <c r="HF42" i="1" s="1"/>
  <c r="HH42" i="1" s="1"/>
  <c r="EX42" i="1"/>
  <c r="FE42" i="1"/>
  <c r="FD42" i="1"/>
  <c r="FV42" i="1" s="1"/>
  <c r="HB43" i="1"/>
  <c r="HF43" i="1" s="1"/>
  <c r="HH43" i="1" s="1"/>
  <c r="EX43" i="1"/>
  <c r="EW43" i="1"/>
  <c r="FD43" i="1"/>
  <c r="FV43" i="1" s="1"/>
  <c r="FE43" i="1"/>
  <c r="GE36" i="1"/>
  <c r="GF36" i="1" s="1"/>
  <c r="GH36" i="1"/>
  <c r="FL43" i="1"/>
  <c r="FO43" i="1"/>
  <c r="FU41" i="1"/>
  <c r="GG36" i="1"/>
  <c r="HC34" i="1"/>
  <c r="HD34" i="1"/>
  <c r="FL42" i="1"/>
  <c r="FO42" i="1"/>
  <c r="HG41" i="1"/>
  <c r="FM38" i="1"/>
  <c r="FN38" i="1" s="1"/>
  <c r="FQ38" i="1" s="1"/>
  <c r="CZ50" i="1"/>
  <c r="DP50" i="1" s="1"/>
  <c r="DA50" i="1"/>
  <c r="DQ50" i="1" s="1"/>
  <c r="CV52" i="1"/>
  <c r="CW52" i="1"/>
  <c r="CX52" i="1"/>
  <c r="DO50" i="1"/>
  <c r="DN50" i="1"/>
  <c r="CV51" i="1"/>
  <c r="CW51" i="1"/>
  <c r="DP51" i="1" s="1"/>
  <c r="CX51" i="1"/>
  <c r="DQ51" i="1" s="1"/>
  <c r="DL50" i="1"/>
  <c r="DM50" i="1"/>
  <c r="CU52" i="1"/>
  <c r="IE60" i="1"/>
  <c r="HW60" i="1"/>
  <c r="IC60" i="1"/>
  <c r="HM60" i="1"/>
  <c r="HZ60" i="1"/>
  <c r="HU60" i="1"/>
  <c r="HR60" i="1"/>
  <c r="IB60" i="1"/>
  <c r="HQ60" i="1"/>
  <c r="HX60" i="1"/>
  <c r="HV60" i="1"/>
  <c r="ID60" i="1"/>
  <c r="HT60" i="1"/>
  <c r="HY60" i="1"/>
  <c r="IA60" i="1"/>
  <c r="HK60" i="1"/>
  <c r="HS61" i="1" s="1"/>
  <c r="FM37" i="1"/>
  <c r="FN37" i="1" s="1"/>
  <c r="FR37" i="1" s="1"/>
  <c r="FJ37" i="1"/>
  <c r="GQ37" i="1" s="1"/>
  <c r="FV37" i="1"/>
  <c r="FX37" i="1" s="1"/>
  <c r="FZ37" i="1" s="1"/>
  <c r="GA37" i="1" s="1"/>
  <c r="DQ46" i="1"/>
  <c r="DU46" i="1" s="1"/>
  <c r="DM46" i="1"/>
  <c r="DW46" i="1" s="1"/>
  <c r="DX46" i="1" s="1"/>
  <c r="FJ38" i="1"/>
  <c r="GQ38" i="1" s="1"/>
  <c r="HC32" i="1"/>
  <c r="HC31" i="1"/>
  <c r="DY45" i="1"/>
  <c r="DU47" i="1"/>
  <c r="DS47" i="1"/>
  <c r="EK44" i="1"/>
  <c r="EF44" i="1"/>
  <c r="EG44" i="1"/>
  <c r="EE44" i="1"/>
  <c r="EX40" i="1"/>
  <c r="EW40" i="1"/>
  <c r="FU40" i="1" s="1"/>
  <c r="HB40" i="1"/>
  <c r="HF40" i="1" s="1"/>
  <c r="HG40" i="1" s="1"/>
  <c r="FD40" i="1"/>
  <c r="CW48" i="1"/>
  <c r="CV48" i="1"/>
  <c r="CX48" i="1"/>
  <c r="FL39" i="1"/>
  <c r="FO39" i="1"/>
  <c r="GP38" i="1"/>
  <c r="GD38" i="1"/>
  <c r="GA38" i="1"/>
  <c r="CT49" i="1"/>
  <c r="EJ44" i="1"/>
  <c r="EL44" i="1"/>
  <c r="EI44" i="1"/>
  <c r="EH44" i="1"/>
  <c r="DZ45" i="1"/>
  <c r="CY49" i="1"/>
  <c r="CZ49" i="1"/>
  <c r="DA49" i="1"/>
  <c r="DR47" i="1"/>
  <c r="DW47" i="1"/>
  <c r="DX47" i="1" s="1"/>
  <c r="DV47" i="1"/>
  <c r="FE40" i="1"/>
  <c r="FL40" i="1"/>
  <c r="FO40" i="1"/>
  <c r="EX39" i="1"/>
  <c r="FD39" i="1"/>
  <c r="FV39" i="1" s="1"/>
  <c r="HB39" i="1"/>
  <c r="HF39" i="1" s="1"/>
  <c r="HG39" i="1" s="1"/>
  <c r="EW39" i="1"/>
  <c r="FE39" i="1"/>
  <c r="EA45" i="1"/>
  <c r="AS58" i="1"/>
  <c r="AT58" i="1" s="1"/>
  <c r="BB58" i="1" s="1"/>
  <c r="BE58" i="1" s="1"/>
  <c r="BB55" i="1"/>
  <c r="BE55" i="1" s="1"/>
  <c r="CS53" i="1" l="1"/>
  <c r="CU53" i="1" s="1"/>
  <c r="CP54" i="1"/>
  <c r="CS54" i="1" s="1"/>
  <c r="BU58" i="1"/>
  <c r="CA58" i="1"/>
  <c r="BX58" i="1"/>
  <c r="FG41" i="1"/>
  <c r="FM41" i="1" s="1"/>
  <c r="FN41" i="1" s="1"/>
  <c r="HG42" i="1"/>
  <c r="FH43" i="1"/>
  <c r="FH42" i="1"/>
  <c r="HG43" i="1"/>
  <c r="FU43" i="1"/>
  <c r="FG43" i="1"/>
  <c r="GS36" i="1"/>
  <c r="GY36" i="1"/>
  <c r="FU42" i="1"/>
  <c r="FG42" i="1"/>
  <c r="FP38" i="1"/>
  <c r="GB38" i="1" s="1"/>
  <c r="FR38" i="1"/>
  <c r="FS38" i="1" s="1"/>
  <c r="DL51" i="1"/>
  <c r="DO51" i="1"/>
  <c r="DS50" i="1"/>
  <c r="DU50" i="1"/>
  <c r="CY52" i="1"/>
  <c r="DO52" i="1" s="1"/>
  <c r="CZ52" i="1"/>
  <c r="DP52" i="1" s="1"/>
  <c r="DA52" i="1"/>
  <c r="DQ52" i="1" s="1"/>
  <c r="DW50" i="1"/>
  <c r="DX50" i="1" s="1"/>
  <c r="DV50" i="1"/>
  <c r="DR50" i="1"/>
  <c r="DN52" i="1"/>
  <c r="DN51" i="1"/>
  <c r="DM52" i="1"/>
  <c r="DM51" i="1"/>
  <c r="DL52" i="1"/>
  <c r="HL61" i="1"/>
  <c r="HK61" i="1"/>
  <c r="HS62" i="1" s="1"/>
  <c r="FQ37" i="1"/>
  <c r="FT37" i="1" s="1"/>
  <c r="FP37" i="1"/>
  <c r="GB37" i="1" s="1"/>
  <c r="DS46" i="1"/>
  <c r="DY46" i="1" s="1"/>
  <c r="DV46" i="1"/>
  <c r="GP37" i="1"/>
  <c r="GD37" i="1"/>
  <c r="DR46" i="1"/>
  <c r="EA46" i="1" s="1"/>
  <c r="HH39" i="1"/>
  <c r="FH40" i="1"/>
  <c r="HH40" i="1"/>
  <c r="DZ47" i="1"/>
  <c r="FG39" i="1"/>
  <c r="FU39" i="1"/>
  <c r="EA47" i="1"/>
  <c r="ED45" i="1"/>
  <c r="EC45" i="1"/>
  <c r="EB45" i="1"/>
  <c r="DQ48" i="1"/>
  <c r="DN48" i="1"/>
  <c r="CV49" i="1"/>
  <c r="CW49" i="1"/>
  <c r="CX49" i="1"/>
  <c r="DQ49" i="1" s="1"/>
  <c r="DO48" i="1"/>
  <c r="DL48" i="1"/>
  <c r="DM48" i="1"/>
  <c r="BX55" i="1"/>
  <c r="BU55" i="1"/>
  <c r="CA55" i="1"/>
  <c r="FH39" i="1"/>
  <c r="DP48" i="1"/>
  <c r="EO44" i="1"/>
  <c r="ER44" i="1" s="1"/>
  <c r="EN44" i="1"/>
  <c r="EM44" i="1"/>
  <c r="FG40" i="1"/>
  <c r="FV40" i="1"/>
  <c r="DY47" i="1"/>
  <c r="AS59" i="1"/>
  <c r="AT59" i="1" s="1"/>
  <c r="BB56" i="1"/>
  <c r="BE56" i="1" s="1"/>
  <c r="BB59" i="1" l="1"/>
  <c r="BE59" i="1" s="1"/>
  <c r="GC38" i="1"/>
  <c r="GH38" i="1" s="1"/>
  <c r="CT53" i="1"/>
  <c r="CV53" i="1" s="1"/>
  <c r="DY50" i="1"/>
  <c r="CU54" i="1"/>
  <c r="CT54" i="1"/>
  <c r="EA50" i="1"/>
  <c r="CY53" i="1"/>
  <c r="CZ53" i="1"/>
  <c r="DA53" i="1"/>
  <c r="BU59" i="1"/>
  <c r="BX59" i="1"/>
  <c r="CA59" i="1"/>
  <c r="CE58" i="1"/>
  <c r="CC58" i="1"/>
  <c r="CB58" i="1"/>
  <c r="CG58" i="1" s="1"/>
  <c r="FW41" i="1"/>
  <c r="FX41" i="1" s="1"/>
  <c r="FZ41" i="1" s="1"/>
  <c r="GA41" i="1" s="1"/>
  <c r="GO38" i="1"/>
  <c r="FJ41" i="1"/>
  <c r="GQ41" i="1" s="1"/>
  <c r="GZ36" i="1"/>
  <c r="FT38" i="1"/>
  <c r="GT36" i="1"/>
  <c r="GR36" i="1"/>
  <c r="HA36" i="1"/>
  <c r="FQ41" i="1"/>
  <c r="FP41" i="1"/>
  <c r="FR41" i="1"/>
  <c r="FW42" i="1"/>
  <c r="FX42" i="1" s="1"/>
  <c r="FZ42" i="1" s="1"/>
  <c r="FJ42" i="1"/>
  <c r="GQ42" i="1" s="1"/>
  <c r="FM42" i="1"/>
  <c r="FN42" i="1" s="1"/>
  <c r="FW43" i="1"/>
  <c r="FX43" i="1" s="1"/>
  <c r="FZ43" i="1" s="1"/>
  <c r="FJ43" i="1"/>
  <c r="GQ43" i="1" s="1"/>
  <c r="FM43" i="1"/>
  <c r="FN43" i="1" s="1"/>
  <c r="DZ50" i="1"/>
  <c r="DS51" i="1"/>
  <c r="DU51" i="1"/>
  <c r="DU52" i="1"/>
  <c r="DS52" i="1"/>
  <c r="DV52" i="1"/>
  <c r="DW52" i="1"/>
  <c r="DX52" i="1" s="1"/>
  <c r="DR52" i="1"/>
  <c r="DR51" i="1"/>
  <c r="DV51" i="1"/>
  <c r="DW51" i="1"/>
  <c r="DX51" i="1" s="1"/>
  <c r="HL62" i="1"/>
  <c r="HK62" i="1"/>
  <c r="HS63" i="1" s="1"/>
  <c r="HN61" i="1"/>
  <c r="HX61" i="1"/>
  <c r="IE61" i="1"/>
  <c r="HY61" i="1"/>
  <c r="ID61" i="1"/>
  <c r="HQ61" i="1"/>
  <c r="HU61" i="1"/>
  <c r="HV61" i="1"/>
  <c r="IC61" i="1"/>
  <c r="HR61" i="1"/>
  <c r="HT61" i="1"/>
  <c r="HM61" i="1"/>
  <c r="IA61" i="1"/>
  <c r="HZ61" i="1"/>
  <c r="HW61" i="1"/>
  <c r="IB61" i="1"/>
  <c r="GO37" i="1"/>
  <c r="GC37" i="1"/>
  <c r="GH37" i="1" s="1"/>
  <c r="FS37" i="1"/>
  <c r="DZ46" i="1"/>
  <c r="ED46" i="1" s="1"/>
  <c r="EJ46" i="1" s="1"/>
  <c r="DL49" i="1"/>
  <c r="FW40" i="1"/>
  <c r="FX40" i="1" s="1"/>
  <c r="FZ40" i="1" s="1"/>
  <c r="FJ40" i="1"/>
  <c r="GQ40" i="1" s="1"/>
  <c r="FM40" i="1"/>
  <c r="FN40" i="1" s="1"/>
  <c r="EP44" i="1"/>
  <c r="EQ44" i="1"/>
  <c r="EZ44" i="1" s="1"/>
  <c r="FC44" i="1" s="1"/>
  <c r="EK45" i="1"/>
  <c r="EF45" i="1"/>
  <c r="EG45" i="1"/>
  <c r="EE45" i="1"/>
  <c r="CA56" i="1"/>
  <c r="BU56" i="1"/>
  <c r="BX56" i="1"/>
  <c r="CC55" i="1"/>
  <c r="CE55" i="1"/>
  <c r="CB55" i="1"/>
  <c r="CG55" i="1" s="1"/>
  <c r="EH45" i="1"/>
  <c r="EL45" i="1"/>
  <c r="EI45" i="1"/>
  <c r="EJ45" i="1"/>
  <c r="DW48" i="1"/>
  <c r="DX48" i="1" s="1"/>
  <c r="DV48" i="1"/>
  <c r="DR48" i="1"/>
  <c r="DO49" i="1"/>
  <c r="DU48" i="1"/>
  <c r="DS48" i="1"/>
  <c r="FJ39" i="1"/>
  <c r="GQ39" i="1" s="1"/>
  <c r="FM39" i="1"/>
  <c r="FN39" i="1" s="1"/>
  <c r="FW39" i="1"/>
  <c r="FX39" i="1" s="1"/>
  <c r="FZ39" i="1" s="1"/>
  <c r="DN49" i="1"/>
  <c r="DP49" i="1"/>
  <c r="DM49" i="1"/>
  <c r="EC47" i="1"/>
  <c r="EB47" i="1"/>
  <c r="ED47" i="1"/>
  <c r="AS60" i="1"/>
  <c r="AT60" i="1" s="1"/>
  <c r="BB60" i="1" s="1"/>
  <c r="BE60" i="1" s="1"/>
  <c r="BB57" i="1"/>
  <c r="BE57" i="1" s="1"/>
  <c r="GG38" i="1" l="1"/>
  <c r="GS38" i="1" s="1"/>
  <c r="GI38" i="1"/>
  <c r="GY38" i="1" s="1"/>
  <c r="GE38" i="1"/>
  <c r="GF38" i="1" s="1"/>
  <c r="CW53" i="1"/>
  <c r="DP53" i="1" s="1"/>
  <c r="CX53" i="1"/>
  <c r="DN53" i="1" s="1"/>
  <c r="DO53" i="1"/>
  <c r="CK58" i="1"/>
  <c r="CF58" i="1"/>
  <c r="CL58" i="1" s="1"/>
  <c r="CH58" i="1"/>
  <c r="CJ58" i="1"/>
  <c r="CM58" i="1" s="1"/>
  <c r="BX60" i="1"/>
  <c r="BU60" i="1"/>
  <c r="CA60" i="1"/>
  <c r="ED50" i="1"/>
  <c r="EL50" i="1" s="1"/>
  <c r="CV54" i="1"/>
  <c r="CW54" i="1"/>
  <c r="CX54" i="1"/>
  <c r="CY54" i="1"/>
  <c r="CZ54" i="1"/>
  <c r="DA54" i="1"/>
  <c r="DL53" i="1"/>
  <c r="DY52" i="1"/>
  <c r="EC50" i="1"/>
  <c r="EG50" i="1" s="1"/>
  <c r="EB50" i="1"/>
  <c r="CB59" i="1"/>
  <c r="CG59" i="1" s="1"/>
  <c r="CC59" i="1"/>
  <c r="CE59" i="1"/>
  <c r="GD41" i="1"/>
  <c r="GP41" i="1"/>
  <c r="FT41" i="1"/>
  <c r="FR43" i="1"/>
  <c r="FQ43" i="1"/>
  <c r="FP43" i="1"/>
  <c r="GD43" i="1"/>
  <c r="GA43" i="1"/>
  <c r="GP43" i="1"/>
  <c r="GO41" i="1"/>
  <c r="GB41" i="1"/>
  <c r="GC41" i="1"/>
  <c r="FR42" i="1"/>
  <c r="FP42" i="1"/>
  <c r="FQ42" i="1"/>
  <c r="FS41" i="1"/>
  <c r="HC36" i="1"/>
  <c r="HD36" i="1"/>
  <c r="GD42" i="1"/>
  <c r="GP42" i="1"/>
  <c r="GA42" i="1"/>
  <c r="DY51" i="1"/>
  <c r="DZ51" i="1"/>
  <c r="EA52" i="1"/>
  <c r="DZ52" i="1"/>
  <c r="EA51" i="1"/>
  <c r="HL63" i="1"/>
  <c r="HK63" i="1"/>
  <c r="HS64" i="1" s="1"/>
  <c r="HN62" i="1"/>
  <c r="HT62" i="1"/>
  <c r="IE62" i="1"/>
  <c r="ID62" i="1"/>
  <c r="HW62" i="1"/>
  <c r="IB62" i="1"/>
  <c r="IA62" i="1"/>
  <c r="HV62" i="1"/>
  <c r="HZ62" i="1"/>
  <c r="HR62" i="1"/>
  <c r="HM62" i="1"/>
  <c r="HY62" i="1"/>
  <c r="HU62" i="1"/>
  <c r="IC62" i="1"/>
  <c r="HX62" i="1"/>
  <c r="HQ62" i="1"/>
  <c r="GG37" i="1"/>
  <c r="GS37" i="1" s="1"/>
  <c r="GE37" i="1"/>
  <c r="GF37" i="1" s="1"/>
  <c r="GI37" i="1"/>
  <c r="GY37" i="1" s="1"/>
  <c r="EH46" i="1"/>
  <c r="EL46" i="1"/>
  <c r="EI46" i="1"/>
  <c r="EB46" i="1"/>
  <c r="EC46" i="1"/>
  <c r="CJ55" i="1"/>
  <c r="CM55" i="1" s="1"/>
  <c r="EA48" i="1"/>
  <c r="DR49" i="1"/>
  <c r="GA40" i="1"/>
  <c r="GP40" i="1"/>
  <c r="GD40" i="1"/>
  <c r="FR40" i="1"/>
  <c r="FQ40" i="1"/>
  <c r="FP40" i="1"/>
  <c r="DS49" i="1"/>
  <c r="DU49" i="1"/>
  <c r="CF55" i="1"/>
  <c r="CL55" i="1" s="1"/>
  <c r="CK55" i="1"/>
  <c r="CH55" i="1"/>
  <c r="EG47" i="1"/>
  <c r="EK47" i="1"/>
  <c r="EE47" i="1"/>
  <c r="EF47" i="1"/>
  <c r="GA39" i="1"/>
  <c r="GD39" i="1"/>
  <c r="GP39" i="1"/>
  <c r="EO45" i="1"/>
  <c r="ER45" i="1" s="1"/>
  <c r="EN45" i="1"/>
  <c r="FR39" i="1"/>
  <c r="FQ39" i="1"/>
  <c r="FP39" i="1"/>
  <c r="DZ48" i="1"/>
  <c r="CE56" i="1"/>
  <c r="CB56" i="1"/>
  <c r="CG56" i="1" s="1"/>
  <c r="CC56" i="1"/>
  <c r="EM45" i="1"/>
  <c r="DW49" i="1"/>
  <c r="DX49" i="1" s="1"/>
  <c r="DV49" i="1"/>
  <c r="EI47" i="1"/>
  <c r="EL47" i="1"/>
  <c r="EJ47" i="1"/>
  <c r="EH47" i="1"/>
  <c r="CA57" i="1"/>
  <c r="BX57" i="1"/>
  <c r="BU57" i="1"/>
  <c r="DY48" i="1"/>
  <c r="FF44" i="1"/>
  <c r="FI44" i="1" s="1"/>
  <c r="FY44" i="1"/>
  <c r="HE44" i="1" s="1"/>
  <c r="EV44" i="1"/>
  <c r="FA44" i="1"/>
  <c r="FB44" i="1"/>
  <c r="AS61" i="1"/>
  <c r="AT61" i="1" s="1"/>
  <c r="BB61" i="1" l="1"/>
  <c r="BE61" i="1" s="1"/>
  <c r="DO54" i="1"/>
  <c r="DQ53" i="1"/>
  <c r="DM53" i="1"/>
  <c r="DW53" i="1" s="1"/>
  <c r="DX53" i="1" s="1"/>
  <c r="CN58" i="1"/>
  <c r="CP58" i="1" s="1"/>
  <c r="CJ59" i="1"/>
  <c r="CM59" i="1" s="1"/>
  <c r="CE60" i="1"/>
  <c r="CB60" i="1"/>
  <c r="CG60" i="1" s="1"/>
  <c r="CC60" i="1"/>
  <c r="CK59" i="1"/>
  <c r="CF59" i="1"/>
  <c r="CL59" i="1" s="1"/>
  <c r="CH59" i="1"/>
  <c r="CR58" i="1"/>
  <c r="DP54" i="1"/>
  <c r="DS53" i="1"/>
  <c r="BU61" i="1"/>
  <c r="CA61" i="1"/>
  <c r="BX61" i="1"/>
  <c r="DQ54" i="1"/>
  <c r="EJ50" i="1"/>
  <c r="EH50" i="1"/>
  <c r="EI50" i="1"/>
  <c r="DU53" i="1"/>
  <c r="DN54" i="1"/>
  <c r="DM54" i="1"/>
  <c r="DL54" i="1"/>
  <c r="EF50" i="1"/>
  <c r="EK50" i="1"/>
  <c r="EE50" i="1"/>
  <c r="FS43" i="1"/>
  <c r="FS42" i="1"/>
  <c r="GE41" i="1"/>
  <c r="GF41" i="1" s="1"/>
  <c r="GG41" i="1"/>
  <c r="GI41" i="1"/>
  <c r="GC42" i="1"/>
  <c r="GB42" i="1"/>
  <c r="GO42" i="1"/>
  <c r="GB43" i="1"/>
  <c r="GO43" i="1"/>
  <c r="GC43" i="1"/>
  <c r="FT42" i="1"/>
  <c r="GH41" i="1"/>
  <c r="FT43" i="1"/>
  <c r="EB52" i="1"/>
  <c r="EC52" i="1"/>
  <c r="ED52" i="1"/>
  <c r="EC51" i="1"/>
  <c r="EB51" i="1"/>
  <c r="ED51" i="1"/>
  <c r="HL64" i="1"/>
  <c r="HK64" i="1"/>
  <c r="HS65" i="1" s="1"/>
  <c r="HN63" i="1"/>
  <c r="IC63" i="1"/>
  <c r="IA63" i="1"/>
  <c r="HT63" i="1"/>
  <c r="HW63" i="1"/>
  <c r="HZ63" i="1"/>
  <c r="HX63" i="1"/>
  <c r="HQ63" i="1"/>
  <c r="IE63" i="1"/>
  <c r="HM63" i="1"/>
  <c r="HV63" i="1"/>
  <c r="IB63" i="1"/>
  <c r="ID63" i="1"/>
  <c r="HY63" i="1"/>
  <c r="HU63" i="1"/>
  <c r="HR63" i="1"/>
  <c r="GZ38" i="1"/>
  <c r="GZ37" i="1"/>
  <c r="GT37" i="1"/>
  <c r="EE46" i="1"/>
  <c r="EF46" i="1"/>
  <c r="EK46" i="1"/>
  <c r="EG46" i="1"/>
  <c r="HA37" i="1"/>
  <c r="HD37" i="1" s="1"/>
  <c r="GR37" i="1"/>
  <c r="EA49" i="1"/>
  <c r="GT38" i="1"/>
  <c r="HA38" i="1"/>
  <c r="HD38" i="1" s="1"/>
  <c r="GR38" i="1"/>
  <c r="DZ49" i="1"/>
  <c r="CJ56" i="1"/>
  <c r="CM56" i="1" s="1"/>
  <c r="FS39" i="1"/>
  <c r="FT40" i="1"/>
  <c r="DY49" i="1"/>
  <c r="EQ45" i="1"/>
  <c r="EZ45" i="1" s="1"/>
  <c r="FC45" i="1" s="1"/>
  <c r="CN55" i="1"/>
  <c r="CP55" i="1" s="1"/>
  <c r="FT39" i="1"/>
  <c r="EM47" i="1"/>
  <c r="EO47" i="1"/>
  <c r="ER47" i="1" s="1"/>
  <c r="EN47" i="1"/>
  <c r="GO40" i="1"/>
  <c r="GC40" i="1"/>
  <c r="GB40" i="1"/>
  <c r="CF56" i="1"/>
  <c r="CL56" i="1" s="1"/>
  <c r="CH56" i="1"/>
  <c r="CK56" i="1"/>
  <c r="EP45" i="1"/>
  <c r="FS40" i="1"/>
  <c r="EW44" i="1"/>
  <c r="HB44" i="1"/>
  <c r="HF44" i="1" s="1"/>
  <c r="HH44" i="1" s="1"/>
  <c r="EX44" i="1"/>
  <c r="FE44" i="1"/>
  <c r="FD44" i="1"/>
  <c r="FV44" i="1" s="1"/>
  <c r="CE57" i="1"/>
  <c r="CC57" i="1"/>
  <c r="CB57" i="1"/>
  <c r="CG57" i="1" s="1"/>
  <c r="CR55" i="1"/>
  <c r="GO39" i="1"/>
  <c r="GB39" i="1"/>
  <c r="GC39" i="1"/>
  <c r="FL44" i="1"/>
  <c r="FO44" i="1"/>
  <c r="ED48" i="1"/>
  <c r="EB48" i="1"/>
  <c r="EC48" i="1"/>
  <c r="DY53" i="1" l="1"/>
  <c r="CQ58" i="1"/>
  <c r="CS58" i="1" s="1"/>
  <c r="CU58" i="1" s="1"/>
  <c r="DV53" i="1"/>
  <c r="DR53" i="1"/>
  <c r="CR59" i="1"/>
  <c r="CJ60" i="1"/>
  <c r="CM60" i="1" s="1"/>
  <c r="CN59" i="1"/>
  <c r="CP59" i="1" s="1"/>
  <c r="CK60" i="1"/>
  <c r="CH60" i="1"/>
  <c r="CF60" i="1"/>
  <c r="CL60" i="1" s="1"/>
  <c r="DS54" i="1"/>
  <c r="EN50" i="1"/>
  <c r="DU54" i="1"/>
  <c r="CB61" i="1"/>
  <c r="CG61" i="1" s="1"/>
  <c r="CC61" i="1"/>
  <c r="CE61" i="1"/>
  <c r="EM50" i="1"/>
  <c r="EO50" i="1"/>
  <c r="ER50" i="1" s="1"/>
  <c r="DV54" i="1"/>
  <c r="DW54" i="1"/>
  <c r="DX54" i="1" s="1"/>
  <c r="DR54" i="1"/>
  <c r="EA53" i="1"/>
  <c r="GI43" i="1"/>
  <c r="GG42" i="1"/>
  <c r="GE42" i="1"/>
  <c r="GF42" i="1" s="1"/>
  <c r="GS41" i="1"/>
  <c r="GY41" i="1"/>
  <c r="GH42" i="1"/>
  <c r="GI42" i="1"/>
  <c r="GG43" i="1"/>
  <c r="GE43" i="1"/>
  <c r="GF43" i="1" s="1"/>
  <c r="GH43" i="1"/>
  <c r="EL52" i="1"/>
  <c r="EJ52" i="1"/>
  <c r="EI52" i="1"/>
  <c r="EH52" i="1"/>
  <c r="EK52" i="1"/>
  <c r="EF52" i="1"/>
  <c r="EG52" i="1"/>
  <c r="EE52" i="1"/>
  <c r="EK51" i="1"/>
  <c r="EG51" i="1"/>
  <c r="EF51" i="1"/>
  <c r="EE51" i="1"/>
  <c r="EL51" i="1"/>
  <c r="EJ51" i="1"/>
  <c r="EI51" i="1"/>
  <c r="EH51" i="1"/>
  <c r="HL65" i="1"/>
  <c r="HK65" i="1"/>
  <c r="HS66" i="1" s="1"/>
  <c r="HN64" i="1"/>
  <c r="HZ64" i="1"/>
  <c r="HM64" i="1"/>
  <c r="IE64" i="1"/>
  <c r="HQ64" i="1"/>
  <c r="HV64" i="1"/>
  <c r="HW64" i="1"/>
  <c r="ID64" i="1"/>
  <c r="IC64" i="1"/>
  <c r="HY64" i="1"/>
  <c r="HT64" i="1"/>
  <c r="HX64" i="1"/>
  <c r="IB64" i="1"/>
  <c r="HU64" i="1"/>
  <c r="IA64" i="1"/>
  <c r="HR64" i="1"/>
  <c r="CR56" i="1"/>
  <c r="EN46" i="1"/>
  <c r="EO46" i="1"/>
  <c r="ER46" i="1" s="1"/>
  <c r="EM46" i="1"/>
  <c r="HC38" i="1"/>
  <c r="HC37" i="1"/>
  <c r="ED49" i="1"/>
  <c r="EH49" i="1" s="1"/>
  <c r="EB49" i="1"/>
  <c r="EC49" i="1"/>
  <c r="EG49" i="1" s="1"/>
  <c r="CQ55" i="1"/>
  <c r="CS55" i="1" s="1"/>
  <c r="CU55" i="1" s="1"/>
  <c r="GH39" i="1"/>
  <c r="HG44" i="1"/>
  <c r="GH40" i="1"/>
  <c r="CJ57" i="1"/>
  <c r="CM57" i="1" s="1"/>
  <c r="EQ47" i="1"/>
  <c r="EZ47" i="1" s="1"/>
  <c r="FC47" i="1" s="1"/>
  <c r="EP47" i="1"/>
  <c r="GE39" i="1"/>
  <c r="GF39" i="1" s="1"/>
  <c r="GG39" i="1"/>
  <c r="GG40" i="1"/>
  <c r="GE40" i="1"/>
  <c r="GF40" i="1" s="1"/>
  <c r="FU44" i="1"/>
  <c r="FG44" i="1"/>
  <c r="GI40" i="1"/>
  <c r="EV45" i="1"/>
  <c r="FA45" i="1"/>
  <c r="FB45" i="1"/>
  <c r="GI39" i="1"/>
  <c r="CN56" i="1"/>
  <c r="CP56" i="1" s="1"/>
  <c r="EJ48" i="1"/>
  <c r="EL48" i="1"/>
  <c r="EH48" i="1"/>
  <c r="EI48" i="1"/>
  <c r="EK48" i="1"/>
  <c r="EG48" i="1"/>
  <c r="EE48" i="1"/>
  <c r="EF48" i="1"/>
  <c r="CF57" i="1"/>
  <c r="CL57" i="1" s="1"/>
  <c r="CK57" i="1"/>
  <c r="CH57" i="1"/>
  <c r="FH44" i="1"/>
  <c r="FF45" i="1"/>
  <c r="FI45" i="1" s="1"/>
  <c r="FY45" i="1"/>
  <c r="HE45" i="1" s="1"/>
  <c r="CJ61" i="1" l="1"/>
  <c r="CM61" i="1" s="1"/>
  <c r="DZ53" i="1"/>
  <c r="EB53" i="1" s="1"/>
  <c r="CR60" i="1"/>
  <c r="DY54" i="1"/>
  <c r="CQ59" i="1"/>
  <c r="CS59" i="1" s="1"/>
  <c r="CT59" i="1" s="1"/>
  <c r="CT58" i="1"/>
  <c r="CV58" i="1" s="1"/>
  <c r="CN60" i="1"/>
  <c r="CP60" i="1" s="1"/>
  <c r="EP50" i="1"/>
  <c r="EV50" i="1" s="1"/>
  <c r="CK61" i="1"/>
  <c r="CH61" i="1"/>
  <c r="CF61" i="1"/>
  <c r="CL61" i="1" s="1"/>
  <c r="EQ50" i="1"/>
  <c r="EZ50" i="1" s="1"/>
  <c r="FC50" i="1" s="1"/>
  <c r="FY50" i="1" s="1"/>
  <c r="HE50" i="1" s="1"/>
  <c r="EA54" i="1"/>
  <c r="DZ54" i="1"/>
  <c r="CY58" i="1"/>
  <c r="CZ58" i="1"/>
  <c r="DA58" i="1"/>
  <c r="GY43" i="1"/>
  <c r="GS43" i="1"/>
  <c r="GZ41" i="1"/>
  <c r="HA41" i="1"/>
  <c r="GR41" i="1"/>
  <c r="GT41" i="1"/>
  <c r="GS42" i="1"/>
  <c r="GY42" i="1"/>
  <c r="EM52" i="1"/>
  <c r="EN52" i="1"/>
  <c r="EO52" i="1"/>
  <c r="ER52" i="1" s="1"/>
  <c r="EN51" i="1"/>
  <c r="EM51" i="1"/>
  <c r="EO51" i="1"/>
  <c r="ER51" i="1" s="1"/>
  <c r="HL66" i="1"/>
  <c r="HK66" i="1"/>
  <c r="HS67" i="1" s="1"/>
  <c r="HN65" i="1"/>
  <c r="IB65" i="1"/>
  <c r="HT65" i="1"/>
  <c r="HR65" i="1"/>
  <c r="HZ65" i="1"/>
  <c r="HQ65" i="1"/>
  <c r="HY65" i="1"/>
  <c r="ID65" i="1"/>
  <c r="HX65" i="1"/>
  <c r="HM65" i="1"/>
  <c r="IE65" i="1"/>
  <c r="IC65" i="1"/>
  <c r="HV65" i="1"/>
  <c r="HU65" i="1"/>
  <c r="HW65" i="1"/>
  <c r="IA65" i="1"/>
  <c r="EP46" i="1"/>
  <c r="EQ46" i="1"/>
  <c r="EZ46" i="1" s="1"/>
  <c r="FC46" i="1" s="1"/>
  <c r="GY40" i="1"/>
  <c r="EI49" i="1"/>
  <c r="EJ49" i="1"/>
  <c r="EL49" i="1"/>
  <c r="CR57" i="1"/>
  <c r="EK49" i="1"/>
  <c r="EE49" i="1"/>
  <c r="EF49" i="1"/>
  <c r="GS39" i="1"/>
  <c r="GY39" i="1"/>
  <c r="GS40" i="1"/>
  <c r="CQ56" i="1"/>
  <c r="CS56" i="1" s="1"/>
  <c r="CT56" i="1" s="1"/>
  <c r="EO48" i="1"/>
  <c r="ER48" i="1" s="1"/>
  <c r="CN57" i="1"/>
  <c r="CQ57" i="1" s="1"/>
  <c r="EV47" i="1"/>
  <c r="FB47" i="1"/>
  <c r="FA47" i="1"/>
  <c r="FF47" i="1"/>
  <c r="FI47" i="1" s="1"/>
  <c r="FY47" i="1"/>
  <c r="HE47" i="1" s="1"/>
  <c r="CT55" i="1"/>
  <c r="FE45" i="1"/>
  <c r="FJ44" i="1"/>
  <c r="GQ44" i="1" s="1"/>
  <c r="FW44" i="1"/>
  <c r="FX44" i="1" s="1"/>
  <c r="FZ44" i="1" s="1"/>
  <c r="FM44" i="1"/>
  <c r="FN44" i="1" s="1"/>
  <c r="CY55" i="1"/>
  <c r="CZ55" i="1"/>
  <c r="DA55" i="1"/>
  <c r="FL45" i="1"/>
  <c r="FO45" i="1"/>
  <c r="EW45" i="1"/>
  <c r="HB45" i="1"/>
  <c r="HF45" i="1" s="1"/>
  <c r="HG45" i="1" s="1"/>
  <c r="EX45" i="1"/>
  <c r="FD45" i="1"/>
  <c r="FV45" i="1" s="1"/>
  <c r="EM48" i="1"/>
  <c r="EN48" i="1"/>
  <c r="AS62" i="1"/>
  <c r="AT62" i="1" s="1"/>
  <c r="BB62" i="1" l="1"/>
  <c r="BE62" i="1" s="1"/>
  <c r="EC53" i="1"/>
  <c r="EK53" i="1" s="1"/>
  <c r="ED53" i="1"/>
  <c r="EH53" i="1" s="1"/>
  <c r="CW58" i="1"/>
  <c r="DM58" i="1" s="1"/>
  <c r="FF50" i="1"/>
  <c r="FI50" i="1" s="1"/>
  <c r="CX58" i="1"/>
  <c r="DQ58" i="1" s="1"/>
  <c r="CQ60" i="1"/>
  <c r="CS60" i="1" s="1"/>
  <c r="CT60" i="1" s="1"/>
  <c r="CU59" i="1"/>
  <c r="CY59" i="1" s="1"/>
  <c r="FB50" i="1"/>
  <c r="BU62" i="1"/>
  <c r="BX62" i="1"/>
  <c r="CA62" i="1"/>
  <c r="FA50" i="1"/>
  <c r="CN61" i="1"/>
  <c r="CQ61" i="1" s="1"/>
  <c r="CR61" i="1"/>
  <c r="ED54" i="1"/>
  <c r="EB54" i="1"/>
  <c r="EC54" i="1"/>
  <c r="EL53" i="1"/>
  <c r="CV59" i="1"/>
  <c r="CW59" i="1"/>
  <c r="CX59" i="1"/>
  <c r="DL58" i="1"/>
  <c r="DO58" i="1"/>
  <c r="GT43" i="1"/>
  <c r="GZ43" i="1"/>
  <c r="HA43" i="1"/>
  <c r="HD43" i="1" s="1"/>
  <c r="GR43" i="1"/>
  <c r="HC41" i="1"/>
  <c r="HD41" i="1"/>
  <c r="GZ42" i="1"/>
  <c r="GT42" i="1"/>
  <c r="GR42" i="1"/>
  <c r="HA42" i="1"/>
  <c r="EW50" i="1"/>
  <c r="HB50" i="1"/>
  <c r="HF50" i="1" s="1"/>
  <c r="HH50" i="1" s="1"/>
  <c r="EX50" i="1"/>
  <c r="EP51" i="1"/>
  <c r="EQ51" i="1"/>
  <c r="EZ51" i="1" s="1"/>
  <c r="FC51" i="1" s="1"/>
  <c r="EP52" i="1"/>
  <c r="EQ52" i="1"/>
  <c r="EZ52" i="1" s="1"/>
  <c r="FC52" i="1" s="1"/>
  <c r="HL67" i="1"/>
  <c r="HK67" i="1"/>
  <c r="HS68" i="1" s="1"/>
  <c r="HN66" i="1"/>
  <c r="HU66" i="1"/>
  <c r="HX66" i="1"/>
  <c r="IC66" i="1"/>
  <c r="HR66" i="1"/>
  <c r="HT66" i="1"/>
  <c r="HQ66" i="1"/>
  <c r="IB66" i="1"/>
  <c r="HW66" i="1"/>
  <c r="HY66" i="1"/>
  <c r="IE66" i="1"/>
  <c r="IA66" i="1"/>
  <c r="HV66" i="1"/>
  <c r="HM66" i="1"/>
  <c r="ID66" i="1"/>
  <c r="HZ66" i="1"/>
  <c r="GT40" i="1"/>
  <c r="HA39" i="1"/>
  <c r="HC39" i="1" s="1"/>
  <c r="GZ40" i="1"/>
  <c r="FY46" i="1"/>
  <c r="HE46" i="1" s="1"/>
  <c r="FF46" i="1"/>
  <c r="FI46" i="1" s="1"/>
  <c r="EV46" i="1"/>
  <c r="FB46" i="1"/>
  <c r="FA46" i="1"/>
  <c r="EN49" i="1"/>
  <c r="EO49" i="1"/>
  <c r="ER49" i="1" s="1"/>
  <c r="EM49" i="1"/>
  <c r="GZ39" i="1"/>
  <c r="HA40" i="1"/>
  <c r="HC40" i="1" s="1"/>
  <c r="GR40" i="1"/>
  <c r="GR39" i="1"/>
  <c r="GT39" i="1"/>
  <c r="FH45" i="1"/>
  <c r="CU56" i="1"/>
  <c r="CY56" i="1" s="1"/>
  <c r="GA44" i="1"/>
  <c r="GP44" i="1"/>
  <c r="GD44" i="1"/>
  <c r="FU45" i="1"/>
  <c r="FG45" i="1"/>
  <c r="CP57" i="1"/>
  <c r="CS57" i="1" s="1"/>
  <c r="FR44" i="1"/>
  <c r="FQ44" i="1"/>
  <c r="FP44" i="1"/>
  <c r="EQ48" i="1"/>
  <c r="EZ48" i="1" s="1"/>
  <c r="FC48" i="1" s="1"/>
  <c r="EP48" i="1"/>
  <c r="CV55" i="1"/>
  <c r="CW55" i="1"/>
  <c r="CX55" i="1"/>
  <c r="FL47" i="1"/>
  <c r="FO47" i="1"/>
  <c r="CV56" i="1"/>
  <c r="CW56" i="1"/>
  <c r="CX56" i="1"/>
  <c r="HH45" i="1"/>
  <c r="EW47" i="1"/>
  <c r="HB47" i="1"/>
  <c r="HF47" i="1" s="1"/>
  <c r="HG47" i="1" s="1"/>
  <c r="EX47" i="1"/>
  <c r="FD47" i="1"/>
  <c r="FV47" i="1" s="1"/>
  <c r="FE47" i="1"/>
  <c r="AS63" i="1"/>
  <c r="AT63" i="1" s="1"/>
  <c r="BB63" i="1" s="1"/>
  <c r="BE63" i="1" s="1"/>
  <c r="EF53" i="1" l="1"/>
  <c r="EG53" i="1"/>
  <c r="EE53" i="1"/>
  <c r="DN58" i="1"/>
  <c r="DW58" i="1" s="1"/>
  <c r="DX58" i="1" s="1"/>
  <c r="EJ53" i="1"/>
  <c r="EO53" i="1" s="1"/>
  <c r="ER53" i="1" s="1"/>
  <c r="EI53" i="1"/>
  <c r="EN53" i="1" s="1"/>
  <c r="DP58" i="1"/>
  <c r="DS58" i="1" s="1"/>
  <c r="FD50" i="1"/>
  <c r="FV50" i="1" s="1"/>
  <c r="DA59" i="1"/>
  <c r="DQ59" i="1" s="1"/>
  <c r="CZ59" i="1"/>
  <c r="DP59" i="1" s="1"/>
  <c r="CU60" i="1"/>
  <c r="CZ60" i="1" s="1"/>
  <c r="DO59" i="1"/>
  <c r="CV60" i="1"/>
  <c r="CW60" i="1"/>
  <c r="CX60" i="1"/>
  <c r="CA63" i="1"/>
  <c r="BU63" i="1"/>
  <c r="BX63" i="1"/>
  <c r="CC62" i="1"/>
  <c r="CB62" i="1"/>
  <c r="CG62" i="1" s="1"/>
  <c r="CE62" i="1"/>
  <c r="FO50" i="1"/>
  <c r="FL50" i="1"/>
  <c r="FE50" i="1"/>
  <c r="FH50" i="1" s="1"/>
  <c r="CP61" i="1"/>
  <c r="CS61" i="1" s="1"/>
  <c r="EK54" i="1"/>
  <c r="EE54" i="1"/>
  <c r="EG54" i="1"/>
  <c r="EF54" i="1"/>
  <c r="HG50" i="1"/>
  <c r="EL54" i="1"/>
  <c r="EJ54" i="1"/>
  <c r="EH54" i="1"/>
  <c r="EI54" i="1"/>
  <c r="EM53" i="1"/>
  <c r="DR58" i="1"/>
  <c r="DN59" i="1"/>
  <c r="DM59" i="1"/>
  <c r="DL59" i="1"/>
  <c r="HC43" i="1"/>
  <c r="HD39" i="1"/>
  <c r="HD42" i="1"/>
  <c r="HC42" i="1"/>
  <c r="FF52" i="1"/>
  <c r="FI52" i="1" s="1"/>
  <c r="FY52" i="1"/>
  <c r="HE52" i="1" s="1"/>
  <c r="FA52" i="1"/>
  <c r="FB52" i="1"/>
  <c r="EV52" i="1"/>
  <c r="FU50" i="1"/>
  <c r="FY51" i="1"/>
  <c r="HE51" i="1" s="1"/>
  <c r="FF51" i="1"/>
  <c r="FI51" i="1" s="1"/>
  <c r="FB51" i="1"/>
  <c r="EV51" i="1"/>
  <c r="FA51" i="1"/>
  <c r="HL68" i="1"/>
  <c r="HK68" i="1"/>
  <c r="HS69" i="1" s="1"/>
  <c r="HN67" i="1"/>
  <c r="ID67" i="1"/>
  <c r="HM67" i="1"/>
  <c r="HU67" i="1"/>
  <c r="HX67" i="1"/>
  <c r="IE67" i="1"/>
  <c r="HT67" i="1"/>
  <c r="HW67" i="1"/>
  <c r="HR67" i="1"/>
  <c r="IB67" i="1"/>
  <c r="IC67" i="1"/>
  <c r="IA67" i="1"/>
  <c r="HQ67" i="1"/>
  <c r="HZ67" i="1"/>
  <c r="HV67" i="1"/>
  <c r="HY67" i="1"/>
  <c r="FL46" i="1"/>
  <c r="FO46" i="1"/>
  <c r="EW46" i="1"/>
  <c r="EX46" i="1"/>
  <c r="HB46" i="1"/>
  <c r="HF46" i="1" s="1"/>
  <c r="FD46" i="1"/>
  <c r="FV46" i="1" s="1"/>
  <c r="FE46" i="1"/>
  <c r="EP49" i="1"/>
  <c r="EV49" i="1" s="1"/>
  <c r="EQ49" i="1"/>
  <c r="EZ49" i="1" s="1"/>
  <c r="FC49" i="1" s="1"/>
  <c r="FY49" i="1" s="1"/>
  <c r="HE49" i="1" s="1"/>
  <c r="HD40" i="1"/>
  <c r="DA56" i="1"/>
  <c r="DQ56" i="1" s="1"/>
  <c r="CZ56" i="1"/>
  <c r="DP56" i="1" s="1"/>
  <c r="CT57" i="1"/>
  <c r="CX57" i="1" s="1"/>
  <c r="CU57" i="1"/>
  <c r="CZ57" i="1" s="1"/>
  <c r="FH47" i="1"/>
  <c r="DO56" i="1"/>
  <c r="DP55" i="1"/>
  <c r="DM55" i="1"/>
  <c r="HH47" i="1"/>
  <c r="DM56" i="1"/>
  <c r="DO55" i="1"/>
  <c r="DL55" i="1"/>
  <c r="DL56" i="1"/>
  <c r="EV48" i="1"/>
  <c r="FA48" i="1"/>
  <c r="FB48" i="1"/>
  <c r="FM45" i="1"/>
  <c r="FN45" i="1" s="1"/>
  <c r="FW45" i="1"/>
  <c r="FX45" i="1" s="1"/>
  <c r="FZ45" i="1" s="1"/>
  <c r="FJ45" i="1"/>
  <c r="GQ45" i="1" s="1"/>
  <c r="FU47" i="1"/>
  <c r="FG47" i="1"/>
  <c r="GB44" i="1"/>
  <c r="GO44" i="1"/>
  <c r="GC44" i="1"/>
  <c r="FF48" i="1"/>
  <c r="FI48" i="1" s="1"/>
  <c r="FY48" i="1"/>
  <c r="HE48" i="1" s="1"/>
  <c r="FT44" i="1"/>
  <c r="FS44" i="1"/>
  <c r="DQ55" i="1"/>
  <c r="DN55" i="1"/>
  <c r="DN56" i="1"/>
  <c r="AS64" i="1"/>
  <c r="AT64" i="1" s="1"/>
  <c r="BB64" i="1" l="1"/>
  <c r="BE64" i="1" s="1"/>
  <c r="DV58" i="1"/>
  <c r="DZ58" i="1" s="1"/>
  <c r="DU58" i="1"/>
  <c r="DY58" i="1" s="1"/>
  <c r="FG50" i="1"/>
  <c r="FM50" i="1" s="1"/>
  <c r="FN50" i="1" s="1"/>
  <c r="DS59" i="1"/>
  <c r="DP60" i="1"/>
  <c r="DA60" i="1"/>
  <c r="DQ60" i="1" s="1"/>
  <c r="CY60" i="1"/>
  <c r="DO60" i="1" s="1"/>
  <c r="DU59" i="1"/>
  <c r="EA58" i="1"/>
  <c r="DN60" i="1"/>
  <c r="DM60" i="1"/>
  <c r="DL60" i="1"/>
  <c r="BU64" i="1"/>
  <c r="CA64" i="1"/>
  <c r="BX64" i="1"/>
  <c r="CC63" i="1"/>
  <c r="CB63" i="1"/>
  <c r="CG63" i="1" s="1"/>
  <c r="CE63" i="1"/>
  <c r="CJ62" i="1"/>
  <c r="CM62" i="1" s="1"/>
  <c r="CK62" i="1"/>
  <c r="CF62" i="1"/>
  <c r="CL62" i="1" s="1"/>
  <c r="CH62" i="1"/>
  <c r="CU61" i="1"/>
  <c r="CT61" i="1"/>
  <c r="EM54" i="1"/>
  <c r="EN54" i="1"/>
  <c r="EO54" i="1"/>
  <c r="ER54" i="1" s="1"/>
  <c r="EQ53" i="1"/>
  <c r="EZ53" i="1" s="1"/>
  <c r="FC53" i="1" s="1"/>
  <c r="EP53" i="1"/>
  <c r="DV59" i="1"/>
  <c r="DW59" i="1"/>
  <c r="DX59" i="1" s="1"/>
  <c r="DR59" i="1"/>
  <c r="FL51" i="1"/>
  <c r="FO51" i="1"/>
  <c r="EW52" i="1"/>
  <c r="FE52" i="1"/>
  <c r="HB52" i="1"/>
  <c r="HF52" i="1" s="1"/>
  <c r="HH52" i="1" s="1"/>
  <c r="FD52" i="1"/>
  <c r="FV52" i="1" s="1"/>
  <c r="EX52" i="1"/>
  <c r="FJ50" i="1"/>
  <c r="GQ50" i="1" s="1"/>
  <c r="FE51" i="1"/>
  <c r="FD51" i="1"/>
  <c r="FV51" i="1" s="1"/>
  <c r="EX51" i="1"/>
  <c r="HB51" i="1"/>
  <c r="HF51" i="1" s="1"/>
  <c r="HG51" i="1" s="1"/>
  <c r="EW51" i="1"/>
  <c r="FL52" i="1"/>
  <c r="FO52" i="1"/>
  <c r="HL69" i="1"/>
  <c r="HK69" i="1"/>
  <c r="HS70" i="1" s="1"/>
  <c r="HN68" i="1"/>
  <c r="HU68" i="1"/>
  <c r="IC68" i="1"/>
  <c r="IA68" i="1"/>
  <c r="HW68" i="1"/>
  <c r="IB68" i="1"/>
  <c r="HY68" i="1"/>
  <c r="HR68" i="1"/>
  <c r="HX68" i="1"/>
  <c r="HZ68" i="1"/>
  <c r="IE68" i="1"/>
  <c r="HQ68" i="1"/>
  <c r="HV68" i="1"/>
  <c r="HT68" i="1"/>
  <c r="ID68" i="1"/>
  <c r="HM68" i="1"/>
  <c r="HH46" i="1"/>
  <c r="HG46" i="1"/>
  <c r="FH46" i="1"/>
  <c r="FG46" i="1"/>
  <c r="FU46" i="1"/>
  <c r="FF49" i="1"/>
  <c r="FI49" i="1" s="1"/>
  <c r="FB49" i="1"/>
  <c r="DA57" i="1"/>
  <c r="DQ57" i="1" s="1"/>
  <c r="FA49" i="1"/>
  <c r="CY57" i="1"/>
  <c r="CW57" i="1"/>
  <c r="DP57" i="1" s="1"/>
  <c r="DU56" i="1"/>
  <c r="DS56" i="1"/>
  <c r="CV57" i="1"/>
  <c r="DL57" i="1" s="1"/>
  <c r="DW56" i="1"/>
  <c r="DX56" i="1" s="1"/>
  <c r="DR56" i="1"/>
  <c r="DV56" i="1"/>
  <c r="FL48" i="1"/>
  <c r="FO48" i="1"/>
  <c r="GI44" i="1"/>
  <c r="GH44" i="1"/>
  <c r="EW49" i="1"/>
  <c r="EX49" i="1"/>
  <c r="HB49" i="1"/>
  <c r="HF49" i="1" s="1"/>
  <c r="HH49" i="1" s="1"/>
  <c r="EX48" i="1"/>
  <c r="HB48" i="1"/>
  <c r="HF48" i="1" s="1"/>
  <c r="HG48" i="1" s="1"/>
  <c r="EW48" i="1"/>
  <c r="FE48" i="1"/>
  <c r="FD48" i="1"/>
  <c r="FV48" i="1" s="1"/>
  <c r="DV55" i="1"/>
  <c r="DR55" i="1"/>
  <c r="DW55" i="1"/>
  <c r="DX55" i="1" s="1"/>
  <c r="FW47" i="1"/>
  <c r="FX47" i="1" s="1"/>
  <c r="FZ47" i="1" s="1"/>
  <c r="FJ47" i="1"/>
  <c r="GQ47" i="1" s="1"/>
  <c r="FM47" i="1"/>
  <c r="FN47" i="1" s="1"/>
  <c r="DS55" i="1"/>
  <c r="DU55" i="1"/>
  <c r="GA45" i="1"/>
  <c r="GD45" i="1"/>
  <c r="GP45" i="1"/>
  <c r="DN57" i="1"/>
  <c r="GE44" i="1"/>
  <c r="GF44" i="1" s="1"/>
  <c r="GG44" i="1"/>
  <c r="FQ45" i="1"/>
  <c r="FP45" i="1"/>
  <c r="FR45" i="1"/>
  <c r="AS65" i="1"/>
  <c r="AT65" i="1" s="1"/>
  <c r="BB65" i="1" s="1"/>
  <c r="BE65" i="1" s="1"/>
  <c r="FW50" i="1" l="1"/>
  <c r="FX50" i="1" s="1"/>
  <c r="FZ50" i="1" s="1"/>
  <c r="GP50" i="1" s="1"/>
  <c r="DY59" i="1"/>
  <c r="DU60" i="1"/>
  <c r="DS60" i="1"/>
  <c r="DR60" i="1"/>
  <c r="DV60" i="1"/>
  <c r="DW60" i="1"/>
  <c r="DX60" i="1" s="1"/>
  <c r="EA59" i="1"/>
  <c r="BU65" i="1"/>
  <c r="CA65" i="1"/>
  <c r="BX65" i="1"/>
  <c r="CC64" i="1"/>
  <c r="CB64" i="1"/>
  <c r="CG64" i="1" s="1"/>
  <c r="CE64" i="1"/>
  <c r="CJ64" i="1" s="1"/>
  <c r="CJ63" i="1"/>
  <c r="CM63" i="1" s="1"/>
  <c r="CK63" i="1"/>
  <c r="CF63" i="1"/>
  <c r="CL63" i="1" s="1"/>
  <c r="CH63" i="1"/>
  <c r="CN62" i="1"/>
  <c r="CQ62" i="1" s="1"/>
  <c r="CR62" i="1"/>
  <c r="CV61" i="1"/>
  <c r="CW61" i="1"/>
  <c r="CX61" i="1"/>
  <c r="CY61" i="1"/>
  <c r="CZ61" i="1"/>
  <c r="DA61" i="1"/>
  <c r="EP54" i="1"/>
  <c r="EQ54" i="1"/>
  <c r="EZ54" i="1" s="1"/>
  <c r="FC54" i="1" s="1"/>
  <c r="FB53" i="1"/>
  <c r="EV53" i="1"/>
  <c r="FA53" i="1"/>
  <c r="HG52" i="1"/>
  <c r="FF53" i="1"/>
  <c r="FI53" i="1" s="1"/>
  <c r="FY53" i="1"/>
  <c r="HE53" i="1" s="1"/>
  <c r="FH52" i="1"/>
  <c r="FH51" i="1"/>
  <c r="DZ59" i="1"/>
  <c r="ED58" i="1"/>
  <c r="EB58" i="1"/>
  <c r="EC58" i="1"/>
  <c r="FU51" i="1"/>
  <c r="FG51" i="1"/>
  <c r="FU52" i="1"/>
  <c r="FG52" i="1"/>
  <c r="FR50" i="1"/>
  <c r="FQ50" i="1"/>
  <c r="FP50" i="1"/>
  <c r="HH51" i="1"/>
  <c r="HL70" i="1"/>
  <c r="HK70" i="1"/>
  <c r="HS71" i="1" s="1"/>
  <c r="HN69" i="1"/>
  <c r="IA69" i="1"/>
  <c r="HY69" i="1"/>
  <c r="HX69" i="1"/>
  <c r="HW69" i="1"/>
  <c r="IE69" i="1"/>
  <c r="IB69" i="1"/>
  <c r="ID69" i="1"/>
  <c r="HZ69" i="1"/>
  <c r="HU69" i="1"/>
  <c r="HV69" i="1"/>
  <c r="IC69" i="1"/>
  <c r="HQ69" i="1"/>
  <c r="HM69" i="1"/>
  <c r="HT69" i="1"/>
  <c r="HR69" i="1"/>
  <c r="FE49" i="1"/>
  <c r="FH49" i="1" s="1"/>
  <c r="FW46" i="1"/>
  <c r="FX46" i="1" s="1"/>
  <c r="FZ46" i="1" s="1"/>
  <c r="FM46" i="1"/>
  <c r="FN46" i="1" s="1"/>
  <c r="FJ46" i="1"/>
  <c r="GQ46" i="1" s="1"/>
  <c r="FL49" i="1"/>
  <c r="FD49" i="1"/>
  <c r="FV49" i="1" s="1"/>
  <c r="FO49" i="1"/>
  <c r="DY56" i="1"/>
  <c r="DM57" i="1"/>
  <c r="DR57" i="1" s="1"/>
  <c r="HH48" i="1"/>
  <c r="DO57" i="1"/>
  <c r="DY55" i="1"/>
  <c r="HG49" i="1"/>
  <c r="FT45" i="1"/>
  <c r="GA47" i="1"/>
  <c r="GP47" i="1"/>
  <c r="GD47" i="1"/>
  <c r="FH48" i="1"/>
  <c r="FU49" i="1"/>
  <c r="FU48" i="1"/>
  <c r="FG48" i="1"/>
  <c r="GS44" i="1"/>
  <c r="GY44" i="1"/>
  <c r="DZ56" i="1"/>
  <c r="GB45" i="1"/>
  <c r="GO45" i="1"/>
  <c r="GC45" i="1"/>
  <c r="EA55" i="1"/>
  <c r="EA56" i="1"/>
  <c r="FS45" i="1"/>
  <c r="FQ47" i="1"/>
  <c r="FP47" i="1"/>
  <c r="FR47" i="1"/>
  <c r="DZ55" i="1"/>
  <c r="AS66" i="1"/>
  <c r="AT66" i="1" s="1"/>
  <c r="BB66" i="1" l="1"/>
  <c r="BE66" i="1" s="1"/>
  <c r="GD50" i="1"/>
  <c r="GA50" i="1"/>
  <c r="DY60" i="1"/>
  <c r="DW57" i="1"/>
  <c r="DX57" i="1" s="1"/>
  <c r="EA57" i="1" s="1"/>
  <c r="EA60" i="1"/>
  <c r="DZ60" i="1"/>
  <c r="CA66" i="1"/>
  <c r="BX66" i="1"/>
  <c r="BU66" i="1"/>
  <c r="DQ61" i="1"/>
  <c r="CE65" i="1"/>
  <c r="CB65" i="1"/>
  <c r="CG65" i="1" s="1"/>
  <c r="CC65" i="1"/>
  <c r="CM64" i="1"/>
  <c r="CK64" i="1"/>
  <c r="CF64" i="1"/>
  <c r="CL64" i="1" s="1"/>
  <c r="CH64" i="1"/>
  <c r="CN63" i="1"/>
  <c r="CQ63" i="1" s="1"/>
  <c r="CR63" i="1"/>
  <c r="DP61" i="1"/>
  <c r="DO61" i="1"/>
  <c r="CP62" i="1"/>
  <c r="CS62" i="1" s="1"/>
  <c r="DN61" i="1"/>
  <c r="DM61" i="1"/>
  <c r="DL61" i="1"/>
  <c r="FF54" i="1"/>
  <c r="FI54" i="1" s="1"/>
  <c r="FY54" i="1"/>
  <c r="HE54" i="1" s="1"/>
  <c r="FB54" i="1"/>
  <c r="EV54" i="1"/>
  <c r="FA54" i="1"/>
  <c r="FL53" i="1"/>
  <c r="FO53" i="1"/>
  <c r="EX53" i="1"/>
  <c r="FE53" i="1"/>
  <c r="EW53" i="1"/>
  <c r="FD53" i="1"/>
  <c r="FV53" i="1" s="1"/>
  <c r="HB53" i="1"/>
  <c r="HF53" i="1" s="1"/>
  <c r="HH53" i="1" s="1"/>
  <c r="EK58" i="1"/>
  <c r="EF58" i="1"/>
  <c r="EE58" i="1"/>
  <c r="EG58" i="1"/>
  <c r="EL58" i="1"/>
  <c r="EI58" i="1"/>
  <c r="EH58" i="1"/>
  <c r="EJ58" i="1"/>
  <c r="EB59" i="1"/>
  <c r="EC59" i="1"/>
  <c r="ED59" i="1"/>
  <c r="HQ47" i="1"/>
  <c r="FS50" i="1"/>
  <c r="GC50" i="1"/>
  <c r="GO50" i="1"/>
  <c r="GB50" i="1"/>
  <c r="FW52" i="1"/>
  <c r="FX52" i="1" s="1"/>
  <c r="FZ52" i="1" s="1"/>
  <c r="FM52" i="1"/>
  <c r="FN52" i="1" s="1"/>
  <c r="FJ52" i="1"/>
  <c r="GQ52" i="1" s="1"/>
  <c r="FT50" i="1"/>
  <c r="FM51" i="1"/>
  <c r="FN51" i="1" s="1"/>
  <c r="FW51" i="1"/>
  <c r="FX51" i="1" s="1"/>
  <c r="FZ51" i="1" s="1"/>
  <c r="FJ51" i="1"/>
  <c r="GQ51" i="1" s="1"/>
  <c r="HL71" i="1"/>
  <c r="HK71" i="1"/>
  <c r="HS72" i="1" s="1"/>
  <c r="HN70" i="1"/>
  <c r="HT70" i="1"/>
  <c r="ID70" i="1"/>
  <c r="IB70" i="1"/>
  <c r="HW70" i="1"/>
  <c r="HV70" i="1"/>
  <c r="IA70" i="1"/>
  <c r="HU70" i="1"/>
  <c r="HZ70" i="1"/>
  <c r="HR70" i="1"/>
  <c r="HY70" i="1"/>
  <c r="HQ70" i="1"/>
  <c r="HX70" i="1"/>
  <c r="HM70" i="1"/>
  <c r="IC70" i="1"/>
  <c r="IE70" i="1"/>
  <c r="FR46" i="1"/>
  <c r="FP46" i="1"/>
  <c r="FQ46" i="1"/>
  <c r="GP46" i="1"/>
  <c r="GD46" i="1"/>
  <c r="GA46" i="1"/>
  <c r="FG49" i="1"/>
  <c r="FJ49" i="1" s="1"/>
  <c r="GQ49" i="1" s="1"/>
  <c r="DV57" i="1"/>
  <c r="DS57" i="1"/>
  <c r="FT47" i="1"/>
  <c r="DU57" i="1"/>
  <c r="EC56" i="1"/>
  <c r="EG56" i="1" s="1"/>
  <c r="GI45" i="1"/>
  <c r="GH45" i="1"/>
  <c r="HA44" i="1"/>
  <c r="GT44" i="1"/>
  <c r="GR44" i="1"/>
  <c r="FW48" i="1"/>
  <c r="FX48" i="1" s="1"/>
  <c r="FZ48" i="1" s="1"/>
  <c r="FM48" i="1"/>
  <c r="FN48" i="1" s="1"/>
  <c r="FJ48" i="1"/>
  <c r="GQ48" i="1" s="1"/>
  <c r="FS47" i="1"/>
  <c r="EC55" i="1"/>
  <c r="EB55" i="1"/>
  <c r="ED55" i="1"/>
  <c r="GB47" i="1"/>
  <c r="GC47" i="1"/>
  <c r="GO47" i="1"/>
  <c r="ED56" i="1"/>
  <c r="EB56" i="1"/>
  <c r="GG45" i="1"/>
  <c r="GE45" i="1"/>
  <c r="GF45" i="1" s="1"/>
  <c r="GZ44" i="1"/>
  <c r="AS67" i="1"/>
  <c r="AT67" i="1" s="1"/>
  <c r="BB67" i="1" s="1"/>
  <c r="BE67" i="1" s="1"/>
  <c r="DU61" i="1" l="1"/>
  <c r="EC60" i="1"/>
  <c r="EK60" i="1" s="1"/>
  <c r="ED60" i="1"/>
  <c r="EL60" i="1" s="1"/>
  <c r="EB60" i="1"/>
  <c r="CC66" i="1"/>
  <c r="CE66" i="1"/>
  <c r="CB66" i="1"/>
  <c r="CG66" i="1" s="1"/>
  <c r="CJ65" i="1"/>
  <c r="CM65" i="1" s="1"/>
  <c r="CK65" i="1"/>
  <c r="CF65" i="1"/>
  <c r="CL65" i="1" s="1"/>
  <c r="CH65" i="1"/>
  <c r="CN64" i="1"/>
  <c r="CQ64" i="1" s="1"/>
  <c r="CR64" i="1"/>
  <c r="DS61" i="1"/>
  <c r="CP63" i="1"/>
  <c r="CS63" i="1" s="1"/>
  <c r="CU62" i="1"/>
  <c r="CT62" i="1"/>
  <c r="DV61" i="1"/>
  <c r="DW61" i="1"/>
  <c r="DX61" i="1" s="1"/>
  <c r="DR61" i="1"/>
  <c r="GI50" i="1"/>
  <c r="FL54" i="1"/>
  <c r="FO54" i="1"/>
  <c r="HB54" i="1"/>
  <c r="HF54" i="1" s="1"/>
  <c r="HG54" i="1" s="1"/>
  <c r="EW54" i="1"/>
  <c r="EX54" i="1"/>
  <c r="FE54" i="1"/>
  <c r="FD54" i="1"/>
  <c r="FV54" i="1" s="1"/>
  <c r="FG53" i="1"/>
  <c r="FU53" i="1"/>
  <c r="FH53" i="1"/>
  <c r="HG53" i="1"/>
  <c r="EL59" i="1"/>
  <c r="EH59" i="1"/>
  <c r="EJ59" i="1"/>
  <c r="EI59" i="1"/>
  <c r="EK59" i="1"/>
  <c r="EG59" i="1"/>
  <c r="EE59" i="1"/>
  <c r="EF59" i="1"/>
  <c r="EN58" i="1"/>
  <c r="EO58" i="1"/>
  <c r="ER58" i="1" s="1"/>
  <c r="EM58" i="1"/>
  <c r="HR47" i="1"/>
  <c r="BU67" i="1"/>
  <c r="BX67" i="1"/>
  <c r="CA67" i="1"/>
  <c r="HQ11" i="1"/>
  <c r="HQ9" i="1"/>
  <c r="FQ52" i="1"/>
  <c r="FP52" i="1"/>
  <c r="FR52" i="1"/>
  <c r="GD52" i="1"/>
  <c r="GP52" i="1"/>
  <c r="GA52" i="1"/>
  <c r="GD51" i="1"/>
  <c r="GP51" i="1"/>
  <c r="GA51" i="1"/>
  <c r="GE50" i="1"/>
  <c r="GF50" i="1" s="1"/>
  <c r="GG50" i="1"/>
  <c r="FQ51" i="1"/>
  <c r="FR51" i="1"/>
  <c r="FP51" i="1"/>
  <c r="GH50" i="1"/>
  <c r="HL72" i="1"/>
  <c r="HK72" i="1"/>
  <c r="HS73" i="1" s="1"/>
  <c r="HN71" i="1"/>
  <c r="IC71" i="1"/>
  <c r="HR71" i="1"/>
  <c r="HT71" i="1"/>
  <c r="HW71" i="1"/>
  <c r="HZ71" i="1"/>
  <c r="HX71" i="1"/>
  <c r="HQ71" i="1"/>
  <c r="IE71" i="1"/>
  <c r="HM71" i="1"/>
  <c r="HV71" i="1"/>
  <c r="IB71" i="1"/>
  <c r="ID71" i="1"/>
  <c r="IA71" i="1"/>
  <c r="HU71" i="1"/>
  <c r="HY71" i="1"/>
  <c r="FS46" i="1"/>
  <c r="GO46" i="1"/>
  <c r="GB46" i="1"/>
  <c r="GC46" i="1"/>
  <c r="FT46" i="1"/>
  <c r="FW49" i="1"/>
  <c r="FX49" i="1" s="1"/>
  <c r="FZ49" i="1" s="1"/>
  <c r="GA49" i="1" s="1"/>
  <c r="FM49" i="1"/>
  <c r="FN49" i="1" s="1"/>
  <c r="FQ49" i="1" s="1"/>
  <c r="DZ57" i="1"/>
  <c r="DY57" i="1"/>
  <c r="GY45" i="1"/>
  <c r="EE56" i="1"/>
  <c r="EF56" i="1"/>
  <c r="EK56" i="1"/>
  <c r="GS45" i="1"/>
  <c r="HC44" i="1"/>
  <c r="HD44" i="1"/>
  <c r="EH55" i="1"/>
  <c r="EL55" i="1"/>
  <c r="EJ55" i="1"/>
  <c r="EI55" i="1"/>
  <c r="FR48" i="1"/>
  <c r="FQ48" i="1"/>
  <c r="FP48" i="1"/>
  <c r="GH47" i="1"/>
  <c r="GD48" i="1"/>
  <c r="GP48" i="1"/>
  <c r="GA48" i="1"/>
  <c r="EK55" i="1"/>
  <c r="EE55" i="1"/>
  <c r="EF55" i="1"/>
  <c r="EG55" i="1"/>
  <c r="EL56" i="1"/>
  <c r="EI56" i="1"/>
  <c r="EH56" i="1"/>
  <c r="EJ56" i="1"/>
  <c r="GG47" i="1"/>
  <c r="GE47" i="1"/>
  <c r="GF47" i="1" s="1"/>
  <c r="GI47" i="1"/>
  <c r="AS68" i="1"/>
  <c r="AT68" i="1" s="1"/>
  <c r="BB68" i="1" l="1"/>
  <c r="BE68" i="1" s="1"/>
  <c r="DY61" i="1"/>
  <c r="EE60" i="1"/>
  <c r="EG60" i="1"/>
  <c r="EF60" i="1"/>
  <c r="EI60" i="1"/>
  <c r="EN60" i="1" s="1"/>
  <c r="EJ60" i="1"/>
  <c r="EO60" i="1" s="1"/>
  <c r="ER60" i="1" s="1"/>
  <c r="EH60" i="1"/>
  <c r="EM60" i="1" s="1"/>
  <c r="CJ66" i="1"/>
  <c r="CM66" i="1" s="1"/>
  <c r="CR65" i="1"/>
  <c r="CK66" i="1"/>
  <c r="CF66" i="1"/>
  <c r="CL66" i="1" s="1"/>
  <c r="CH66" i="1"/>
  <c r="CN65" i="1"/>
  <c r="CP65" i="1" s="1"/>
  <c r="CP64" i="1"/>
  <c r="CS64" i="1" s="1"/>
  <c r="CT63" i="1"/>
  <c r="CU63" i="1"/>
  <c r="CV62" i="1"/>
  <c r="CW62" i="1"/>
  <c r="CX62" i="1"/>
  <c r="CY62" i="1"/>
  <c r="CZ62" i="1"/>
  <c r="DA62" i="1"/>
  <c r="FT52" i="1"/>
  <c r="EA61" i="1"/>
  <c r="DZ61" i="1"/>
  <c r="HH54" i="1"/>
  <c r="FH54" i="1"/>
  <c r="FG54" i="1"/>
  <c r="FU54" i="1"/>
  <c r="FW53" i="1"/>
  <c r="FX53" i="1" s="1"/>
  <c r="FZ53" i="1" s="1"/>
  <c r="FJ53" i="1"/>
  <c r="GQ53" i="1" s="1"/>
  <c r="FM53" i="1"/>
  <c r="FN53" i="1" s="1"/>
  <c r="EN59" i="1"/>
  <c r="EM59" i="1"/>
  <c r="EO59" i="1"/>
  <c r="ER59" i="1" s="1"/>
  <c r="EP58" i="1"/>
  <c r="EQ58" i="1"/>
  <c r="EZ58" i="1" s="1"/>
  <c r="FC58" i="1" s="1"/>
  <c r="HM47" i="1"/>
  <c r="CC67" i="1"/>
  <c r="CE67" i="1"/>
  <c r="CB67" i="1"/>
  <c r="CG67" i="1" s="1"/>
  <c r="CA68" i="1"/>
  <c r="BU68" i="1"/>
  <c r="BX68" i="1"/>
  <c r="HM9" i="1"/>
  <c r="HR11" i="1"/>
  <c r="FS51" i="1"/>
  <c r="FT51" i="1"/>
  <c r="GO52" i="1"/>
  <c r="GC52" i="1"/>
  <c r="GB52" i="1"/>
  <c r="FS52" i="1"/>
  <c r="GS50" i="1"/>
  <c r="GY50" i="1"/>
  <c r="GZ50" i="1" s="1"/>
  <c r="GO51" i="1"/>
  <c r="GB51" i="1"/>
  <c r="GC51" i="1"/>
  <c r="HL73" i="1"/>
  <c r="HK73" i="1"/>
  <c r="HS74" i="1" s="1"/>
  <c r="HN72" i="1"/>
  <c r="IE72" i="1"/>
  <c r="HQ72" i="1"/>
  <c r="ID72" i="1"/>
  <c r="HV72" i="1"/>
  <c r="HW72" i="1"/>
  <c r="HY72" i="1"/>
  <c r="IC72" i="1"/>
  <c r="HX72" i="1"/>
  <c r="HT72" i="1"/>
  <c r="HU72" i="1"/>
  <c r="IB72" i="1"/>
  <c r="HR72" i="1"/>
  <c r="HZ72" i="1"/>
  <c r="IA72" i="1"/>
  <c r="HM72" i="1"/>
  <c r="GT45" i="1"/>
  <c r="GZ45" i="1"/>
  <c r="EB57" i="1"/>
  <c r="GH46" i="1"/>
  <c r="GE46" i="1"/>
  <c r="GF46" i="1" s="1"/>
  <c r="GI46" i="1"/>
  <c r="GG46" i="1"/>
  <c r="FP49" i="1"/>
  <c r="GC49" i="1" s="1"/>
  <c r="EC57" i="1"/>
  <c r="EE57" i="1" s="1"/>
  <c r="FR49" i="1"/>
  <c r="FT49" i="1" s="1"/>
  <c r="GP49" i="1"/>
  <c r="GD49" i="1"/>
  <c r="ED57" i="1"/>
  <c r="EJ57" i="1" s="1"/>
  <c r="FT48" i="1"/>
  <c r="HA45" i="1"/>
  <c r="HD45" i="1" s="1"/>
  <c r="EO56" i="1"/>
  <c r="ER56" i="1" s="1"/>
  <c r="GR45" i="1"/>
  <c r="GS47" i="1"/>
  <c r="GY47" i="1"/>
  <c r="EM55" i="1"/>
  <c r="GB48" i="1"/>
  <c r="GC48" i="1"/>
  <c r="GO48" i="1"/>
  <c r="EN55" i="1"/>
  <c r="EO55" i="1"/>
  <c r="ER55" i="1" s="1"/>
  <c r="FS48" i="1"/>
  <c r="EM56" i="1"/>
  <c r="EN56" i="1"/>
  <c r="AS69" i="1"/>
  <c r="AT69" i="1" s="1"/>
  <c r="BB69" i="1" s="1"/>
  <c r="BE69" i="1" s="1"/>
  <c r="CJ67" i="1" l="1"/>
  <c r="CM67" i="1" s="1"/>
  <c r="CK67" i="1"/>
  <c r="CF67" i="1"/>
  <c r="CL67" i="1" s="1"/>
  <c r="CH67" i="1"/>
  <c r="EQ60" i="1"/>
  <c r="EZ60" i="1" s="1"/>
  <c r="FC60" i="1" s="1"/>
  <c r="EP60" i="1"/>
  <c r="CN66" i="1"/>
  <c r="CQ66" i="1" s="1"/>
  <c r="CR66" i="1"/>
  <c r="CQ65" i="1"/>
  <c r="CT64" i="1"/>
  <c r="CU64" i="1"/>
  <c r="DP62" i="1"/>
  <c r="DO62" i="1"/>
  <c r="CY63" i="1"/>
  <c r="CZ63" i="1"/>
  <c r="DA63" i="1"/>
  <c r="DQ62" i="1"/>
  <c r="CV63" i="1"/>
  <c r="CW63" i="1"/>
  <c r="CX63" i="1"/>
  <c r="DN62" i="1"/>
  <c r="DM62" i="1"/>
  <c r="DL62" i="1"/>
  <c r="EC61" i="1"/>
  <c r="ED61" i="1"/>
  <c r="EB61" i="1"/>
  <c r="GI52" i="1"/>
  <c r="FW54" i="1"/>
  <c r="FX54" i="1" s="1"/>
  <c r="FZ54" i="1" s="1"/>
  <c r="FM54" i="1"/>
  <c r="FN54" i="1" s="1"/>
  <c r="FJ54" i="1"/>
  <c r="GQ54" i="1" s="1"/>
  <c r="HQ12" i="1" s="1"/>
  <c r="FR53" i="1"/>
  <c r="FP53" i="1"/>
  <c r="FQ53" i="1"/>
  <c r="GP53" i="1"/>
  <c r="GA53" i="1"/>
  <c r="GD53" i="1"/>
  <c r="GH52" i="1"/>
  <c r="FF58" i="1"/>
  <c r="FI58" i="1" s="1"/>
  <c r="FY58" i="1"/>
  <c r="HE58" i="1" s="1"/>
  <c r="EV58" i="1"/>
  <c r="FB58" i="1"/>
  <c r="FA58" i="1"/>
  <c r="EP59" i="1"/>
  <c r="EQ59" i="1"/>
  <c r="EZ59" i="1" s="1"/>
  <c r="FC59" i="1" s="1"/>
  <c r="CC68" i="1"/>
  <c r="CE68" i="1"/>
  <c r="CB68" i="1"/>
  <c r="CG68" i="1" s="1"/>
  <c r="BX69" i="1"/>
  <c r="BU69" i="1"/>
  <c r="CA69" i="1"/>
  <c r="HM11" i="1"/>
  <c r="GT50" i="1"/>
  <c r="GR50" i="1"/>
  <c r="HA50" i="1"/>
  <c r="GH51" i="1"/>
  <c r="GG52" i="1"/>
  <c r="GE52" i="1"/>
  <c r="GF52" i="1" s="1"/>
  <c r="HR9" i="1"/>
  <c r="GE51" i="1"/>
  <c r="GF51" i="1" s="1"/>
  <c r="GG51" i="1"/>
  <c r="GI51" i="1"/>
  <c r="HN73" i="1"/>
  <c r="HR73" i="1"/>
  <c r="HU73" i="1"/>
  <c r="ID73" i="1"/>
  <c r="HZ73" i="1"/>
  <c r="HQ73" i="1"/>
  <c r="HY73" i="1"/>
  <c r="IC73" i="1"/>
  <c r="HX73" i="1"/>
  <c r="HM73" i="1"/>
  <c r="IE73" i="1"/>
  <c r="IA73" i="1"/>
  <c r="HT73" i="1"/>
  <c r="HV73" i="1"/>
  <c r="HW73" i="1"/>
  <c r="IB73" i="1"/>
  <c r="HL74" i="1"/>
  <c r="HK74" i="1"/>
  <c r="HS75" i="1" s="1"/>
  <c r="EF57" i="1"/>
  <c r="EK57" i="1"/>
  <c r="EG57" i="1"/>
  <c r="FS49" i="1"/>
  <c r="EI57" i="1"/>
  <c r="GS46" i="1"/>
  <c r="GY46" i="1"/>
  <c r="EL57" i="1"/>
  <c r="GO49" i="1"/>
  <c r="GB49" i="1"/>
  <c r="GG49" i="1" s="1"/>
  <c r="EP55" i="1"/>
  <c r="EV55" i="1" s="1"/>
  <c r="EH57" i="1"/>
  <c r="GI48" i="1"/>
  <c r="HC45" i="1"/>
  <c r="GH48" i="1"/>
  <c r="GR47" i="1"/>
  <c r="GT47" i="1"/>
  <c r="HA47" i="1"/>
  <c r="GG48" i="1"/>
  <c r="GE48" i="1"/>
  <c r="GF48" i="1" s="1"/>
  <c r="EQ55" i="1"/>
  <c r="EZ55" i="1" s="1"/>
  <c r="FC55" i="1" s="1"/>
  <c r="EP56" i="1"/>
  <c r="EQ56" i="1"/>
  <c r="EZ56" i="1" s="1"/>
  <c r="FC56" i="1" s="1"/>
  <c r="GZ47" i="1"/>
  <c r="AS70" i="1"/>
  <c r="AT70" i="1" s="1"/>
  <c r="BB70" i="1" l="1"/>
  <c r="BE70" i="1" s="1"/>
  <c r="CR67" i="1"/>
  <c r="CN67" i="1"/>
  <c r="CQ67" i="1" s="1"/>
  <c r="CJ68" i="1"/>
  <c r="CM68" i="1" s="1"/>
  <c r="EV60" i="1"/>
  <c r="FB60" i="1"/>
  <c r="FA60" i="1"/>
  <c r="FF60" i="1"/>
  <c r="FI60" i="1" s="1"/>
  <c r="FY60" i="1"/>
  <c r="HE60" i="1" s="1"/>
  <c r="CK68" i="1"/>
  <c r="CH68" i="1"/>
  <c r="CF68" i="1"/>
  <c r="CL68" i="1" s="1"/>
  <c r="CP66" i="1"/>
  <c r="CS66" i="1" s="1"/>
  <c r="DU62" i="1"/>
  <c r="CS65" i="1"/>
  <c r="CU65" i="1" s="1"/>
  <c r="DS62" i="1"/>
  <c r="CY64" i="1"/>
  <c r="CZ64" i="1"/>
  <c r="DA64" i="1"/>
  <c r="CV64" i="1"/>
  <c r="CW64" i="1"/>
  <c r="CX64" i="1"/>
  <c r="DN63" i="1"/>
  <c r="DM63" i="1"/>
  <c r="DL63" i="1"/>
  <c r="DQ63" i="1"/>
  <c r="DP63" i="1"/>
  <c r="DO63" i="1"/>
  <c r="DW62" i="1"/>
  <c r="DX62" i="1" s="1"/>
  <c r="DV62" i="1"/>
  <c r="DR62" i="1"/>
  <c r="EL61" i="1"/>
  <c r="EJ61" i="1"/>
  <c r="EH61" i="1"/>
  <c r="EI61" i="1"/>
  <c r="EK61" i="1"/>
  <c r="EE61" i="1"/>
  <c r="EG61" i="1"/>
  <c r="EF61" i="1"/>
  <c r="FS53" i="1"/>
  <c r="GY52" i="1"/>
  <c r="GZ52" i="1" s="1"/>
  <c r="GA54" i="1"/>
  <c r="GD54" i="1"/>
  <c r="GP54" i="1"/>
  <c r="HR12" i="1" s="1"/>
  <c r="FP54" i="1"/>
  <c r="FQ54" i="1"/>
  <c r="FR54" i="1"/>
  <c r="GS52" i="1"/>
  <c r="GT52" i="1" s="1"/>
  <c r="GO53" i="1"/>
  <c r="GB53" i="1"/>
  <c r="GC53" i="1"/>
  <c r="FT53" i="1"/>
  <c r="FF59" i="1"/>
  <c r="FI59" i="1" s="1"/>
  <c r="FY59" i="1"/>
  <c r="HE59" i="1" s="1"/>
  <c r="FA59" i="1"/>
  <c r="FB59" i="1"/>
  <c r="EV59" i="1"/>
  <c r="FL58" i="1"/>
  <c r="FO58" i="1"/>
  <c r="EX58" i="1"/>
  <c r="FE58" i="1"/>
  <c r="EW58" i="1"/>
  <c r="FD58" i="1"/>
  <c r="FV58" i="1" s="1"/>
  <c r="HB58" i="1"/>
  <c r="HF58" i="1" s="1"/>
  <c r="HH58" i="1" s="1"/>
  <c r="CE69" i="1"/>
  <c r="CB69" i="1"/>
  <c r="CG69" i="1" s="1"/>
  <c r="CC69" i="1"/>
  <c r="BU70" i="1"/>
  <c r="CA70" i="1"/>
  <c r="BX70" i="1"/>
  <c r="IA47" i="1"/>
  <c r="HY47" i="1"/>
  <c r="GY51" i="1"/>
  <c r="GS51" i="1"/>
  <c r="HC50" i="1"/>
  <c r="HD50" i="1"/>
  <c r="HL75" i="1"/>
  <c r="HK75" i="1"/>
  <c r="HS76" i="1" s="1"/>
  <c r="HN74" i="1"/>
  <c r="HT74" i="1"/>
  <c r="HQ74" i="1"/>
  <c r="IB74" i="1"/>
  <c r="HW74" i="1"/>
  <c r="HY74" i="1"/>
  <c r="IE74" i="1"/>
  <c r="HZ74" i="1"/>
  <c r="HV74" i="1"/>
  <c r="HM74" i="1"/>
  <c r="IC74" i="1"/>
  <c r="ID74" i="1"/>
  <c r="HX74" i="1"/>
  <c r="HU74" i="1"/>
  <c r="HR74" i="1"/>
  <c r="IA74" i="1"/>
  <c r="EN57" i="1"/>
  <c r="EM57" i="1"/>
  <c r="GI49" i="1"/>
  <c r="GZ46" i="1"/>
  <c r="EO57" i="1"/>
  <c r="ER57" i="1" s="1"/>
  <c r="GH49" i="1"/>
  <c r="HA46" i="1"/>
  <c r="GR46" i="1"/>
  <c r="GT46" i="1"/>
  <c r="GE49" i="1"/>
  <c r="GF49" i="1" s="1"/>
  <c r="GS48" i="1"/>
  <c r="GY48" i="1"/>
  <c r="FY55" i="1"/>
  <c r="HE55" i="1" s="1"/>
  <c r="FF55" i="1"/>
  <c r="FI55" i="1" s="1"/>
  <c r="HB55" i="1"/>
  <c r="HF55" i="1" s="1"/>
  <c r="EX55" i="1"/>
  <c r="EW55" i="1"/>
  <c r="HD47" i="1"/>
  <c r="HC47" i="1"/>
  <c r="FF56" i="1"/>
  <c r="FI56" i="1" s="1"/>
  <c r="FY56" i="1"/>
  <c r="HE56" i="1" s="1"/>
  <c r="EV56" i="1"/>
  <c r="FA56" i="1"/>
  <c r="FB56" i="1"/>
  <c r="FA55" i="1"/>
  <c r="FB55" i="1"/>
  <c r="AS71" i="1"/>
  <c r="AT71" i="1" s="1"/>
  <c r="BB71" i="1" s="1"/>
  <c r="BE71" i="1" s="1"/>
  <c r="CP67" i="1" l="1"/>
  <c r="CS67" i="1" s="1"/>
  <c r="CT67" i="1" s="1"/>
  <c r="CR68" i="1"/>
  <c r="HG58" i="1"/>
  <c r="CJ69" i="1"/>
  <c r="CM69" i="1" s="1"/>
  <c r="CN68" i="1"/>
  <c r="CQ68" i="1" s="1"/>
  <c r="CK69" i="1"/>
  <c r="CF69" i="1"/>
  <c r="CL69" i="1" s="1"/>
  <c r="CH69" i="1"/>
  <c r="FL60" i="1"/>
  <c r="FO60" i="1"/>
  <c r="FH58" i="1"/>
  <c r="EW60" i="1"/>
  <c r="FD60" i="1"/>
  <c r="FV60" i="1" s="1"/>
  <c r="FE60" i="1"/>
  <c r="EX60" i="1"/>
  <c r="HB60" i="1"/>
  <c r="HF60" i="1" s="1"/>
  <c r="HH60" i="1" s="1"/>
  <c r="CU66" i="1"/>
  <c r="CT66" i="1"/>
  <c r="DY62" i="1"/>
  <c r="CY65" i="1"/>
  <c r="CZ65" i="1"/>
  <c r="DA65" i="1"/>
  <c r="CT65" i="1"/>
  <c r="DN64" i="1"/>
  <c r="DM64" i="1"/>
  <c r="GH53" i="1"/>
  <c r="DL64" i="1"/>
  <c r="DQ64" i="1"/>
  <c r="DP64" i="1"/>
  <c r="DO64" i="1"/>
  <c r="DS63" i="1"/>
  <c r="DU63" i="1"/>
  <c r="DW63" i="1"/>
  <c r="DX63" i="1" s="1"/>
  <c r="DV63" i="1"/>
  <c r="DR63" i="1"/>
  <c r="DZ62" i="1"/>
  <c r="EA62" i="1"/>
  <c r="EN61" i="1"/>
  <c r="EO61" i="1"/>
  <c r="ER61" i="1" s="1"/>
  <c r="EM61" i="1"/>
  <c r="GR52" i="1"/>
  <c r="FT54" i="1"/>
  <c r="HA52" i="1"/>
  <c r="HD52" i="1" s="1"/>
  <c r="FS54" i="1"/>
  <c r="GB54" i="1"/>
  <c r="GO54" i="1"/>
  <c r="HM12" i="1" s="1"/>
  <c r="GC54" i="1"/>
  <c r="GG53" i="1"/>
  <c r="GE53" i="1"/>
  <c r="GF53" i="1" s="1"/>
  <c r="GI53" i="1"/>
  <c r="EW59" i="1"/>
  <c r="HB59" i="1"/>
  <c r="HF59" i="1" s="1"/>
  <c r="HH59" i="1" s="1"/>
  <c r="FD59" i="1"/>
  <c r="FV59" i="1" s="1"/>
  <c r="EX59" i="1"/>
  <c r="FE59" i="1"/>
  <c r="FL59" i="1"/>
  <c r="FO59" i="1"/>
  <c r="FG58" i="1"/>
  <c r="FU58" i="1"/>
  <c r="IC47" i="1"/>
  <c r="IB47" i="1"/>
  <c r="CB70" i="1"/>
  <c r="CG70" i="1" s="1"/>
  <c r="CE70" i="1"/>
  <c r="CC70" i="1"/>
  <c r="IE47" i="1"/>
  <c r="BX71" i="1"/>
  <c r="CA71" i="1"/>
  <c r="BU71" i="1"/>
  <c r="GZ51" i="1"/>
  <c r="GT51" i="1"/>
  <c r="GR51" i="1"/>
  <c r="HY11" i="1"/>
  <c r="HA51" i="1"/>
  <c r="HL76" i="1"/>
  <c r="HK76" i="1"/>
  <c r="HS77" i="1" s="1"/>
  <c r="HN75" i="1"/>
  <c r="IE75" i="1"/>
  <c r="HX75" i="1"/>
  <c r="HW75" i="1"/>
  <c r="IC75" i="1"/>
  <c r="IA75" i="1"/>
  <c r="IB75" i="1"/>
  <c r="HR75" i="1"/>
  <c r="HZ75" i="1"/>
  <c r="HQ75" i="1"/>
  <c r="HV75" i="1"/>
  <c r="HY75" i="1"/>
  <c r="HT75" i="1"/>
  <c r="HU75" i="1"/>
  <c r="ID75" i="1"/>
  <c r="HM75" i="1"/>
  <c r="GY49" i="1"/>
  <c r="GS49" i="1"/>
  <c r="GZ48" i="1"/>
  <c r="HA48" i="1"/>
  <c r="HC48" i="1" s="1"/>
  <c r="EP57" i="1"/>
  <c r="EV57" i="1" s="1"/>
  <c r="EQ57" i="1"/>
  <c r="EZ57" i="1" s="1"/>
  <c r="FC57" i="1" s="1"/>
  <c r="FY57" i="1" s="1"/>
  <c r="HE57" i="1" s="1"/>
  <c r="GT48" i="1"/>
  <c r="GR48" i="1"/>
  <c r="HC46" i="1"/>
  <c r="HD46" i="1"/>
  <c r="FL55" i="1"/>
  <c r="FO55" i="1"/>
  <c r="HG55" i="1"/>
  <c r="HH55" i="1"/>
  <c r="FL56" i="1"/>
  <c r="FO56" i="1"/>
  <c r="FE55" i="1"/>
  <c r="FH55" i="1" s="1"/>
  <c r="EX56" i="1"/>
  <c r="HB56" i="1"/>
  <c r="HF56" i="1" s="1"/>
  <c r="HG56" i="1" s="1"/>
  <c r="EW56" i="1"/>
  <c r="FE56" i="1"/>
  <c r="FD56" i="1"/>
  <c r="FV56" i="1" s="1"/>
  <c r="FD55" i="1"/>
  <c r="FV55" i="1" s="1"/>
  <c r="FU55" i="1"/>
  <c r="AS72" i="1"/>
  <c r="AT72" i="1" s="1"/>
  <c r="BB72" i="1" l="1"/>
  <c r="BE72" i="1" s="1"/>
  <c r="CJ70" i="1"/>
  <c r="CM70" i="1" s="1"/>
  <c r="CK70" i="1"/>
  <c r="CH70" i="1"/>
  <c r="CF70" i="1"/>
  <c r="CL70" i="1" s="1"/>
  <c r="CN69" i="1"/>
  <c r="CQ69" i="1" s="1"/>
  <c r="CP68" i="1"/>
  <c r="CS68" i="1" s="1"/>
  <c r="CU68" i="1" s="1"/>
  <c r="CR69" i="1"/>
  <c r="FH60" i="1"/>
  <c r="CU67" i="1"/>
  <c r="CZ67" i="1" s="1"/>
  <c r="FU60" i="1"/>
  <c r="FG60" i="1"/>
  <c r="HG60" i="1"/>
  <c r="CV66" i="1"/>
  <c r="CW66" i="1"/>
  <c r="CX66" i="1"/>
  <c r="CY66" i="1"/>
  <c r="CZ66" i="1"/>
  <c r="DA66" i="1"/>
  <c r="HC52" i="1"/>
  <c r="CV65" i="1"/>
  <c r="DO65" i="1" s="1"/>
  <c r="CW65" i="1"/>
  <c r="DP65" i="1" s="1"/>
  <c r="CX65" i="1"/>
  <c r="DQ65" i="1" s="1"/>
  <c r="GS53" i="1"/>
  <c r="GT53" i="1" s="1"/>
  <c r="DY63" i="1"/>
  <c r="DS64" i="1"/>
  <c r="DU64" i="1"/>
  <c r="GY53" i="1"/>
  <c r="GZ53" i="1" s="1"/>
  <c r="DV64" i="1"/>
  <c r="DW64" i="1"/>
  <c r="DX64" i="1" s="1"/>
  <c r="DR64" i="1"/>
  <c r="DZ63" i="1"/>
  <c r="EA63" i="1"/>
  <c r="ED62" i="1"/>
  <c r="EB62" i="1"/>
  <c r="EC62" i="1"/>
  <c r="EQ61" i="1"/>
  <c r="EZ61" i="1" s="1"/>
  <c r="FC61" i="1" s="1"/>
  <c r="EP61" i="1"/>
  <c r="GH54" i="1"/>
  <c r="GI54" i="1"/>
  <c r="GE54" i="1"/>
  <c r="GF54" i="1" s="1"/>
  <c r="GG54" i="1"/>
  <c r="CV67" i="1"/>
  <c r="CW67" i="1"/>
  <c r="CX67" i="1"/>
  <c r="FW58" i="1"/>
  <c r="FX58" i="1" s="1"/>
  <c r="FZ58" i="1" s="1"/>
  <c r="FJ58" i="1"/>
  <c r="GQ58" i="1" s="1"/>
  <c r="FM58" i="1"/>
  <c r="FN58" i="1" s="1"/>
  <c r="FG59" i="1"/>
  <c r="FU59" i="1"/>
  <c r="CN70" i="1"/>
  <c r="HG59" i="1"/>
  <c r="FH59" i="1"/>
  <c r="BU72" i="1"/>
  <c r="CA72" i="1"/>
  <c r="BX72" i="1"/>
  <c r="CC71" i="1"/>
  <c r="CE71" i="1"/>
  <c r="CB71" i="1"/>
  <c r="CG71" i="1" s="1"/>
  <c r="IA11" i="1"/>
  <c r="HA49" i="1"/>
  <c r="HC49" i="1" s="1"/>
  <c r="HC51" i="1"/>
  <c r="HD51" i="1"/>
  <c r="GT49" i="1"/>
  <c r="HY9" i="1"/>
  <c r="IA9" i="1"/>
  <c r="HL77" i="1"/>
  <c r="HK77" i="1"/>
  <c r="HS78" i="1" s="1"/>
  <c r="HN76" i="1"/>
  <c r="ID76" i="1"/>
  <c r="IC76" i="1"/>
  <c r="HU76" i="1"/>
  <c r="IB76" i="1"/>
  <c r="IA76" i="1"/>
  <c r="HV76" i="1"/>
  <c r="HW76" i="1"/>
  <c r="HZ76" i="1"/>
  <c r="HM76" i="1"/>
  <c r="HY76" i="1"/>
  <c r="HR76" i="1"/>
  <c r="HX76" i="1"/>
  <c r="HT76" i="1"/>
  <c r="IE76" i="1"/>
  <c r="HQ76" i="1"/>
  <c r="HD48" i="1"/>
  <c r="GZ49" i="1"/>
  <c r="GR49" i="1"/>
  <c r="FA57" i="1"/>
  <c r="FF57" i="1"/>
  <c r="FI57" i="1" s="1"/>
  <c r="FB57" i="1"/>
  <c r="FH56" i="1"/>
  <c r="FU56" i="1"/>
  <c r="FG56" i="1"/>
  <c r="FG55" i="1"/>
  <c r="HH56" i="1"/>
  <c r="EW57" i="1"/>
  <c r="EX57" i="1"/>
  <c r="HB57" i="1"/>
  <c r="HF57" i="1" s="1"/>
  <c r="HG57" i="1" s="1"/>
  <c r="AS73" i="1"/>
  <c r="AT73" i="1" s="1"/>
  <c r="BB73" i="1" s="1"/>
  <c r="BE73" i="1" s="1"/>
  <c r="CY67" i="1" l="1"/>
  <c r="CR70" i="1"/>
  <c r="CP69" i="1"/>
  <c r="CK71" i="1"/>
  <c r="CF71" i="1"/>
  <c r="CL71" i="1" s="1"/>
  <c r="CH71" i="1"/>
  <c r="CJ71" i="1"/>
  <c r="CM71" i="1" s="1"/>
  <c r="CT68" i="1"/>
  <c r="CV68" i="1" s="1"/>
  <c r="DA67" i="1"/>
  <c r="DQ67" i="1" s="1"/>
  <c r="DP66" i="1"/>
  <c r="DP67" i="1"/>
  <c r="FW60" i="1"/>
  <c r="FX60" i="1" s="1"/>
  <c r="FZ60" i="1" s="1"/>
  <c r="FM60" i="1"/>
  <c r="FN60" i="1" s="1"/>
  <c r="FJ60" i="1"/>
  <c r="GQ60" i="1" s="1"/>
  <c r="DQ66" i="1"/>
  <c r="DO67" i="1"/>
  <c r="DO66" i="1"/>
  <c r="DN66" i="1"/>
  <c r="DM66" i="1"/>
  <c r="DL66" i="1"/>
  <c r="DY64" i="1"/>
  <c r="DU65" i="1"/>
  <c r="DS65" i="1"/>
  <c r="HA53" i="1"/>
  <c r="HD53" i="1" s="1"/>
  <c r="GR53" i="1"/>
  <c r="DN65" i="1"/>
  <c r="DM65" i="1"/>
  <c r="DL65" i="1"/>
  <c r="DZ64" i="1"/>
  <c r="EA64" i="1"/>
  <c r="GY54" i="1"/>
  <c r="ED63" i="1"/>
  <c r="EC63" i="1"/>
  <c r="EB63" i="1"/>
  <c r="EK62" i="1"/>
  <c r="EE62" i="1"/>
  <c r="EG62" i="1"/>
  <c r="EF62" i="1"/>
  <c r="GS54" i="1"/>
  <c r="HY12" i="1" s="1"/>
  <c r="EL62" i="1"/>
  <c r="EJ62" i="1"/>
  <c r="EH62" i="1"/>
  <c r="EI62" i="1"/>
  <c r="EV61" i="1"/>
  <c r="FB61" i="1"/>
  <c r="FA61" i="1"/>
  <c r="FF61" i="1"/>
  <c r="FI61" i="1" s="1"/>
  <c r="FY61" i="1"/>
  <c r="HE61" i="1" s="1"/>
  <c r="GP58" i="1"/>
  <c r="GA58" i="1"/>
  <c r="GD58" i="1"/>
  <c r="CY68" i="1"/>
  <c r="CZ68" i="1"/>
  <c r="DA68" i="1"/>
  <c r="FQ58" i="1"/>
  <c r="FR58" i="1"/>
  <c r="FP58" i="1"/>
  <c r="CP70" i="1"/>
  <c r="CQ70" i="1"/>
  <c r="DN67" i="1"/>
  <c r="DM67" i="1"/>
  <c r="CS69" i="1"/>
  <c r="CU69" i="1" s="1"/>
  <c r="FJ59" i="1"/>
  <c r="GQ59" i="1" s="1"/>
  <c r="HQ46" i="1" s="1"/>
  <c r="FM59" i="1"/>
  <c r="FN59" i="1" s="1"/>
  <c r="FW59" i="1"/>
  <c r="FX59" i="1" s="1"/>
  <c r="FZ59" i="1" s="1"/>
  <c r="DL67" i="1"/>
  <c r="CA73" i="1"/>
  <c r="BU73" i="1"/>
  <c r="BX73" i="1"/>
  <c r="CE72" i="1"/>
  <c r="CB72" i="1"/>
  <c r="CG72" i="1" s="1"/>
  <c r="CC72" i="1"/>
  <c r="HD49" i="1"/>
  <c r="IB11" i="1"/>
  <c r="IC11" i="1"/>
  <c r="IE11" i="1"/>
  <c r="IB9" i="1"/>
  <c r="IC9" i="1"/>
  <c r="IE9" i="1"/>
  <c r="HL78" i="1"/>
  <c r="HK78" i="1"/>
  <c r="HS79" i="1" s="1"/>
  <c r="HN77" i="1"/>
  <c r="IA77" i="1"/>
  <c r="HR77" i="1"/>
  <c r="HX77" i="1"/>
  <c r="HW77" i="1"/>
  <c r="IE77" i="1"/>
  <c r="IC77" i="1"/>
  <c r="ID77" i="1"/>
  <c r="HZ77" i="1"/>
  <c r="HU77" i="1"/>
  <c r="HY77" i="1"/>
  <c r="HQ77" i="1"/>
  <c r="HT77" i="1"/>
  <c r="HM77" i="1"/>
  <c r="IB77" i="1"/>
  <c r="HV77" i="1"/>
  <c r="FE57" i="1"/>
  <c r="FH57" i="1" s="1"/>
  <c r="FO57" i="1"/>
  <c r="FD57" i="1"/>
  <c r="FV57" i="1" s="1"/>
  <c r="FL57" i="1"/>
  <c r="FJ55" i="1"/>
  <c r="GQ55" i="1" s="1"/>
  <c r="FM55" i="1"/>
  <c r="FN55" i="1" s="1"/>
  <c r="FW55" i="1"/>
  <c r="FX55" i="1" s="1"/>
  <c r="FZ55" i="1" s="1"/>
  <c r="HH57" i="1"/>
  <c r="FW56" i="1"/>
  <c r="FX56" i="1" s="1"/>
  <c r="FZ56" i="1" s="1"/>
  <c r="FJ56" i="1"/>
  <c r="GQ56" i="1" s="1"/>
  <c r="FM56" i="1"/>
  <c r="FN56" i="1" s="1"/>
  <c r="FU57" i="1"/>
  <c r="AS74" i="1"/>
  <c r="AT74" i="1" s="1"/>
  <c r="BB74" i="1" l="1"/>
  <c r="BE74" i="1" s="1"/>
  <c r="CX68" i="1"/>
  <c r="DQ68" i="1" s="1"/>
  <c r="CW68" i="1"/>
  <c r="CK72" i="1"/>
  <c r="CH72" i="1"/>
  <c r="CF72" i="1"/>
  <c r="CL72" i="1" s="1"/>
  <c r="CJ72" i="1"/>
  <c r="CM72" i="1" s="1"/>
  <c r="CN71" i="1"/>
  <c r="CR71" i="1"/>
  <c r="HQ15" i="1"/>
  <c r="HQ14" i="1"/>
  <c r="GZ54" i="1"/>
  <c r="IE12" i="1" s="1"/>
  <c r="IA12" i="1"/>
  <c r="DU67" i="1"/>
  <c r="DS67" i="1"/>
  <c r="GR54" i="1"/>
  <c r="IB12" i="1" s="1"/>
  <c r="CT69" i="1"/>
  <c r="CW69" i="1" s="1"/>
  <c r="DU66" i="1"/>
  <c r="GA60" i="1"/>
  <c r="GP60" i="1"/>
  <c r="GD60" i="1"/>
  <c r="FS58" i="1"/>
  <c r="DS66" i="1"/>
  <c r="FP60" i="1"/>
  <c r="FQ60" i="1"/>
  <c r="FR60" i="1"/>
  <c r="HC53" i="1"/>
  <c r="DV66" i="1"/>
  <c r="DW66" i="1"/>
  <c r="DX66" i="1" s="1"/>
  <c r="DR66" i="1"/>
  <c r="EC64" i="1"/>
  <c r="EK64" i="1" s="1"/>
  <c r="DR65" i="1"/>
  <c r="DW65" i="1"/>
  <c r="DX65" i="1" s="1"/>
  <c r="DV65" i="1"/>
  <c r="DY65" i="1"/>
  <c r="ED64" i="1"/>
  <c r="EB64" i="1"/>
  <c r="GT54" i="1"/>
  <c r="IC12" i="1" s="1"/>
  <c r="EK63" i="1"/>
  <c r="EF63" i="1"/>
  <c r="EE63" i="1"/>
  <c r="EG63" i="1"/>
  <c r="EL63" i="1"/>
  <c r="EI63" i="1"/>
  <c r="EH63" i="1"/>
  <c r="EJ63" i="1"/>
  <c r="HA54" i="1"/>
  <c r="HC54" i="1" s="1"/>
  <c r="EO62" i="1"/>
  <c r="ER62" i="1" s="1"/>
  <c r="EM62" i="1"/>
  <c r="EN62" i="1"/>
  <c r="FL61" i="1"/>
  <c r="FO61" i="1"/>
  <c r="EX61" i="1"/>
  <c r="FE61" i="1"/>
  <c r="EW61" i="1"/>
  <c r="FD61" i="1"/>
  <c r="FV61" i="1" s="1"/>
  <c r="HB61" i="1"/>
  <c r="HF61" i="1" s="1"/>
  <c r="HH61" i="1" s="1"/>
  <c r="CY69" i="1"/>
  <c r="CZ69" i="1"/>
  <c r="DA69" i="1"/>
  <c r="FQ59" i="1"/>
  <c r="FP59" i="1"/>
  <c r="FR59" i="1"/>
  <c r="DL68" i="1"/>
  <c r="GA59" i="1"/>
  <c r="GD59" i="1"/>
  <c r="GP59" i="1"/>
  <c r="HR46" i="1" s="1"/>
  <c r="CQ71" i="1"/>
  <c r="CP71" i="1"/>
  <c r="CS70" i="1"/>
  <c r="CU70" i="1" s="1"/>
  <c r="DP68" i="1"/>
  <c r="DO68" i="1"/>
  <c r="DW67" i="1"/>
  <c r="DX67" i="1" s="1"/>
  <c r="DV67" i="1"/>
  <c r="DR67" i="1"/>
  <c r="GO58" i="1"/>
  <c r="GB58" i="1"/>
  <c r="GC58" i="1"/>
  <c r="DN68" i="1"/>
  <c r="FT58" i="1"/>
  <c r="DM68" i="1"/>
  <c r="CC73" i="1"/>
  <c r="CE73" i="1"/>
  <c r="CB73" i="1"/>
  <c r="CG73" i="1" s="1"/>
  <c r="BU74" i="1"/>
  <c r="BX74" i="1"/>
  <c r="CA74" i="1"/>
  <c r="CN72" i="1"/>
  <c r="HL79" i="1"/>
  <c r="HK79" i="1"/>
  <c r="HS80" i="1" s="1"/>
  <c r="HN78" i="1"/>
  <c r="HV78" i="1"/>
  <c r="HW78" i="1"/>
  <c r="HU78" i="1"/>
  <c r="HT78" i="1"/>
  <c r="IA78" i="1"/>
  <c r="HR78" i="1"/>
  <c r="HZ78" i="1"/>
  <c r="HQ78" i="1"/>
  <c r="IB78" i="1"/>
  <c r="HY78" i="1"/>
  <c r="HM78" i="1"/>
  <c r="HX78" i="1"/>
  <c r="ID78" i="1"/>
  <c r="IC78" i="1"/>
  <c r="IE78" i="1"/>
  <c r="FG57" i="1"/>
  <c r="FM57" i="1" s="1"/>
  <c r="FN57" i="1" s="1"/>
  <c r="GP56" i="1"/>
  <c r="GA56" i="1"/>
  <c r="GD56" i="1"/>
  <c r="GD55" i="1"/>
  <c r="GA55" i="1"/>
  <c r="GP55" i="1"/>
  <c r="FR56" i="1"/>
  <c r="FQ56" i="1"/>
  <c r="FP56" i="1"/>
  <c r="FP55" i="1"/>
  <c r="FR55" i="1"/>
  <c r="FQ55" i="1"/>
  <c r="AS75" i="1"/>
  <c r="AT75" i="1" s="1"/>
  <c r="BB75" i="1" s="1"/>
  <c r="BE75" i="1" s="1"/>
  <c r="CA75" i="1" l="1"/>
  <c r="BU75" i="1"/>
  <c r="BX75" i="1"/>
  <c r="CK73" i="1"/>
  <c r="CF73" i="1"/>
  <c r="CL73" i="1" s="1"/>
  <c r="CH73" i="1"/>
  <c r="CJ73" i="1"/>
  <c r="CM73" i="1" s="1"/>
  <c r="CR72" i="1"/>
  <c r="EF64" i="1"/>
  <c r="EG64" i="1"/>
  <c r="CV69" i="1"/>
  <c r="HR15" i="1"/>
  <c r="HR14" i="1"/>
  <c r="CX69" i="1"/>
  <c r="DN69" i="1" s="1"/>
  <c r="DY67" i="1"/>
  <c r="DY66" i="1"/>
  <c r="FT59" i="1"/>
  <c r="GI58" i="1"/>
  <c r="FT60" i="1"/>
  <c r="FS60" i="1"/>
  <c r="GH58" i="1"/>
  <c r="GC60" i="1"/>
  <c r="GO60" i="1"/>
  <c r="GB60" i="1"/>
  <c r="EA66" i="1"/>
  <c r="DZ66" i="1"/>
  <c r="FS59" i="1"/>
  <c r="EE64" i="1"/>
  <c r="DZ65" i="1"/>
  <c r="EA65" i="1"/>
  <c r="HD54" i="1"/>
  <c r="EL64" i="1"/>
  <c r="EM64" i="1" s="1"/>
  <c r="EI64" i="1"/>
  <c r="EJ64" i="1"/>
  <c r="EH64" i="1"/>
  <c r="EO63" i="1"/>
  <c r="ER63" i="1" s="1"/>
  <c r="EN63" i="1"/>
  <c r="EM63" i="1"/>
  <c r="EP62" i="1"/>
  <c r="EQ62" i="1"/>
  <c r="EZ62" i="1" s="1"/>
  <c r="FC62" i="1" s="1"/>
  <c r="FG61" i="1"/>
  <c r="FU61" i="1"/>
  <c r="FH61" i="1"/>
  <c r="HG61" i="1"/>
  <c r="CY70" i="1"/>
  <c r="CZ70" i="1"/>
  <c r="DA70" i="1"/>
  <c r="DU68" i="1"/>
  <c r="DS68" i="1"/>
  <c r="DM69" i="1"/>
  <c r="DL69" i="1"/>
  <c r="CT70" i="1"/>
  <c r="CQ72" i="1"/>
  <c r="CP72" i="1"/>
  <c r="GE58" i="1"/>
  <c r="GF58" i="1" s="1"/>
  <c r="GG58" i="1"/>
  <c r="CS71" i="1"/>
  <c r="CU71" i="1" s="1"/>
  <c r="GB59" i="1"/>
  <c r="GC59" i="1"/>
  <c r="GO59" i="1"/>
  <c r="HM46" i="1" s="1"/>
  <c r="DZ67" i="1"/>
  <c r="DP69" i="1"/>
  <c r="EA67" i="1"/>
  <c r="DV68" i="1"/>
  <c r="DW68" i="1"/>
  <c r="DX68" i="1" s="1"/>
  <c r="DR68" i="1"/>
  <c r="DO69" i="1"/>
  <c r="CC74" i="1"/>
  <c r="CB74" i="1"/>
  <c r="CG74" i="1" s="1"/>
  <c r="CE74" i="1"/>
  <c r="CN73" i="1"/>
  <c r="HN79" i="1"/>
  <c r="HV79" i="1"/>
  <c r="IB79" i="1"/>
  <c r="IA79" i="1"/>
  <c r="HT79" i="1"/>
  <c r="ID79" i="1"/>
  <c r="HU79" i="1"/>
  <c r="HY79" i="1"/>
  <c r="IC79" i="1"/>
  <c r="HR79" i="1"/>
  <c r="HW79" i="1"/>
  <c r="HZ79" i="1"/>
  <c r="HX79" i="1"/>
  <c r="HQ79" i="1"/>
  <c r="IE79" i="1"/>
  <c r="HM79" i="1"/>
  <c r="HL80" i="1"/>
  <c r="HK80" i="1"/>
  <c r="HS81" i="1" s="1"/>
  <c r="FJ57" i="1"/>
  <c r="GQ57" i="1" s="1"/>
  <c r="FW57" i="1"/>
  <c r="FX57" i="1" s="1"/>
  <c r="FZ57" i="1" s="1"/>
  <c r="GA57" i="1" s="1"/>
  <c r="FT55" i="1"/>
  <c r="FS55" i="1"/>
  <c r="GO55" i="1"/>
  <c r="GC55" i="1"/>
  <c r="GB55" i="1"/>
  <c r="GO56" i="1"/>
  <c r="GB56" i="1"/>
  <c r="GC56" i="1"/>
  <c r="FP57" i="1"/>
  <c r="FQ57" i="1"/>
  <c r="FR57" i="1"/>
  <c r="FT56" i="1"/>
  <c r="FS56" i="1"/>
  <c r="AS76" i="1"/>
  <c r="AT76" i="1" s="1"/>
  <c r="CE75" i="1" l="1"/>
  <c r="CB75" i="1"/>
  <c r="CG75" i="1" s="1"/>
  <c r="CC75" i="1"/>
  <c r="CK74" i="1"/>
  <c r="CH74" i="1"/>
  <c r="CF74" i="1"/>
  <c r="CL74" i="1" s="1"/>
  <c r="CJ74" i="1"/>
  <c r="CM74" i="1" s="1"/>
  <c r="CR73" i="1"/>
  <c r="DQ69" i="1"/>
  <c r="HM15" i="1"/>
  <c r="HM14" i="1"/>
  <c r="GY58" i="1"/>
  <c r="GZ58" i="1" s="1"/>
  <c r="GI60" i="1"/>
  <c r="GS58" i="1"/>
  <c r="GT58" i="1" s="1"/>
  <c r="EC66" i="1"/>
  <c r="EK66" i="1" s="1"/>
  <c r="EB65" i="1"/>
  <c r="EA68" i="1"/>
  <c r="DZ68" i="1"/>
  <c r="ED66" i="1"/>
  <c r="EJ66" i="1" s="1"/>
  <c r="GG60" i="1"/>
  <c r="GE60" i="1"/>
  <c r="GF60" i="1" s="1"/>
  <c r="EB66" i="1"/>
  <c r="GH60" i="1"/>
  <c r="EC65" i="1"/>
  <c r="EK65" i="1" s="1"/>
  <c r="ED65" i="1"/>
  <c r="EL65" i="1" s="1"/>
  <c r="EO64" i="1"/>
  <c r="ER64" i="1" s="1"/>
  <c r="EN64" i="1"/>
  <c r="EP64" i="1" s="1"/>
  <c r="EP63" i="1"/>
  <c r="EQ63" i="1"/>
  <c r="EZ63" i="1" s="1"/>
  <c r="FC63" i="1" s="1"/>
  <c r="FY62" i="1"/>
  <c r="HE62" i="1" s="1"/>
  <c r="FF62" i="1"/>
  <c r="FI62" i="1" s="1"/>
  <c r="FA62" i="1"/>
  <c r="EV62" i="1"/>
  <c r="FB62" i="1"/>
  <c r="FJ61" i="1"/>
  <c r="GQ61" i="1" s="1"/>
  <c r="FW61" i="1"/>
  <c r="FX61" i="1" s="1"/>
  <c r="FZ61" i="1" s="1"/>
  <c r="FM61" i="1"/>
  <c r="FN61" i="1" s="1"/>
  <c r="CY71" i="1"/>
  <c r="CZ71" i="1"/>
  <c r="DA71" i="1"/>
  <c r="GE59" i="1"/>
  <c r="GF59" i="1" s="1"/>
  <c r="GG59" i="1"/>
  <c r="CV70" i="1"/>
  <c r="CW70" i="1"/>
  <c r="DP70" i="1" s="1"/>
  <c r="CX70" i="1"/>
  <c r="DQ70" i="1" s="1"/>
  <c r="CQ73" i="1"/>
  <c r="CP73" i="1"/>
  <c r="DU69" i="1"/>
  <c r="DS69" i="1"/>
  <c r="CT71" i="1"/>
  <c r="EC67" i="1"/>
  <c r="EB67" i="1"/>
  <c r="ED67" i="1"/>
  <c r="DY68" i="1"/>
  <c r="GI59" i="1"/>
  <c r="DW69" i="1"/>
  <c r="DX69" i="1" s="1"/>
  <c r="DV69" i="1"/>
  <c r="DR69" i="1"/>
  <c r="GH59" i="1"/>
  <c r="CS72" i="1"/>
  <c r="CT72" i="1" s="1"/>
  <c r="DO70" i="1"/>
  <c r="CN74" i="1"/>
  <c r="HL81" i="1"/>
  <c r="HK81" i="1"/>
  <c r="HS82" i="1" s="1"/>
  <c r="HN80" i="1"/>
  <c r="IE80" i="1"/>
  <c r="HQ80" i="1"/>
  <c r="HV80" i="1"/>
  <c r="HW80" i="1"/>
  <c r="HX80" i="1"/>
  <c r="IC80" i="1"/>
  <c r="HU80" i="1"/>
  <c r="HZ80" i="1"/>
  <c r="HT80" i="1"/>
  <c r="HR80" i="1"/>
  <c r="HY80" i="1"/>
  <c r="IB80" i="1"/>
  <c r="ID80" i="1"/>
  <c r="IA80" i="1"/>
  <c r="HM80" i="1"/>
  <c r="GP57" i="1"/>
  <c r="GD57" i="1"/>
  <c r="GH56" i="1"/>
  <c r="FT57" i="1"/>
  <c r="FS57" i="1"/>
  <c r="GE55" i="1"/>
  <c r="GF55" i="1" s="1"/>
  <c r="GG55" i="1"/>
  <c r="GC57" i="1"/>
  <c r="GO57" i="1"/>
  <c r="GB57" i="1"/>
  <c r="GH55" i="1"/>
  <c r="GE56" i="1"/>
  <c r="GF56" i="1" s="1"/>
  <c r="GG56" i="1"/>
  <c r="GI55" i="1"/>
  <c r="GI56" i="1"/>
  <c r="AS77" i="1"/>
  <c r="AT77" i="1" s="1"/>
  <c r="CK75" i="1" l="1"/>
  <c r="CH75" i="1"/>
  <c r="CF75" i="1"/>
  <c r="CL75" i="1" s="1"/>
  <c r="CJ75" i="1"/>
  <c r="CR74" i="1"/>
  <c r="GR58" i="1"/>
  <c r="HA58" i="1"/>
  <c r="HC58" i="1" s="1"/>
  <c r="ED68" i="1"/>
  <c r="EI68" i="1" s="1"/>
  <c r="EF66" i="1"/>
  <c r="EG66" i="1"/>
  <c r="EE66" i="1"/>
  <c r="EA69" i="1"/>
  <c r="EI66" i="1"/>
  <c r="EL66" i="1"/>
  <c r="EC68" i="1"/>
  <c r="EE68" i="1" s="1"/>
  <c r="EH66" i="1"/>
  <c r="GY60" i="1"/>
  <c r="GZ60" i="1" s="1"/>
  <c r="GS60" i="1"/>
  <c r="EG65" i="1"/>
  <c r="EE65" i="1"/>
  <c r="DY69" i="1"/>
  <c r="EF65" i="1"/>
  <c r="EB68" i="1"/>
  <c r="DZ69" i="1"/>
  <c r="EJ65" i="1"/>
  <c r="EO65" i="1" s="1"/>
  <c r="ER65" i="1" s="1"/>
  <c r="EH65" i="1"/>
  <c r="EM65" i="1" s="1"/>
  <c r="EI65" i="1"/>
  <c r="EN65" i="1" s="1"/>
  <c r="EQ64" i="1"/>
  <c r="EZ64" i="1" s="1"/>
  <c r="FC64" i="1" s="1"/>
  <c r="FY64" i="1" s="1"/>
  <c r="HE64" i="1" s="1"/>
  <c r="EV64" i="1"/>
  <c r="FF63" i="1"/>
  <c r="FI63" i="1" s="1"/>
  <c r="FY63" i="1"/>
  <c r="HE63" i="1" s="1"/>
  <c r="FA63" i="1"/>
  <c r="FB63" i="1"/>
  <c r="EV63" i="1"/>
  <c r="EX62" i="1"/>
  <c r="FE62" i="1"/>
  <c r="FD62" i="1"/>
  <c r="FV62" i="1" s="1"/>
  <c r="HB62" i="1"/>
  <c r="HF62" i="1" s="1"/>
  <c r="HH62" i="1" s="1"/>
  <c r="EW62" i="1"/>
  <c r="FL62" i="1"/>
  <c r="FO62" i="1"/>
  <c r="GA61" i="1"/>
  <c r="GP61" i="1"/>
  <c r="GD61" i="1"/>
  <c r="FP61" i="1"/>
  <c r="FQ61" i="1"/>
  <c r="FR61" i="1"/>
  <c r="CV72" i="1"/>
  <c r="CW72" i="1"/>
  <c r="CX72" i="1"/>
  <c r="CU72" i="1"/>
  <c r="EK67" i="1"/>
  <c r="EE67" i="1"/>
  <c r="EG67" i="1"/>
  <c r="EF67" i="1"/>
  <c r="CS73" i="1"/>
  <c r="CU73" i="1" s="1"/>
  <c r="GS59" i="1"/>
  <c r="GY59" i="1"/>
  <c r="DN70" i="1"/>
  <c r="CQ74" i="1"/>
  <c r="CP74" i="1"/>
  <c r="DM70" i="1"/>
  <c r="EL67" i="1"/>
  <c r="EI67" i="1"/>
  <c r="EH67" i="1"/>
  <c r="EJ67" i="1"/>
  <c r="CV71" i="1"/>
  <c r="CW71" i="1"/>
  <c r="DP71" i="1" s="1"/>
  <c r="CX71" i="1"/>
  <c r="DL70" i="1"/>
  <c r="DS70" i="1"/>
  <c r="DU70" i="1"/>
  <c r="HL82" i="1"/>
  <c r="HK82" i="1"/>
  <c r="HS83" i="1" s="1"/>
  <c r="HN81" i="1"/>
  <c r="HR81" i="1"/>
  <c r="HZ81" i="1"/>
  <c r="IC81" i="1"/>
  <c r="HY81" i="1"/>
  <c r="HQ81" i="1"/>
  <c r="HX81" i="1"/>
  <c r="IA81" i="1"/>
  <c r="IE81" i="1"/>
  <c r="HM81" i="1"/>
  <c r="HV81" i="1"/>
  <c r="HU81" i="1"/>
  <c r="ID81" i="1"/>
  <c r="IB81" i="1"/>
  <c r="HT81" i="1"/>
  <c r="HW81" i="1"/>
  <c r="GY56" i="1"/>
  <c r="GS56" i="1"/>
  <c r="GS55" i="1"/>
  <c r="GY55" i="1"/>
  <c r="GE57" i="1"/>
  <c r="GF57" i="1" s="1"/>
  <c r="GG57" i="1"/>
  <c r="GH57" i="1"/>
  <c r="GI57" i="1"/>
  <c r="AS78" i="1"/>
  <c r="AT78" i="1" s="1"/>
  <c r="CR75" i="1" l="1"/>
  <c r="CM75" i="1"/>
  <c r="CT73" i="1"/>
  <c r="CV73" i="1" s="1"/>
  <c r="CN75" i="1"/>
  <c r="EN66" i="1"/>
  <c r="HD58" i="1"/>
  <c r="IA15" i="1"/>
  <c r="IA14" i="1"/>
  <c r="HY15" i="1"/>
  <c r="HY14" i="1"/>
  <c r="EF68" i="1"/>
  <c r="EG68" i="1"/>
  <c r="EK68" i="1"/>
  <c r="EJ68" i="1"/>
  <c r="EL68" i="1"/>
  <c r="EH68" i="1"/>
  <c r="EB69" i="1"/>
  <c r="EM66" i="1"/>
  <c r="EO66" i="1"/>
  <c r="ER66" i="1" s="1"/>
  <c r="EC69" i="1"/>
  <c r="EG69" i="1" s="1"/>
  <c r="ED69" i="1"/>
  <c r="EL69" i="1" s="1"/>
  <c r="GR60" i="1"/>
  <c r="GT60" i="1"/>
  <c r="HA60" i="1"/>
  <c r="FB64" i="1"/>
  <c r="FA64" i="1"/>
  <c r="FF64" i="1"/>
  <c r="FI64" i="1" s="1"/>
  <c r="EQ65" i="1"/>
  <c r="EZ65" i="1" s="1"/>
  <c r="FC65" i="1" s="1"/>
  <c r="EP65" i="1"/>
  <c r="EX64" i="1"/>
  <c r="EW64" i="1"/>
  <c r="HB64" i="1"/>
  <c r="HF64" i="1" s="1"/>
  <c r="HG64" i="1" s="1"/>
  <c r="FT61" i="1"/>
  <c r="FL63" i="1"/>
  <c r="FO63" i="1"/>
  <c r="FD63" i="1"/>
  <c r="FV63" i="1" s="1"/>
  <c r="FE63" i="1"/>
  <c r="EX63" i="1"/>
  <c r="HB63" i="1"/>
  <c r="HF63" i="1" s="1"/>
  <c r="HG63" i="1" s="1"/>
  <c r="EW63" i="1"/>
  <c r="FG62" i="1"/>
  <c r="FU62" i="1"/>
  <c r="HG62" i="1"/>
  <c r="FH62" i="1"/>
  <c r="FS61" i="1"/>
  <c r="GC61" i="1"/>
  <c r="GO61" i="1"/>
  <c r="GB61" i="1"/>
  <c r="DY70" i="1"/>
  <c r="GZ59" i="1"/>
  <c r="IE46" i="1" s="1"/>
  <c r="IA46" i="1"/>
  <c r="DN71" i="1"/>
  <c r="GT59" i="1"/>
  <c r="IC46" i="1" s="1"/>
  <c r="GR59" i="1"/>
  <c r="IB46" i="1" s="1"/>
  <c r="HY46" i="1"/>
  <c r="HA59" i="1"/>
  <c r="CS74" i="1"/>
  <c r="CU74" i="1" s="1"/>
  <c r="DM71" i="1"/>
  <c r="EO67" i="1"/>
  <c r="ER67" i="1" s="1"/>
  <c r="EN67" i="1"/>
  <c r="EM67" i="1"/>
  <c r="DL71" i="1"/>
  <c r="CY72" i="1"/>
  <c r="DO72" i="1" s="1"/>
  <c r="CZ72" i="1"/>
  <c r="DP72" i="1" s="1"/>
  <c r="DA72" i="1"/>
  <c r="DQ72" i="1" s="1"/>
  <c r="CW73" i="1"/>
  <c r="DN72" i="1"/>
  <c r="DQ71" i="1"/>
  <c r="CY73" i="1"/>
  <c r="CZ73" i="1"/>
  <c r="DA73" i="1"/>
  <c r="DM72" i="1"/>
  <c r="DO71" i="1"/>
  <c r="DW70" i="1"/>
  <c r="DX70" i="1" s="1"/>
  <c r="DR70" i="1"/>
  <c r="DV70" i="1"/>
  <c r="DL72" i="1"/>
  <c r="HL83" i="1"/>
  <c r="HK83" i="1"/>
  <c r="HS84" i="1" s="1"/>
  <c r="HN82" i="1"/>
  <c r="HT82" i="1"/>
  <c r="HQ82" i="1"/>
  <c r="IB82" i="1"/>
  <c r="HW82" i="1"/>
  <c r="HY82" i="1"/>
  <c r="IE82" i="1"/>
  <c r="HX82" i="1"/>
  <c r="HV82" i="1"/>
  <c r="HM82" i="1"/>
  <c r="HU82" i="1"/>
  <c r="ID82" i="1"/>
  <c r="IA82" i="1"/>
  <c r="HR82" i="1"/>
  <c r="IC82" i="1"/>
  <c r="HZ82" i="1"/>
  <c r="GZ56" i="1"/>
  <c r="GT56" i="1"/>
  <c r="HA56" i="1"/>
  <c r="HD56" i="1" s="1"/>
  <c r="GR56" i="1"/>
  <c r="GZ55" i="1"/>
  <c r="GT55" i="1"/>
  <c r="GR55" i="1"/>
  <c r="HA55" i="1"/>
  <c r="GS57" i="1"/>
  <c r="GY57" i="1"/>
  <c r="AS79" i="1"/>
  <c r="AT79" i="1" s="1"/>
  <c r="EA70" i="1" l="1"/>
  <c r="EP66" i="1"/>
  <c r="CQ75" i="1"/>
  <c r="FO64" i="1"/>
  <c r="FD64" i="1"/>
  <c r="FV64" i="1" s="1"/>
  <c r="CP75" i="1"/>
  <c r="CS75" i="1"/>
  <c r="CU75" i="1" s="1"/>
  <c r="CX73" i="1"/>
  <c r="DQ73" i="1" s="1"/>
  <c r="DO73" i="1"/>
  <c r="CT74" i="1"/>
  <c r="CV74" i="1" s="1"/>
  <c r="FL64" i="1"/>
  <c r="FE64" i="1"/>
  <c r="EO68" i="1"/>
  <c r="ER68" i="1" s="1"/>
  <c r="IE15" i="1"/>
  <c r="IE14" i="1"/>
  <c r="IB15" i="1"/>
  <c r="IB14" i="1"/>
  <c r="IC15" i="1"/>
  <c r="IC14" i="1"/>
  <c r="EM68" i="1"/>
  <c r="EN68" i="1"/>
  <c r="EK69" i="1"/>
  <c r="EM69" i="1" s="1"/>
  <c r="EE69" i="1"/>
  <c r="EI69" i="1"/>
  <c r="EH69" i="1"/>
  <c r="EF69" i="1"/>
  <c r="EJ69" i="1"/>
  <c r="EQ66" i="1"/>
  <c r="EZ66" i="1" s="1"/>
  <c r="FC66" i="1" s="1"/>
  <c r="FY66" i="1" s="1"/>
  <c r="HE66" i="1" s="1"/>
  <c r="HC60" i="1"/>
  <c r="HD60" i="1"/>
  <c r="EV66" i="1"/>
  <c r="FH64" i="1"/>
  <c r="EV65" i="1"/>
  <c r="FA65" i="1"/>
  <c r="FB65" i="1"/>
  <c r="FH63" i="1"/>
  <c r="FF65" i="1"/>
  <c r="FI65" i="1" s="1"/>
  <c r="FY65" i="1"/>
  <c r="HE65" i="1" s="1"/>
  <c r="FU64" i="1"/>
  <c r="HH64" i="1"/>
  <c r="HH63" i="1"/>
  <c r="FU63" i="1"/>
  <c r="FG63" i="1"/>
  <c r="GI61" i="1"/>
  <c r="FW62" i="1"/>
  <c r="FX62" i="1" s="1"/>
  <c r="FZ62" i="1" s="1"/>
  <c r="FM62" i="1"/>
  <c r="FN62" i="1" s="1"/>
  <c r="FJ62" i="1"/>
  <c r="GQ62" i="1" s="1"/>
  <c r="GE61" i="1"/>
  <c r="GF61" i="1" s="1"/>
  <c r="GG61" i="1"/>
  <c r="GH61" i="1"/>
  <c r="DW71" i="1"/>
  <c r="DX71" i="1" s="1"/>
  <c r="DR71" i="1"/>
  <c r="DV71" i="1"/>
  <c r="DS71" i="1"/>
  <c r="DU71" i="1"/>
  <c r="EQ67" i="1"/>
  <c r="EZ67" i="1" s="1"/>
  <c r="FC67" i="1" s="1"/>
  <c r="EP67" i="1"/>
  <c r="DW72" i="1"/>
  <c r="DX72" i="1" s="1"/>
  <c r="DV72" i="1"/>
  <c r="DR72" i="1"/>
  <c r="DN73" i="1"/>
  <c r="DM73" i="1"/>
  <c r="DU72" i="1"/>
  <c r="DS72" i="1"/>
  <c r="CY74" i="1"/>
  <c r="CZ74" i="1"/>
  <c r="DA74" i="1"/>
  <c r="DZ70" i="1"/>
  <c r="DP73" i="1"/>
  <c r="DL73" i="1"/>
  <c r="HC59" i="1"/>
  <c r="HD59" i="1"/>
  <c r="HL84" i="1"/>
  <c r="HK84" i="1"/>
  <c r="HS85" i="1" s="1"/>
  <c r="HN83" i="1"/>
  <c r="HU83" i="1"/>
  <c r="HM83" i="1"/>
  <c r="IE83" i="1"/>
  <c r="HW83" i="1"/>
  <c r="IC83" i="1"/>
  <c r="IB83" i="1"/>
  <c r="HX83" i="1"/>
  <c r="IA83" i="1"/>
  <c r="HR83" i="1"/>
  <c r="HZ83" i="1"/>
  <c r="HV83" i="1"/>
  <c r="HY83" i="1"/>
  <c r="HQ83" i="1"/>
  <c r="ID83" i="1"/>
  <c r="HT83" i="1"/>
  <c r="HC56" i="1"/>
  <c r="HC55" i="1"/>
  <c r="HD55" i="1"/>
  <c r="GZ57" i="1"/>
  <c r="GT57" i="1"/>
  <c r="GR57" i="1"/>
  <c r="HA57" i="1"/>
  <c r="AS80" i="1"/>
  <c r="AT80" i="1" s="1"/>
  <c r="CT75" i="1" l="1"/>
  <c r="CV75" i="1" s="1"/>
  <c r="FG64" i="1"/>
  <c r="CX74" i="1"/>
  <c r="DQ74" i="1" s="1"/>
  <c r="CW74" i="1"/>
  <c r="DP74" i="1" s="1"/>
  <c r="CX75" i="1"/>
  <c r="CY75" i="1"/>
  <c r="CZ75" i="1"/>
  <c r="DA75" i="1"/>
  <c r="DU73" i="1"/>
  <c r="DO74" i="1"/>
  <c r="DS73" i="1"/>
  <c r="DY71" i="1"/>
  <c r="DZ71" i="1"/>
  <c r="EP68" i="1"/>
  <c r="EV68" i="1" s="1"/>
  <c r="EQ68" i="1"/>
  <c r="EZ68" i="1" s="1"/>
  <c r="FC68" i="1" s="1"/>
  <c r="FY68" i="1" s="1"/>
  <c r="HE68" i="1" s="1"/>
  <c r="EN69" i="1"/>
  <c r="EP69" i="1" s="1"/>
  <c r="EO69" i="1"/>
  <c r="ER69" i="1" s="1"/>
  <c r="FF66" i="1"/>
  <c r="FI66" i="1" s="1"/>
  <c r="FB66" i="1"/>
  <c r="FA66" i="1"/>
  <c r="EX66" i="1"/>
  <c r="EW66" i="1"/>
  <c r="HB66" i="1"/>
  <c r="HF66" i="1" s="1"/>
  <c r="HG66" i="1" s="1"/>
  <c r="FL65" i="1"/>
  <c r="FO65" i="1"/>
  <c r="FD65" i="1"/>
  <c r="FV65" i="1" s="1"/>
  <c r="FE65" i="1"/>
  <c r="EX65" i="1"/>
  <c r="EW65" i="1"/>
  <c r="HB65" i="1"/>
  <c r="HF65" i="1" s="1"/>
  <c r="HG65" i="1" s="1"/>
  <c r="FM64" i="1"/>
  <c r="FN64" i="1" s="1"/>
  <c r="FJ64" i="1"/>
  <c r="GQ64" i="1" s="1"/>
  <c r="FW64" i="1"/>
  <c r="FX64" i="1" s="1"/>
  <c r="FZ64" i="1" s="1"/>
  <c r="FJ63" i="1"/>
  <c r="GQ63" i="1" s="1"/>
  <c r="FM63" i="1"/>
  <c r="FN63" i="1" s="1"/>
  <c r="FW63" i="1"/>
  <c r="FX63" i="1" s="1"/>
  <c r="FZ63" i="1" s="1"/>
  <c r="GP62" i="1"/>
  <c r="GD62" i="1"/>
  <c r="GA62" i="1"/>
  <c r="FP62" i="1"/>
  <c r="FR62" i="1"/>
  <c r="FQ62" i="1"/>
  <c r="GY61" i="1"/>
  <c r="GZ61" i="1" s="1"/>
  <c r="GS61" i="1"/>
  <c r="DM74" i="1"/>
  <c r="FY67" i="1"/>
  <c r="HE67" i="1" s="1"/>
  <c r="FF67" i="1"/>
  <c r="FI67" i="1" s="1"/>
  <c r="DL74" i="1"/>
  <c r="DY72" i="1"/>
  <c r="DR73" i="1"/>
  <c r="DV73" i="1"/>
  <c r="DW73" i="1"/>
  <c r="DX73" i="1" s="1"/>
  <c r="DZ72" i="1"/>
  <c r="EC70" i="1"/>
  <c r="EB70" i="1"/>
  <c r="ED70" i="1"/>
  <c r="EA72" i="1"/>
  <c r="EA71" i="1"/>
  <c r="DN74" i="1"/>
  <c r="EV67" i="1"/>
  <c r="FB67" i="1"/>
  <c r="FA67" i="1"/>
  <c r="HL85" i="1"/>
  <c r="HK85" i="1"/>
  <c r="HS86" i="1" s="1"/>
  <c r="HN84" i="1"/>
  <c r="HU84" i="1"/>
  <c r="HZ84" i="1"/>
  <c r="IA84" i="1"/>
  <c r="HW84" i="1"/>
  <c r="HT84" i="1"/>
  <c r="HY84" i="1"/>
  <c r="HR84" i="1"/>
  <c r="HX84" i="1"/>
  <c r="HQ84" i="1"/>
  <c r="IE84" i="1"/>
  <c r="HM84" i="1"/>
  <c r="IC84" i="1"/>
  <c r="HV84" i="1"/>
  <c r="IB84" i="1"/>
  <c r="ID84" i="1"/>
  <c r="HC57" i="1"/>
  <c r="HD57" i="1"/>
  <c r="AS81" i="1"/>
  <c r="AT81" i="1" s="1"/>
  <c r="CW75" i="1" l="1"/>
  <c r="DM75" i="1" s="1"/>
  <c r="DO75" i="1"/>
  <c r="DU74" i="1"/>
  <c r="DQ75" i="1"/>
  <c r="ED71" i="1"/>
  <c r="DY73" i="1"/>
  <c r="DN75" i="1"/>
  <c r="DS74" i="1"/>
  <c r="DY74" i="1" s="1"/>
  <c r="DL75" i="1"/>
  <c r="FF68" i="1"/>
  <c r="FI68" i="1" s="1"/>
  <c r="FB68" i="1"/>
  <c r="FA68" i="1"/>
  <c r="FL66" i="1"/>
  <c r="EQ69" i="1"/>
  <c r="EZ69" i="1" s="1"/>
  <c r="FC69" i="1" s="1"/>
  <c r="FY69" i="1" s="1"/>
  <c r="HE69" i="1" s="1"/>
  <c r="FD66" i="1"/>
  <c r="FV66" i="1" s="1"/>
  <c r="HH66" i="1"/>
  <c r="FE66" i="1"/>
  <c r="FH66" i="1" s="1"/>
  <c r="FO66" i="1"/>
  <c r="FU66" i="1"/>
  <c r="FG65" i="1"/>
  <c r="FU65" i="1"/>
  <c r="HH65" i="1"/>
  <c r="FH65" i="1"/>
  <c r="FS62" i="1"/>
  <c r="GA64" i="1"/>
  <c r="GP64" i="1"/>
  <c r="GD64" i="1"/>
  <c r="FQ64" i="1"/>
  <c r="FR64" i="1"/>
  <c r="FP64" i="1"/>
  <c r="GD63" i="1"/>
  <c r="GA63" i="1"/>
  <c r="GP63" i="1"/>
  <c r="FR63" i="1"/>
  <c r="FQ63" i="1"/>
  <c r="FP63" i="1"/>
  <c r="FT62" i="1"/>
  <c r="GO62" i="1"/>
  <c r="GB62" i="1"/>
  <c r="GC62" i="1"/>
  <c r="GT61" i="1"/>
  <c r="GR61" i="1"/>
  <c r="HA61" i="1"/>
  <c r="EL71" i="1"/>
  <c r="EI71" i="1"/>
  <c r="EH71" i="1"/>
  <c r="EJ71" i="1"/>
  <c r="EW68" i="1"/>
  <c r="HB68" i="1"/>
  <c r="HF68" i="1" s="1"/>
  <c r="HH68" i="1" s="1"/>
  <c r="EX68" i="1"/>
  <c r="FL67" i="1"/>
  <c r="FO67" i="1"/>
  <c r="HB67" i="1"/>
  <c r="HF67" i="1" s="1"/>
  <c r="HH67" i="1" s="1"/>
  <c r="EW67" i="1"/>
  <c r="EX67" i="1"/>
  <c r="FD67" i="1"/>
  <c r="FV67" i="1" s="1"/>
  <c r="FE67" i="1"/>
  <c r="EL70" i="1"/>
  <c r="EJ70" i="1"/>
  <c r="EI70" i="1"/>
  <c r="EH70" i="1"/>
  <c r="EB71" i="1"/>
  <c r="EC71" i="1"/>
  <c r="EV69" i="1"/>
  <c r="EK70" i="1"/>
  <c r="EE70" i="1"/>
  <c r="EG70" i="1"/>
  <c r="EF70" i="1"/>
  <c r="ED72" i="1"/>
  <c r="EC72" i="1"/>
  <c r="EB72" i="1"/>
  <c r="EA73" i="1"/>
  <c r="DZ73" i="1"/>
  <c r="DV74" i="1"/>
  <c r="DW74" i="1"/>
  <c r="DX74" i="1" s="1"/>
  <c r="DR74" i="1"/>
  <c r="HL86" i="1"/>
  <c r="HK86" i="1"/>
  <c r="HS87" i="1" s="1"/>
  <c r="HN85" i="1"/>
  <c r="HT85" i="1"/>
  <c r="HQ85" i="1"/>
  <c r="HR85" i="1"/>
  <c r="IB85" i="1"/>
  <c r="IA85" i="1"/>
  <c r="HM85" i="1"/>
  <c r="ID85" i="1"/>
  <c r="HZ85" i="1"/>
  <c r="HX85" i="1"/>
  <c r="HW85" i="1"/>
  <c r="IE85" i="1"/>
  <c r="HU85" i="1"/>
  <c r="HY85" i="1"/>
  <c r="IC85" i="1"/>
  <c r="HV85" i="1"/>
  <c r="AS82" i="1"/>
  <c r="AT82" i="1" s="1"/>
  <c r="DU75" i="1" l="1"/>
  <c r="DP75" i="1"/>
  <c r="DS75" i="1"/>
  <c r="DW75" i="1"/>
  <c r="DX75" i="1" s="1"/>
  <c r="DR75" i="1"/>
  <c r="DV75" i="1"/>
  <c r="DZ75" i="1" s="1"/>
  <c r="DY75" i="1"/>
  <c r="EA74" i="1"/>
  <c r="FT64" i="1"/>
  <c r="FA69" i="1"/>
  <c r="FE68" i="1"/>
  <c r="FH68" i="1" s="1"/>
  <c r="FO68" i="1"/>
  <c r="FL68" i="1"/>
  <c r="FD68" i="1"/>
  <c r="FV68" i="1" s="1"/>
  <c r="FB69" i="1"/>
  <c r="FE69" i="1" s="1"/>
  <c r="FF69" i="1"/>
  <c r="FI69" i="1" s="1"/>
  <c r="FG66" i="1"/>
  <c r="FM66" i="1" s="1"/>
  <c r="FN66" i="1" s="1"/>
  <c r="HG67" i="1"/>
  <c r="HG68" i="1"/>
  <c r="FJ65" i="1"/>
  <c r="GQ65" i="1" s="1"/>
  <c r="HQ17" i="1" s="1"/>
  <c r="FW65" i="1"/>
  <c r="FX65" i="1" s="1"/>
  <c r="FZ65" i="1" s="1"/>
  <c r="FM65" i="1"/>
  <c r="FN65" i="1" s="1"/>
  <c r="GH62" i="1"/>
  <c r="GB64" i="1"/>
  <c r="GO64" i="1"/>
  <c r="GC64" i="1"/>
  <c r="FS64" i="1"/>
  <c r="FS63" i="1"/>
  <c r="GC63" i="1"/>
  <c r="GB63" i="1"/>
  <c r="GO63" i="1"/>
  <c r="FT63" i="1"/>
  <c r="GI62" i="1"/>
  <c r="GG62" i="1"/>
  <c r="GE62" i="1"/>
  <c r="GF62" i="1" s="1"/>
  <c r="HD61" i="1"/>
  <c r="HC61" i="1"/>
  <c r="EL72" i="1"/>
  <c r="EI72" i="1"/>
  <c r="EJ72" i="1"/>
  <c r="EH72" i="1"/>
  <c r="EK71" i="1"/>
  <c r="EF71" i="1"/>
  <c r="EG71" i="1"/>
  <c r="EE71" i="1"/>
  <c r="FU68" i="1"/>
  <c r="DZ74" i="1"/>
  <c r="EB73" i="1"/>
  <c r="EC73" i="1"/>
  <c r="ED73" i="1"/>
  <c r="FH67" i="1"/>
  <c r="EN70" i="1"/>
  <c r="EO70" i="1"/>
  <c r="ER70" i="1" s="1"/>
  <c r="EM70" i="1"/>
  <c r="FG67" i="1"/>
  <c r="FU67" i="1"/>
  <c r="EK72" i="1"/>
  <c r="EF72" i="1"/>
  <c r="EG72" i="1"/>
  <c r="EE72" i="1"/>
  <c r="EW69" i="1"/>
  <c r="EX69" i="1"/>
  <c r="HB69" i="1"/>
  <c r="HF69" i="1" s="1"/>
  <c r="HH69" i="1" s="1"/>
  <c r="HL87" i="1"/>
  <c r="HK87" i="1"/>
  <c r="HS88" i="1" s="1"/>
  <c r="HN86" i="1"/>
  <c r="HT86" i="1"/>
  <c r="HV86" i="1"/>
  <c r="ID86" i="1"/>
  <c r="HU86" i="1"/>
  <c r="HW86" i="1"/>
  <c r="HR86" i="1"/>
  <c r="IA86" i="1"/>
  <c r="HQ86" i="1"/>
  <c r="HZ86" i="1"/>
  <c r="IE86" i="1"/>
  <c r="HY86" i="1"/>
  <c r="HM86" i="1"/>
  <c r="IC86" i="1"/>
  <c r="HX86" i="1"/>
  <c r="IB86" i="1"/>
  <c r="AS83" i="1"/>
  <c r="AT83" i="1" s="1"/>
  <c r="BB83" i="1" l="1"/>
  <c r="BE83" i="1" s="1"/>
  <c r="FL69" i="1"/>
  <c r="FG68" i="1"/>
  <c r="EA75" i="1"/>
  <c r="ED75" i="1" s="1"/>
  <c r="FD69" i="1"/>
  <c r="FV69" i="1" s="1"/>
  <c r="FO69" i="1"/>
  <c r="GY62" i="1"/>
  <c r="GZ62" i="1" s="1"/>
  <c r="HQ19" i="1"/>
  <c r="HQ18" i="1"/>
  <c r="FJ66" i="1"/>
  <c r="GQ66" i="1" s="1"/>
  <c r="FW66" i="1"/>
  <c r="FX66" i="1" s="1"/>
  <c r="FZ66" i="1" s="1"/>
  <c r="GA66" i="1" s="1"/>
  <c r="FH69" i="1"/>
  <c r="FQ66" i="1"/>
  <c r="FR66" i="1"/>
  <c r="FP66" i="1"/>
  <c r="GI64" i="1"/>
  <c r="GD65" i="1"/>
  <c r="GA65" i="1"/>
  <c r="GP65" i="1"/>
  <c r="HR17" i="1" s="1"/>
  <c r="FR65" i="1"/>
  <c r="FP65" i="1"/>
  <c r="FQ65" i="1"/>
  <c r="GS62" i="1"/>
  <c r="HA62" i="1" s="1"/>
  <c r="GH64" i="1"/>
  <c r="GI63" i="1"/>
  <c r="GE64" i="1"/>
  <c r="GF64" i="1" s="1"/>
  <c r="GG64" i="1"/>
  <c r="GE63" i="1"/>
  <c r="GF63" i="1" s="1"/>
  <c r="GG63" i="1"/>
  <c r="GH63" i="1"/>
  <c r="EK73" i="1"/>
  <c r="EG73" i="1"/>
  <c r="EE73" i="1"/>
  <c r="EF73" i="1"/>
  <c r="EN71" i="1"/>
  <c r="EO71" i="1"/>
  <c r="ER71" i="1" s="1"/>
  <c r="EM71" i="1"/>
  <c r="ED74" i="1"/>
  <c r="EC74" i="1"/>
  <c r="EB74" i="1"/>
  <c r="HG69" i="1"/>
  <c r="EO72" i="1"/>
  <c r="ER72" i="1" s="1"/>
  <c r="EN72" i="1"/>
  <c r="EM72" i="1"/>
  <c r="FM67" i="1"/>
  <c r="FN67" i="1" s="1"/>
  <c r="FW67" i="1"/>
  <c r="FX67" i="1" s="1"/>
  <c r="FZ67" i="1" s="1"/>
  <c r="FJ67" i="1"/>
  <c r="GQ67" i="1" s="1"/>
  <c r="FJ68" i="1"/>
  <c r="GQ68" i="1" s="1"/>
  <c r="HQ34" i="1" s="1"/>
  <c r="FW68" i="1"/>
  <c r="FX68" i="1" s="1"/>
  <c r="FZ68" i="1" s="1"/>
  <c r="FM68" i="1"/>
  <c r="FN68" i="1" s="1"/>
  <c r="FU69" i="1"/>
  <c r="EQ70" i="1"/>
  <c r="EZ70" i="1" s="1"/>
  <c r="FC70" i="1" s="1"/>
  <c r="EP70" i="1"/>
  <c r="EL73" i="1"/>
  <c r="EH73" i="1"/>
  <c r="EJ73" i="1"/>
  <c r="EI73" i="1"/>
  <c r="BU83" i="1"/>
  <c r="BX83" i="1"/>
  <c r="CA83" i="1"/>
  <c r="HL88" i="1"/>
  <c r="HK88" i="1"/>
  <c r="HS89" i="1" s="1"/>
  <c r="HN87" i="1"/>
  <c r="IC87" i="1"/>
  <c r="HR87" i="1"/>
  <c r="HT87" i="1"/>
  <c r="HQ87" i="1"/>
  <c r="HM87" i="1"/>
  <c r="HW87" i="1"/>
  <c r="HZ87" i="1"/>
  <c r="HX87" i="1"/>
  <c r="IA87" i="1"/>
  <c r="IE87" i="1"/>
  <c r="IB87" i="1"/>
  <c r="HV87" i="1"/>
  <c r="HY87" i="1"/>
  <c r="ID87" i="1"/>
  <c r="HU87" i="1"/>
  <c r="AS84" i="1"/>
  <c r="AT84" i="1" s="1"/>
  <c r="BB84" i="1" s="1"/>
  <c r="BE84" i="1" s="1"/>
  <c r="EL75" i="1" l="1"/>
  <c r="EI75" i="1"/>
  <c r="EH75" i="1"/>
  <c r="EJ75" i="1"/>
  <c r="EC75" i="1"/>
  <c r="EB75" i="1"/>
  <c r="GY64" i="1"/>
  <c r="FG69" i="1"/>
  <c r="FW69" i="1" s="1"/>
  <c r="FX69" i="1" s="1"/>
  <c r="FZ69" i="1" s="1"/>
  <c r="HQ29" i="1"/>
  <c r="HQ28" i="1"/>
  <c r="HQ23" i="1"/>
  <c r="HQ22" i="1"/>
  <c r="HQ36" i="1"/>
  <c r="HQ35" i="1"/>
  <c r="HR19" i="1"/>
  <c r="HR18" i="1"/>
  <c r="GD66" i="1"/>
  <c r="GP66" i="1"/>
  <c r="HR22" i="1" s="1"/>
  <c r="HR24" i="1"/>
  <c r="HQ31" i="1"/>
  <c r="HQ30" i="1"/>
  <c r="HQ25" i="1"/>
  <c r="HQ24" i="1"/>
  <c r="HQ13" i="1"/>
  <c r="HQ37" i="1"/>
  <c r="FS65" i="1"/>
  <c r="FT66" i="1"/>
  <c r="FS66" i="1"/>
  <c r="GO66" i="1"/>
  <c r="GC66" i="1"/>
  <c r="GB66" i="1"/>
  <c r="GR62" i="1"/>
  <c r="GT62" i="1"/>
  <c r="GO65" i="1"/>
  <c r="HM17" i="1" s="1"/>
  <c r="GC65" i="1"/>
  <c r="GB65" i="1"/>
  <c r="FT65" i="1"/>
  <c r="GS64" i="1"/>
  <c r="HA64" i="1" s="1"/>
  <c r="GZ64" i="1"/>
  <c r="GY63" i="1"/>
  <c r="GS63" i="1"/>
  <c r="HC62" i="1"/>
  <c r="HD62" i="1"/>
  <c r="GP68" i="1"/>
  <c r="HR34" i="1" s="1"/>
  <c r="GD68" i="1"/>
  <c r="GA68" i="1"/>
  <c r="FR68" i="1"/>
  <c r="FQ68" i="1"/>
  <c r="FP68" i="1"/>
  <c r="EQ72" i="1"/>
  <c r="EZ72" i="1" s="1"/>
  <c r="FC72" i="1" s="1"/>
  <c r="EP72" i="1"/>
  <c r="EQ71" i="1"/>
  <c r="EZ71" i="1" s="1"/>
  <c r="FC71" i="1" s="1"/>
  <c r="EP71" i="1"/>
  <c r="FR67" i="1"/>
  <c r="FP67" i="1"/>
  <c r="FQ67" i="1"/>
  <c r="FF70" i="1"/>
  <c r="FI70" i="1" s="1"/>
  <c r="FY70" i="1"/>
  <c r="HE70" i="1" s="1"/>
  <c r="EK74" i="1"/>
  <c r="EF74" i="1"/>
  <c r="EE74" i="1"/>
  <c r="EG74" i="1"/>
  <c r="GA67" i="1"/>
  <c r="GD67" i="1"/>
  <c r="GP67" i="1"/>
  <c r="FA70" i="1"/>
  <c r="EV70" i="1"/>
  <c r="FB70" i="1"/>
  <c r="EL74" i="1"/>
  <c r="EH74" i="1"/>
  <c r="EJ74" i="1"/>
  <c r="EI74" i="1"/>
  <c r="EN73" i="1"/>
  <c r="EO73" i="1"/>
  <c r="ER73" i="1" s="1"/>
  <c r="EM73" i="1"/>
  <c r="CA84" i="1"/>
  <c r="BX84" i="1"/>
  <c r="BU84" i="1"/>
  <c r="CE83" i="1"/>
  <c r="CC83" i="1"/>
  <c r="CK83" i="1" s="1"/>
  <c r="CR83" i="1" s="1"/>
  <c r="CB83" i="1"/>
  <c r="HL89" i="1"/>
  <c r="HK89" i="1"/>
  <c r="HS90" i="1" s="1"/>
  <c r="HN88" i="1"/>
  <c r="IE88" i="1"/>
  <c r="HQ88" i="1"/>
  <c r="HV88" i="1"/>
  <c r="HW88" i="1"/>
  <c r="HU88" i="1"/>
  <c r="HT88" i="1"/>
  <c r="HY88" i="1"/>
  <c r="IB88" i="1"/>
  <c r="IC88" i="1"/>
  <c r="HR88" i="1"/>
  <c r="IA88" i="1"/>
  <c r="ID88" i="1"/>
  <c r="HZ88" i="1"/>
  <c r="HX88" i="1"/>
  <c r="HM88" i="1"/>
  <c r="AS85" i="1"/>
  <c r="AT85" i="1" s="1"/>
  <c r="BB85" i="1" l="1"/>
  <c r="BE85" i="1" s="1"/>
  <c r="FM69" i="1"/>
  <c r="FN69" i="1" s="1"/>
  <c r="FR69" i="1" s="1"/>
  <c r="FJ69" i="1"/>
  <c r="GQ69" i="1" s="1"/>
  <c r="HQ40" i="1" s="1"/>
  <c r="EK75" i="1"/>
  <c r="EG75" i="1"/>
  <c r="EE75" i="1"/>
  <c r="EF75" i="1"/>
  <c r="HM23" i="1"/>
  <c r="HM22" i="1"/>
  <c r="HR29" i="1"/>
  <c r="HR28" i="1"/>
  <c r="HR25" i="1"/>
  <c r="HR23" i="1"/>
  <c r="HR36" i="1"/>
  <c r="HR35" i="1"/>
  <c r="HQ42" i="1"/>
  <c r="HQ41" i="1"/>
  <c r="HM19" i="1"/>
  <c r="HM18" i="1"/>
  <c r="HM25" i="1"/>
  <c r="HM24" i="1"/>
  <c r="GI65" i="1"/>
  <c r="HR31" i="1"/>
  <c r="HR30" i="1"/>
  <c r="HQ16" i="1"/>
  <c r="HQ43" i="1"/>
  <c r="HR13" i="1"/>
  <c r="HR37" i="1"/>
  <c r="FS67" i="1"/>
  <c r="FS68" i="1"/>
  <c r="GE66" i="1"/>
  <c r="GF66" i="1" s="1"/>
  <c r="GG66" i="1"/>
  <c r="GH66" i="1"/>
  <c r="GI66" i="1"/>
  <c r="GR64" i="1"/>
  <c r="GT64" i="1"/>
  <c r="GE65" i="1"/>
  <c r="GF65" i="1" s="1"/>
  <c r="GG65" i="1"/>
  <c r="GH65" i="1"/>
  <c r="HD64" i="1"/>
  <c r="HC64" i="1"/>
  <c r="GR63" i="1"/>
  <c r="GT63" i="1"/>
  <c r="HA63" i="1"/>
  <c r="GZ63" i="1"/>
  <c r="FY72" i="1"/>
  <c r="HE72" i="1" s="1"/>
  <c r="FF72" i="1"/>
  <c r="FI72" i="1" s="1"/>
  <c r="GA69" i="1"/>
  <c r="GP69" i="1"/>
  <c r="HR40" i="1" s="1"/>
  <c r="GD69" i="1"/>
  <c r="EQ73" i="1"/>
  <c r="EZ73" i="1" s="1"/>
  <c r="FC73" i="1" s="1"/>
  <c r="EP73" i="1"/>
  <c r="EW70" i="1"/>
  <c r="EX70" i="1"/>
  <c r="FE70" i="1"/>
  <c r="HB70" i="1"/>
  <c r="HF70" i="1" s="1"/>
  <c r="HG70" i="1" s="1"/>
  <c r="FD70" i="1"/>
  <c r="FV70" i="1" s="1"/>
  <c r="EO74" i="1"/>
  <c r="ER74" i="1" s="1"/>
  <c r="EN74" i="1"/>
  <c r="EM74" i="1"/>
  <c r="GB67" i="1"/>
  <c r="GO67" i="1"/>
  <c r="GC67" i="1"/>
  <c r="GO68" i="1"/>
  <c r="HM34" i="1" s="1"/>
  <c r="GB68" i="1"/>
  <c r="GC68" i="1"/>
  <c r="FL70" i="1"/>
  <c r="FO70" i="1"/>
  <c r="FP69" i="1"/>
  <c r="FT67" i="1"/>
  <c r="FT68" i="1"/>
  <c r="FA71" i="1"/>
  <c r="EV71" i="1"/>
  <c r="FB71" i="1"/>
  <c r="FF71" i="1"/>
  <c r="FI71" i="1" s="1"/>
  <c r="FY71" i="1"/>
  <c r="HE71" i="1" s="1"/>
  <c r="FA72" i="1"/>
  <c r="EV72" i="1"/>
  <c r="FB72" i="1"/>
  <c r="CN83" i="1"/>
  <c r="CA85" i="1"/>
  <c r="BX85" i="1"/>
  <c r="BU85" i="1"/>
  <c r="CB84" i="1"/>
  <c r="CC84" i="1"/>
  <c r="CK84" i="1" s="1"/>
  <c r="CR84" i="1" s="1"/>
  <c r="CE84" i="1"/>
  <c r="HL90" i="1"/>
  <c r="HK90" i="1"/>
  <c r="HS91" i="1" s="1"/>
  <c r="HN89" i="1"/>
  <c r="IB89" i="1"/>
  <c r="HT89" i="1"/>
  <c r="ID89" i="1"/>
  <c r="HQ89" i="1"/>
  <c r="HU89" i="1"/>
  <c r="HZ89" i="1"/>
  <c r="IC89" i="1"/>
  <c r="HX89" i="1"/>
  <c r="HM89" i="1"/>
  <c r="HY89" i="1"/>
  <c r="HR89" i="1"/>
  <c r="IA89" i="1"/>
  <c r="HW89" i="1"/>
  <c r="IE89" i="1"/>
  <c r="HV89" i="1"/>
  <c r="AS86" i="1"/>
  <c r="AT86" i="1" s="1"/>
  <c r="BB86" i="1" s="1"/>
  <c r="BE86" i="1" s="1"/>
  <c r="FQ69" i="1" l="1"/>
  <c r="EM75" i="1"/>
  <c r="EO75" i="1"/>
  <c r="ER75" i="1" s="1"/>
  <c r="EN75" i="1"/>
  <c r="HM29" i="1"/>
  <c r="HM28" i="1"/>
  <c r="HR42" i="1"/>
  <c r="HR41" i="1"/>
  <c r="HM36" i="1"/>
  <c r="HM35" i="1"/>
  <c r="GH67" i="1"/>
  <c r="HM31" i="1"/>
  <c r="HM30" i="1"/>
  <c r="HR16" i="1"/>
  <c r="HR43" i="1"/>
  <c r="HM13" i="1"/>
  <c r="HM37" i="1"/>
  <c r="GH68" i="1"/>
  <c r="GI67" i="1"/>
  <c r="GY67" i="1" s="1"/>
  <c r="GI68" i="1"/>
  <c r="FT69" i="1"/>
  <c r="FS69" i="1"/>
  <c r="GS66" i="1"/>
  <c r="GY66" i="1"/>
  <c r="IA22" i="1" s="1"/>
  <c r="GS65" i="1"/>
  <c r="GY65" i="1"/>
  <c r="HC63" i="1"/>
  <c r="HD63" i="1"/>
  <c r="EW71" i="1"/>
  <c r="EX71" i="1"/>
  <c r="HB71" i="1"/>
  <c r="HF71" i="1" s="1"/>
  <c r="HG71" i="1" s="1"/>
  <c r="FE71" i="1"/>
  <c r="FD71" i="1"/>
  <c r="FV71" i="1" s="1"/>
  <c r="EQ74" i="1"/>
  <c r="EZ74" i="1" s="1"/>
  <c r="FC74" i="1" s="1"/>
  <c r="EP74" i="1"/>
  <c r="FA73" i="1"/>
  <c r="FB73" i="1"/>
  <c r="EV73" i="1"/>
  <c r="FL71" i="1"/>
  <c r="FO71" i="1"/>
  <c r="FF73" i="1"/>
  <c r="FI73" i="1" s="1"/>
  <c r="FY73" i="1"/>
  <c r="HE73" i="1" s="1"/>
  <c r="FD72" i="1"/>
  <c r="FV72" i="1" s="1"/>
  <c r="FE72" i="1"/>
  <c r="EX72" i="1"/>
  <c r="EW72" i="1"/>
  <c r="HB72" i="1"/>
  <c r="HF72" i="1" s="1"/>
  <c r="HG72" i="1" s="1"/>
  <c r="FL72" i="1"/>
  <c r="FO72" i="1"/>
  <c r="GE68" i="1"/>
  <c r="GF68" i="1" s="1"/>
  <c r="GG68" i="1"/>
  <c r="CP83" i="1"/>
  <c r="CQ83" i="1"/>
  <c r="HH70" i="1"/>
  <c r="GB69" i="1"/>
  <c r="GO69" i="1"/>
  <c r="HM40" i="1" s="1"/>
  <c r="GC69" i="1"/>
  <c r="FH70" i="1"/>
  <c r="GG67" i="1"/>
  <c r="GE67" i="1"/>
  <c r="GF67" i="1" s="1"/>
  <c r="FG70" i="1"/>
  <c r="FU70" i="1"/>
  <c r="CN84" i="1"/>
  <c r="BU86" i="1"/>
  <c r="BX86" i="1"/>
  <c r="CA86" i="1"/>
  <c r="CC85" i="1"/>
  <c r="CK85" i="1" s="1"/>
  <c r="CR85" i="1" s="1"/>
  <c r="CE85" i="1"/>
  <c r="CB85" i="1"/>
  <c r="HL91" i="1"/>
  <c r="HK91" i="1"/>
  <c r="HS92" i="1" s="1"/>
  <c r="HN90" i="1"/>
  <c r="HT90" i="1"/>
  <c r="HQ90" i="1"/>
  <c r="IB90" i="1"/>
  <c r="HM90" i="1"/>
  <c r="HZ90" i="1"/>
  <c r="IC90" i="1"/>
  <c r="HW90" i="1"/>
  <c r="HY90" i="1"/>
  <c r="IE90" i="1"/>
  <c r="HU90" i="1"/>
  <c r="HV90" i="1"/>
  <c r="HX90" i="1"/>
  <c r="ID90" i="1"/>
  <c r="HR90" i="1"/>
  <c r="IA90" i="1"/>
  <c r="AS87" i="1"/>
  <c r="AT87" i="1" s="1"/>
  <c r="BB87" i="1" l="1"/>
  <c r="BE87" i="1" s="1"/>
  <c r="HH72" i="1"/>
  <c r="HH71" i="1"/>
  <c r="EP75" i="1"/>
  <c r="EQ75" i="1"/>
  <c r="EZ75" i="1" s="1"/>
  <c r="FC75" i="1" s="1"/>
  <c r="FH72" i="1"/>
  <c r="IA29" i="1"/>
  <c r="IA28" i="1"/>
  <c r="HY23" i="1"/>
  <c r="HY22" i="1"/>
  <c r="IA18" i="1"/>
  <c r="IA17" i="1"/>
  <c r="HY18" i="1"/>
  <c r="HY17" i="1"/>
  <c r="IA24" i="1"/>
  <c r="IA23" i="1"/>
  <c r="HM42" i="1"/>
  <c r="HM41" i="1"/>
  <c r="GS67" i="1"/>
  <c r="HY28" i="1" s="1"/>
  <c r="GY68" i="1"/>
  <c r="IA34" i="1" s="1"/>
  <c r="HY25" i="1"/>
  <c r="HY24" i="1"/>
  <c r="IA31" i="1"/>
  <c r="IA30" i="1"/>
  <c r="GS68" i="1"/>
  <c r="HY34" i="1" s="1"/>
  <c r="HM16" i="1"/>
  <c r="HM43" i="1"/>
  <c r="IA36" i="1"/>
  <c r="IA19" i="1"/>
  <c r="HY19" i="1"/>
  <c r="GZ66" i="1"/>
  <c r="IA25" i="1"/>
  <c r="GH69" i="1"/>
  <c r="GT66" i="1"/>
  <c r="GR66" i="1"/>
  <c r="HA66" i="1"/>
  <c r="GZ65" i="1"/>
  <c r="IE17" i="1" s="1"/>
  <c r="GR65" i="1"/>
  <c r="IB17" i="1" s="1"/>
  <c r="GT65" i="1"/>
  <c r="IC17" i="1" s="1"/>
  <c r="HA65" i="1"/>
  <c r="HY13" i="1"/>
  <c r="IA13" i="1"/>
  <c r="FF74" i="1"/>
  <c r="FI74" i="1" s="1"/>
  <c r="FY74" i="1"/>
  <c r="HE74" i="1" s="1"/>
  <c r="CP84" i="1"/>
  <c r="CQ84" i="1"/>
  <c r="GI69" i="1"/>
  <c r="GZ67" i="1"/>
  <c r="FU72" i="1"/>
  <c r="FG72" i="1"/>
  <c r="FD73" i="1"/>
  <c r="FV73" i="1" s="1"/>
  <c r="EX73" i="1"/>
  <c r="HB73" i="1"/>
  <c r="HF73" i="1" s="1"/>
  <c r="HH73" i="1" s="1"/>
  <c r="EW73" i="1"/>
  <c r="FE73" i="1"/>
  <c r="FW70" i="1"/>
  <c r="FX70" i="1" s="1"/>
  <c r="FZ70" i="1" s="1"/>
  <c r="FM70" i="1"/>
  <c r="FN70" i="1" s="1"/>
  <c r="FJ70" i="1"/>
  <c r="GQ70" i="1" s="1"/>
  <c r="HQ21" i="1" s="1"/>
  <c r="GG69" i="1"/>
  <c r="GE69" i="1"/>
  <c r="GF69" i="1" s="1"/>
  <c r="FL73" i="1"/>
  <c r="FO73" i="1"/>
  <c r="FH71" i="1"/>
  <c r="CS83" i="1"/>
  <c r="CU83" i="1" s="1"/>
  <c r="FB74" i="1"/>
  <c r="FA74" i="1"/>
  <c r="EV74" i="1"/>
  <c r="FU71" i="1"/>
  <c r="FG71" i="1"/>
  <c r="CN85" i="1"/>
  <c r="CB86" i="1"/>
  <c r="CC86" i="1"/>
  <c r="CK86" i="1" s="1"/>
  <c r="CE86" i="1"/>
  <c r="BX87" i="1"/>
  <c r="CA87" i="1"/>
  <c r="BU87" i="1"/>
  <c r="HL92" i="1"/>
  <c r="HK92" i="1"/>
  <c r="HS93" i="1" s="1"/>
  <c r="HN91" i="1"/>
  <c r="HU91" i="1"/>
  <c r="HM91" i="1"/>
  <c r="HT91" i="1"/>
  <c r="IE91" i="1"/>
  <c r="HW91" i="1"/>
  <c r="IC91" i="1"/>
  <c r="IA91" i="1"/>
  <c r="HR91" i="1"/>
  <c r="HY91" i="1"/>
  <c r="IB91" i="1"/>
  <c r="HX91" i="1"/>
  <c r="HV91" i="1"/>
  <c r="HQ91" i="1"/>
  <c r="HZ91" i="1"/>
  <c r="ID91" i="1"/>
  <c r="AS88" i="1"/>
  <c r="AT88" i="1" s="1"/>
  <c r="FH73" i="1" l="1"/>
  <c r="FF75" i="1"/>
  <c r="FI75" i="1" s="1"/>
  <c r="FY75" i="1"/>
  <c r="HE75" i="1" s="1"/>
  <c r="FA75" i="1"/>
  <c r="EV75" i="1"/>
  <c r="FB75" i="1"/>
  <c r="IB23" i="1"/>
  <c r="IB22" i="1"/>
  <c r="IC23" i="1"/>
  <c r="IC22" i="1"/>
  <c r="IE29" i="1"/>
  <c r="IE28" i="1"/>
  <c r="IE23" i="1"/>
  <c r="IE22" i="1"/>
  <c r="GT67" i="1"/>
  <c r="HY29" i="1"/>
  <c r="IA37" i="1"/>
  <c r="IA35" i="1"/>
  <c r="HY37" i="1"/>
  <c r="HY35" i="1"/>
  <c r="GR67" i="1"/>
  <c r="IB28" i="1" s="1"/>
  <c r="HY30" i="1"/>
  <c r="IC19" i="1"/>
  <c r="IC18" i="1"/>
  <c r="IB19" i="1"/>
  <c r="IB18" i="1"/>
  <c r="IE19" i="1"/>
  <c r="IE18" i="1"/>
  <c r="HY31" i="1"/>
  <c r="HA67" i="1"/>
  <c r="HD67" i="1" s="1"/>
  <c r="GZ68" i="1"/>
  <c r="HA68" i="1"/>
  <c r="HC68" i="1" s="1"/>
  <c r="GT68" i="1"/>
  <c r="IC34" i="1" s="1"/>
  <c r="GR68" i="1"/>
  <c r="IB34" i="1" s="1"/>
  <c r="IE31" i="1"/>
  <c r="IE30" i="1"/>
  <c r="IE25" i="1"/>
  <c r="IE24" i="1"/>
  <c r="HY36" i="1"/>
  <c r="IC31" i="1"/>
  <c r="IC30" i="1"/>
  <c r="IB25" i="1"/>
  <c r="IB24" i="1"/>
  <c r="IC25" i="1"/>
  <c r="IC24" i="1"/>
  <c r="IB13" i="1"/>
  <c r="IC13" i="1"/>
  <c r="IE13" i="1"/>
  <c r="GY69" i="1"/>
  <c r="GS69" i="1"/>
  <c r="HY40" i="1" s="1"/>
  <c r="IB36" i="1"/>
  <c r="HC66" i="1"/>
  <c r="HD66" i="1"/>
  <c r="HC65" i="1"/>
  <c r="HD65" i="1"/>
  <c r="GA70" i="1"/>
  <c r="GP70" i="1"/>
  <c r="HR21" i="1" s="1"/>
  <c r="GD70" i="1"/>
  <c r="IA16" i="1"/>
  <c r="CY83" i="1"/>
  <c r="CZ83" i="1"/>
  <c r="DA83" i="1"/>
  <c r="HY16" i="1"/>
  <c r="FR70" i="1"/>
  <c r="FP70" i="1"/>
  <c r="FQ70" i="1"/>
  <c r="CN86" i="1"/>
  <c r="CR86" i="1"/>
  <c r="FJ72" i="1"/>
  <c r="GQ72" i="1" s="1"/>
  <c r="HQ33" i="1" s="1"/>
  <c r="FM72" i="1"/>
  <c r="FN72" i="1" s="1"/>
  <c r="FW72" i="1"/>
  <c r="FX72" i="1" s="1"/>
  <c r="FZ72" i="1" s="1"/>
  <c r="CU84" i="1"/>
  <c r="CS84" i="1"/>
  <c r="CT84" i="1" s="1"/>
  <c r="FJ71" i="1"/>
  <c r="GQ71" i="1" s="1"/>
  <c r="HQ27" i="1" s="1"/>
  <c r="FW71" i="1"/>
  <c r="FX71" i="1" s="1"/>
  <c r="FZ71" i="1" s="1"/>
  <c r="FM71" i="1"/>
  <c r="FN71" i="1" s="1"/>
  <c r="CT83" i="1"/>
  <c r="EW74" i="1"/>
  <c r="EX74" i="1"/>
  <c r="HB74" i="1"/>
  <c r="HF74" i="1" s="1"/>
  <c r="HH74" i="1" s="1"/>
  <c r="FE74" i="1"/>
  <c r="FD74" i="1"/>
  <c r="FV74" i="1" s="1"/>
  <c r="FL74" i="1"/>
  <c r="FO74" i="1"/>
  <c r="HG73" i="1"/>
  <c r="CP85" i="1"/>
  <c r="CQ85" i="1"/>
  <c r="FU73" i="1"/>
  <c r="FG73" i="1"/>
  <c r="CC87" i="1"/>
  <c r="CK87" i="1" s="1"/>
  <c r="CR87" i="1" s="1"/>
  <c r="CE87" i="1"/>
  <c r="CB87" i="1"/>
  <c r="HL93" i="1"/>
  <c r="HK93" i="1"/>
  <c r="HS94" i="1" s="1"/>
  <c r="HN92" i="1"/>
  <c r="HU92" i="1"/>
  <c r="IB92" i="1"/>
  <c r="ID92" i="1"/>
  <c r="IA92" i="1"/>
  <c r="HW92" i="1"/>
  <c r="HR92" i="1"/>
  <c r="HQ92" i="1"/>
  <c r="HM92" i="1"/>
  <c r="HV92" i="1"/>
  <c r="HY92" i="1"/>
  <c r="IE92" i="1"/>
  <c r="HZ92" i="1"/>
  <c r="HX92" i="1"/>
  <c r="IC92" i="1"/>
  <c r="HT92" i="1"/>
  <c r="AS89" i="1"/>
  <c r="AT89" i="1" s="1"/>
  <c r="FS70" i="1" l="1"/>
  <c r="HB75" i="1"/>
  <c r="HF75" i="1" s="1"/>
  <c r="EW75" i="1"/>
  <c r="FD75" i="1"/>
  <c r="FV75" i="1" s="1"/>
  <c r="EX75" i="1"/>
  <c r="FE75" i="1"/>
  <c r="FL75" i="1"/>
  <c r="FO75" i="1"/>
  <c r="HG75" i="1"/>
  <c r="HH75" i="1"/>
  <c r="HG74" i="1"/>
  <c r="FH74" i="1"/>
  <c r="IC37" i="1"/>
  <c r="IE37" i="1"/>
  <c r="IE34" i="1"/>
  <c r="IC29" i="1"/>
  <c r="IC28" i="1"/>
  <c r="IB31" i="1"/>
  <c r="IB29" i="1"/>
  <c r="IB30" i="1"/>
  <c r="HC67" i="1"/>
  <c r="IA41" i="1"/>
  <c r="IA40" i="1"/>
  <c r="IE36" i="1"/>
  <c r="IE35" i="1"/>
  <c r="HY42" i="1"/>
  <c r="HY41" i="1"/>
  <c r="IB37" i="1"/>
  <c r="IB35" i="1"/>
  <c r="IC36" i="1"/>
  <c r="IC35" i="1"/>
  <c r="HD68" i="1"/>
  <c r="IA43" i="1"/>
  <c r="IA42" i="1"/>
  <c r="GZ69" i="1"/>
  <c r="IE40" i="1" s="1"/>
  <c r="GT69" i="1"/>
  <c r="IC40" i="1" s="1"/>
  <c r="HY43" i="1"/>
  <c r="IE16" i="1"/>
  <c r="HA69" i="1"/>
  <c r="HD69" i="1" s="1"/>
  <c r="GR69" i="1"/>
  <c r="IB40" i="1" s="1"/>
  <c r="CV84" i="1"/>
  <c r="CW84" i="1"/>
  <c r="CX84" i="1"/>
  <c r="FJ73" i="1"/>
  <c r="GQ73" i="1" s="1"/>
  <c r="HQ39" i="1" s="1"/>
  <c r="FW73" i="1"/>
  <c r="FM73" i="1"/>
  <c r="FN73" i="1" s="1"/>
  <c r="CQ86" i="1"/>
  <c r="CP86" i="1"/>
  <c r="FX73" i="1"/>
  <c r="FZ73" i="1" s="1"/>
  <c r="CY84" i="1"/>
  <c r="DO84" i="1" s="1"/>
  <c r="CZ84" i="1"/>
  <c r="DP84" i="1" s="1"/>
  <c r="DA84" i="1"/>
  <c r="DQ84" i="1" s="1"/>
  <c r="GP71" i="1"/>
  <c r="HR27" i="1" s="1"/>
  <c r="GA71" i="1"/>
  <c r="GD71" i="1"/>
  <c r="CS85" i="1"/>
  <c r="CT85" i="1" s="1"/>
  <c r="FG74" i="1"/>
  <c r="FU74" i="1"/>
  <c r="GA72" i="1"/>
  <c r="GD72" i="1"/>
  <c r="GP72" i="1"/>
  <c r="HR33" i="1" s="1"/>
  <c r="CV83" i="1"/>
  <c r="CW83" i="1"/>
  <c r="DP83" i="1" s="1"/>
  <c r="CX83" i="1"/>
  <c r="FR72" i="1"/>
  <c r="FP72" i="1"/>
  <c r="FQ72" i="1"/>
  <c r="GB70" i="1"/>
  <c r="GO70" i="1"/>
  <c r="HM21" i="1" s="1"/>
  <c r="GC70" i="1"/>
  <c r="GH70" i="1" s="1"/>
  <c r="FR71" i="1"/>
  <c r="FP71" i="1"/>
  <c r="FQ71" i="1"/>
  <c r="FT70" i="1"/>
  <c r="DQ83" i="1"/>
  <c r="CN87" i="1"/>
  <c r="HL94" i="1"/>
  <c r="HK94" i="1"/>
  <c r="HS95" i="1" s="1"/>
  <c r="HN93" i="1"/>
  <c r="IA93" i="1"/>
  <c r="HM93" i="1"/>
  <c r="HX93" i="1"/>
  <c r="HW93" i="1"/>
  <c r="IE93" i="1"/>
  <c r="HU93" i="1"/>
  <c r="HT93" i="1"/>
  <c r="ID93" i="1"/>
  <c r="HZ93" i="1"/>
  <c r="HY93" i="1"/>
  <c r="HV93" i="1"/>
  <c r="HQ93" i="1"/>
  <c r="IB93" i="1"/>
  <c r="IC93" i="1"/>
  <c r="HR93" i="1"/>
  <c r="AS90" i="1"/>
  <c r="AT90" i="1" s="1"/>
  <c r="FH75" i="1" l="1"/>
  <c r="FU75" i="1"/>
  <c r="FG75" i="1"/>
  <c r="FT72" i="1"/>
  <c r="FS71" i="1"/>
  <c r="IE43" i="1"/>
  <c r="IC42" i="1"/>
  <c r="IC41" i="1"/>
  <c r="IE42" i="1"/>
  <c r="IE41" i="1"/>
  <c r="IB42" i="1"/>
  <c r="IB41" i="1"/>
  <c r="HC69" i="1"/>
  <c r="IB16" i="1"/>
  <c r="IB43" i="1"/>
  <c r="IC16" i="1"/>
  <c r="IC43" i="1"/>
  <c r="CV85" i="1"/>
  <c r="CW85" i="1"/>
  <c r="CX85" i="1"/>
  <c r="DL83" i="1"/>
  <c r="CU85" i="1"/>
  <c r="GP73" i="1"/>
  <c r="HR39" i="1" s="1"/>
  <c r="GD73" i="1"/>
  <c r="GA73" i="1"/>
  <c r="DO83" i="1"/>
  <c r="CQ87" i="1"/>
  <c r="CP87" i="1"/>
  <c r="GG70" i="1"/>
  <c r="GS70" i="1" s="1"/>
  <c r="GE70" i="1"/>
  <c r="GF70" i="1" s="1"/>
  <c r="FS72" i="1"/>
  <c r="CU86" i="1"/>
  <c r="CS86" i="1"/>
  <c r="CT86" i="1" s="1"/>
  <c r="GI70" i="1"/>
  <c r="GY70" i="1" s="1"/>
  <c r="GB71" i="1"/>
  <c r="GO71" i="1"/>
  <c r="HM27" i="1" s="1"/>
  <c r="GC71" i="1"/>
  <c r="FR73" i="1"/>
  <c r="FP73" i="1"/>
  <c r="FQ73" i="1"/>
  <c r="DN84" i="1"/>
  <c r="GO72" i="1"/>
  <c r="HM33" i="1" s="1"/>
  <c r="GC72" i="1"/>
  <c r="GB72" i="1"/>
  <c r="FT71" i="1"/>
  <c r="DN83" i="1"/>
  <c r="FW74" i="1"/>
  <c r="FX74" i="1" s="1"/>
  <c r="FZ74" i="1" s="1"/>
  <c r="FJ74" i="1"/>
  <c r="GQ74" i="1" s="1"/>
  <c r="HQ45" i="1" s="1"/>
  <c r="FM74" i="1"/>
  <c r="FN74" i="1" s="1"/>
  <c r="DM84" i="1"/>
  <c r="DM83" i="1"/>
  <c r="DS84" i="1"/>
  <c r="DU84" i="1"/>
  <c r="DL84" i="1"/>
  <c r="HL95" i="1"/>
  <c r="HK95" i="1"/>
  <c r="HS96" i="1" s="1"/>
  <c r="HN94" i="1"/>
  <c r="HT94" i="1"/>
  <c r="IB94" i="1"/>
  <c r="HR94" i="1"/>
  <c r="HW94" i="1"/>
  <c r="IE94" i="1"/>
  <c r="IA94" i="1"/>
  <c r="HQ94" i="1"/>
  <c r="HZ94" i="1"/>
  <c r="HY94" i="1"/>
  <c r="HM94" i="1"/>
  <c r="HV94" i="1"/>
  <c r="HX94" i="1"/>
  <c r="ID94" i="1"/>
  <c r="HU94" i="1"/>
  <c r="IC94" i="1"/>
  <c r="AS91" i="1"/>
  <c r="AT91" i="1" s="1"/>
  <c r="FM75" i="1" l="1"/>
  <c r="FN75" i="1" s="1"/>
  <c r="FJ75" i="1"/>
  <c r="GQ75" i="1" s="1"/>
  <c r="FW75" i="1"/>
  <c r="FX75" i="1"/>
  <c r="FZ75" i="1" s="1"/>
  <c r="FS73" i="1"/>
  <c r="GH71" i="1"/>
  <c r="GP74" i="1"/>
  <c r="HR45" i="1" s="1"/>
  <c r="GD74" i="1"/>
  <c r="GA74" i="1"/>
  <c r="GR70" i="1"/>
  <c r="GT70" i="1"/>
  <c r="IC21" i="1" s="1"/>
  <c r="HY21" i="1"/>
  <c r="HA70" i="1"/>
  <c r="CV86" i="1"/>
  <c r="CW86" i="1"/>
  <c r="CX86" i="1"/>
  <c r="GZ70" i="1"/>
  <c r="IE21" i="1" s="1"/>
  <c r="IA21" i="1"/>
  <c r="DV84" i="1"/>
  <c r="DZ84" i="1" s="1"/>
  <c r="DW84" i="1"/>
  <c r="DX84" i="1" s="1"/>
  <c r="EA84" i="1" s="1"/>
  <c r="DR84" i="1"/>
  <c r="GC73" i="1"/>
  <c r="GO73" i="1"/>
  <c r="HM39" i="1" s="1"/>
  <c r="GB73" i="1"/>
  <c r="CY86" i="1"/>
  <c r="DO86" i="1" s="1"/>
  <c r="CZ86" i="1"/>
  <c r="DP86" i="1" s="1"/>
  <c r="DA86" i="1"/>
  <c r="DQ86" i="1" s="1"/>
  <c r="CS87" i="1"/>
  <c r="CU87" i="1" s="1"/>
  <c r="CT87" i="1"/>
  <c r="GG72" i="1"/>
  <c r="GE72" i="1"/>
  <c r="GF72" i="1" s="1"/>
  <c r="FT73" i="1"/>
  <c r="DU83" i="1"/>
  <c r="DS83" i="1"/>
  <c r="DY84" i="1"/>
  <c r="FQ74" i="1"/>
  <c r="FP74" i="1"/>
  <c r="FR74" i="1"/>
  <c r="GH72" i="1"/>
  <c r="GI71" i="1"/>
  <c r="GY71" i="1" s="1"/>
  <c r="DN85" i="1"/>
  <c r="GI72" i="1"/>
  <c r="DM85" i="1"/>
  <c r="GE71" i="1"/>
  <c r="GF71" i="1" s="1"/>
  <c r="GG71" i="1"/>
  <c r="CY85" i="1"/>
  <c r="DO85" i="1" s="1"/>
  <c r="CZ85" i="1"/>
  <c r="DP85" i="1" s="1"/>
  <c r="DA85" i="1"/>
  <c r="DQ85" i="1" s="1"/>
  <c r="DL85" i="1"/>
  <c r="DW83" i="1"/>
  <c r="DX83" i="1" s="1"/>
  <c r="DV83" i="1"/>
  <c r="DR83" i="1"/>
  <c r="HL96" i="1"/>
  <c r="HK96" i="1"/>
  <c r="HS97" i="1" s="1"/>
  <c r="HN95" i="1"/>
  <c r="IC95" i="1"/>
  <c r="HR95" i="1"/>
  <c r="HT95" i="1"/>
  <c r="ID95" i="1"/>
  <c r="HY95" i="1"/>
  <c r="HW95" i="1"/>
  <c r="HZ95" i="1"/>
  <c r="HQ95" i="1"/>
  <c r="HV95" i="1"/>
  <c r="HX95" i="1"/>
  <c r="IB95" i="1"/>
  <c r="IE95" i="1"/>
  <c r="HM95" i="1"/>
  <c r="HU95" i="1"/>
  <c r="IA95" i="1"/>
  <c r="AS92" i="1"/>
  <c r="AT92" i="1" s="1"/>
  <c r="GS71" i="1" l="1"/>
  <c r="GA75" i="1"/>
  <c r="GD75" i="1"/>
  <c r="GP75" i="1"/>
  <c r="FP75" i="1"/>
  <c r="FR75" i="1"/>
  <c r="FQ75" i="1"/>
  <c r="FT74" i="1"/>
  <c r="CY87" i="1"/>
  <c r="CZ87" i="1"/>
  <c r="DA87" i="1"/>
  <c r="GZ71" i="1"/>
  <c r="IE27" i="1" s="1"/>
  <c r="IA27" i="1"/>
  <c r="DR85" i="1"/>
  <c r="DW85" i="1"/>
  <c r="DX85" i="1" s="1"/>
  <c r="EA85" i="1" s="1"/>
  <c r="DV85" i="1"/>
  <c r="GT71" i="1"/>
  <c r="IC27" i="1" s="1"/>
  <c r="GR71" i="1"/>
  <c r="IB27" i="1" s="1"/>
  <c r="HY27" i="1"/>
  <c r="HA71" i="1"/>
  <c r="ED84" i="1"/>
  <c r="EB84" i="1"/>
  <c r="EC84" i="1"/>
  <c r="DY83" i="1"/>
  <c r="DS86" i="1"/>
  <c r="DU86" i="1"/>
  <c r="HD70" i="1"/>
  <c r="HC70" i="1"/>
  <c r="GS72" i="1"/>
  <c r="GY72" i="1"/>
  <c r="GG73" i="1"/>
  <c r="GE73" i="1"/>
  <c r="GF73" i="1" s="1"/>
  <c r="DU85" i="1"/>
  <c r="DY85" i="1" s="1"/>
  <c r="DS85" i="1"/>
  <c r="GC74" i="1"/>
  <c r="GB74" i="1"/>
  <c r="GO74" i="1"/>
  <c r="HM45" i="1" s="1"/>
  <c r="GH73" i="1"/>
  <c r="IB21" i="1"/>
  <c r="CV87" i="1"/>
  <c r="CW87" i="1"/>
  <c r="CX87" i="1"/>
  <c r="DZ83" i="1"/>
  <c r="FS74" i="1"/>
  <c r="DN86" i="1"/>
  <c r="EA83" i="1"/>
  <c r="GI73" i="1"/>
  <c r="DM86" i="1"/>
  <c r="DL86" i="1"/>
  <c r="HL97" i="1"/>
  <c r="HK97" i="1"/>
  <c r="HS98" i="1" s="1"/>
  <c r="HN96" i="1"/>
  <c r="IE96" i="1"/>
  <c r="HY96" i="1"/>
  <c r="HU96" i="1"/>
  <c r="HQ96" i="1"/>
  <c r="HV96" i="1"/>
  <c r="HW96" i="1"/>
  <c r="ID96" i="1"/>
  <c r="HT96" i="1"/>
  <c r="IB96" i="1"/>
  <c r="IC96" i="1"/>
  <c r="HR96" i="1"/>
  <c r="HX96" i="1"/>
  <c r="IA96" i="1"/>
  <c r="HM96" i="1"/>
  <c r="HZ96" i="1"/>
  <c r="AS93" i="1"/>
  <c r="AT93" i="1" s="1"/>
  <c r="GI74" i="1" l="1"/>
  <c r="FS75" i="1"/>
  <c r="FT75" i="1"/>
  <c r="GB75" i="1"/>
  <c r="GC75" i="1"/>
  <c r="GH75" i="1" s="1"/>
  <c r="GO75" i="1"/>
  <c r="GI75" i="1"/>
  <c r="GH74" i="1"/>
  <c r="GY74" i="1" s="1"/>
  <c r="DL87" i="1"/>
  <c r="DY86" i="1"/>
  <c r="HC71" i="1"/>
  <c r="HD71" i="1"/>
  <c r="DW86" i="1"/>
  <c r="DX86" i="1" s="1"/>
  <c r="DR86" i="1"/>
  <c r="DV86" i="1"/>
  <c r="GS73" i="1"/>
  <c r="GY73" i="1"/>
  <c r="GZ72" i="1"/>
  <c r="IE33" i="1" s="1"/>
  <c r="IA33" i="1"/>
  <c r="DZ85" i="1"/>
  <c r="GT72" i="1"/>
  <c r="IC33" i="1" s="1"/>
  <c r="GR72" i="1"/>
  <c r="HY33" i="1"/>
  <c r="HA72" i="1"/>
  <c r="EK84" i="1"/>
  <c r="EG84" i="1"/>
  <c r="EE84" i="1"/>
  <c r="EF84" i="1"/>
  <c r="DQ87" i="1"/>
  <c r="ED83" i="1"/>
  <c r="EC83" i="1"/>
  <c r="EB83" i="1"/>
  <c r="DN87" i="1"/>
  <c r="GE74" i="1"/>
  <c r="GF74" i="1" s="1"/>
  <c r="GG74" i="1"/>
  <c r="DP87" i="1"/>
  <c r="DM87" i="1"/>
  <c r="EL84" i="1"/>
  <c r="EJ84" i="1"/>
  <c r="EH84" i="1"/>
  <c r="EI84" i="1"/>
  <c r="DO87" i="1"/>
  <c r="HL98" i="1"/>
  <c r="HK98" i="1"/>
  <c r="HS99" i="1" s="1"/>
  <c r="HN97" i="1"/>
  <c r="IB97" i="1"/>
  <c r="ID97" i="1"/>
  <c r="IE97" i="1"/>
  <c r="IC97" i="1"/>
  <c r="HZ97" i="1"/>
  <c r="IA97" i="1"/>
  <c r="HY97" i="1"/>
  <c r="HX97" i="1"/>
  <c r="HR97" i="1"/>
  <c r="HU97" i="1"/>
  <c r="HQ97" i="1"/>
  <c r="HM97" i="1"/>
  <c r="HW97" i="1"/>
  <c r="HV97" i="1"/>
  <c r="HT97" i="1"/>
  <c r="AS94" i="1"/>
  <c r="AT94" i="1" s="1"/>
  <c r="GY75" i="1" l="1"/>
  <c r="GZ75" i="1" s="1"/>
  <c r="GE75" i="1"/>
  <c r="GF75" i="1" s="1"/>
  <c r="GG75" i="1"/>
  <c r="GS75" i="1" s="1"/>
  <c r="GS74" i="1"/>
  <c r="HA74" i="1" s="1"/>
  <c r="HY45" i="1"/>
  <c r="EA86" i="1"/>
  <c r="IB33" i="1"/>
  <c r="EC85" i="1"/>
  <c r="ED85" i="1"/>
  <c r="EB85" i="1"/>
  <c r="EL83" i="1"/>
  <c r="EJ83" i="1"/>
  <c r="EI83" i="1"/>
  <c r="EH83" i="1"/>
  <c r="GZ74" i="1"/>
  <c r="IE45" i="1" s="1"/>
  <c r="IA45" i="1"/>
  <c r="DU87" i="1"/>
  <c r="DS87" i="1"/>
  <c r="EO84" i="1"/>
  <c r="ER84" i="1" s="1"/>
  <c r="EN84" i="1"/>
  <c r="EM84" i="1"/>
  <c r="GZ73" i="1"/>
  <c r="IE39" i="1" s="1"/>
  <c r="IA39" i="1"/>
  <c r="HD72" i="1"/>
  <c r="HC72" i="1"/>
  <c r="GT73" i="1"/>
  <c r="IC39" i="1" s="1"/>
  <c r="GR73" i="1"/>
  <c r="IB39" i="1" s="1"/>
  <c r="HY39" i="1"/>
  <c r="HA73" i="1"/>
  <c r="EK83" i="1"/>
  <c r="EF83" i="1"/>
  <c r="EG83" i="1"/>
  <c r="EE83" i="1"/>
  <c r="DZ86" i="1"/>
  <c r="DV87" i="1"/>
  <c r="DZ87" i="1" s="1"/>
  <c r="DW87" i="1"/>
  <c r="DX87" i="1" s="1"/>
  <c r="EA87" i="1" s="1"/>
  <c r="DR87" i="1"/>
  <c r="HL99" i="1"/>
  <c r="HK99" i="1"/>
  <c r="HS100" i="1" s="1"/>
  <c r="HN98" i="1"/>
  <c r="HT98" i="1"/>
  <c r="HZ98" i="1"/>
  <c r="HX98" i="1"/>
  <c r="IB98" i="1"/>
  <c r="IC98" i="1"/>
  <c r="HW98" i="1"/>
  <c r="HY98" i="1"/>
  <c r="IE98" i="1"/>
  <c r="HM98" i="1"/>
  <c r="IA98" i="1"/>
  <c r="ID98" i="1"/>
  <c r="HU98" i="1"/>
  <c r="HQ98" i="1"/>
  <c r="HV98" i="1"/>
  <c r="HR98" i="1"/>
  <c r="AS95" i="1"/>
  <c r="AT95" i="1" s="1"/>
  <c r="GT74" i="1" l="1"/>
  <c r="IC45" i="1" s="1"/>
  <c r="GR74" i="1"/>
  <c r="IB45" i="1" s="1"/>
  <c r="GR75" i="1"/>
  <c r="GT75" i="1"/>
  <c r="HA75" i="1"/>
  <c r="HC73" i="1"/>
  <c r="HD73" i="1"/>
  <c r="ED86" i="1"/>
  <c r="EB86" i="1"/>
  <c r="EC86" i="1"/>
  <c r="EP84" i="1"/>
  <c r="EQ84" i="1"/>
  <c r="EZ84" i="1" s="1"/>
  <c r="FC84" i="1" s="1"/>
  <c r="EO83" i="1"/>
  <c r="ER83" i="1" s="1"/>
  <c r="EN83" i="1"/>
  <c r="EM83" i="1"/>
  <c r="HD74" i="1"/>
  <c r="HC74" i="1"/>
  <c r="DY87" i="1"/>
  <c r="EB87" i="1" s="1"/>
  <c r="EL85" i="1"/>
  <c r="EH85" i="1"/>
  <c r="EJ85" i="1"/>
  <c r="EI85" i="1"/>
  <c r="EK85" i="1"/>
  <c r="EE85" i="1"/>
  <c r="EG85" i="1"/>
  <c r="EF85" i="1"/>
  <c r="ED87" i="1"/>
  <c r="EC87" i="1"/>
  <c r="HL100" i="1"/>
  <c r="HK100" i="1"/>
  <c r="HS101" i="1" s="1"/>
  <c r="HN99" i="1"/>
  <c r="HU99" i="1"/>
  <c r="HM99" i="1"/>
  <c r="IC99" i="1"/>
  <c r="HY99" i="1"/>
  <c r="ID99" i="1"/>
  <c r="HW99" i="1"/>
  <c r="HX99" i="1"/>
  <c r="HV99" i="1"/>
  <c r="HQ99" i="1"/>
  <c r="IE99" i="1"/>
  <c r="IB99" i="1"/>
  <c r="IA99" i="1"/>
  <c r="HT99" i="1"/>
  <c r="HZ99" i="1"/>
  <c r="HR99" i="1"/>
  <c r="AS96" i="1"/>
  <c r="AT96" i="1" s="1"/>
  <c r="HD75" i="1" l="1"/>
  <c r="HC75" i="1"/>
  <c r="FF84" i="1"/>
  <c r="FI84" i="1" s="1"/>
  <c r="FY84" i="1"/>
  <c r="HE84" i="1" s="1"/>
  <c r="FA84" i="1"/>
  <c r="EV84" i="1"/>
  <c r="FB84" i="1"/>
  <c r="EK86" i="1"/>
  <c r="EF86" i="1"/>
  <c r="EE86" i="1"/>
  <c r="EG86" i="1"/>
  <c r="EL87" i="1"/>
  <c r="EJ87" i="1"/>
  <c r="EH87" i="1"/>
  <c r="EI87" i="1"/>
  <c r="EM85" i="1"/>
  <c r="EN85" i="1"/>
  <c r="EO85" i="1"/>
  <c r="ER85" i="1" s="1"/>
  <c r="EP83" i="1"/>
  <c r="EQ83" i="1"/>
  <c r="EZ83" i="1" s="1"/>
  <c r="FC83" i="1" s="1"/>
  <c r="EL86" i="1"/>
  <c r="EI86" i="1"/>
  <c r="EH86" i="1"/>
  <c r="EJ86" i="1"/>
  <c r="EK87" i="1"/>
  <c r="EE87" i="1"/>
  <c r="EF87" i="1"/>
  <c r="EG87" i="1"/>
  <c r="HL101" i="1"/>
  <c r="HK101" i="1"/>
  <c r="HS102" i="1" s="1"/>
  <c r="HN100" i="1"/>
  <c r="HU100" i="1"/>
  <c r="HZ100" i="1"/>
  <c r="IA100" i="1"/>
  <c r="IC100" i="1"/>
  <c r="HW100" i="1"/>
  <c r="HR100" i="1"/>
  <c r="HQ100" i="1"/>
  <c r="HM100" i="1"/>
  <c r="HV100" i="1"/>
  <c r="ID100" i="1"/>
  <c r="HY100" i="1"/>
  <c r="HX100" i="1"/>
  <c r="IB100" i="1"/>
  <c r="HT100" i="1"/>
  <c r="IE100" i="1"/>
  <c r="AS97" i="1"/>
  <c r="AT97" i="1" s="1"/>
  <c r="AN164" i="1" l="1" a="1"/>
  <c r="AN164" i="1" s="1"/>
  <c r="EN87" i="1"/>
  <c r="EM87" i="1"/>
  <c r="EO87" i="1"/>
  <c r="ER87" i="1" s="1"/>
  <c r="EQ85" i="1"/>
  <c r="EZ85" i="1" s="1"/>
  <c r="FC85" i="1" s="1"/>
  <c r="EP85" i="1"/>
  <c r="EN86" i="1"/>
  <c r="EO86" i="1"/>
  <c r="ER86" i="1" s="1"/>
  <c r="EM86" i="1"/>
  <c r="HB84" i="1"/>
  <c r="HF84" i="1" s="1"/>
  <c r="FE84" i="1"/>
  <c r="EX84" i="1"/>
  <c r="FH84" i="1" s="1"/>
  <c r="FD84" i="1"/>
  <c r="FV84" i="1" s="1"/>
  <c r="EW84" i="1"/>
  <c r="FF83" i="1"/>
  <c r="FI83" i="1" s="1"/>
  <c r="FY83" i="1"/>
  <c r="HE83" i="1" s="1"/>
  <c r="FL84" i="1"/>
  <c r="FO84" i="1"/>
  <c r="HG84" i="1"/>
  <c r="HH84" i="1"/>
  <c r="EV83" i="1"/>
  <c r="FA83" i="1"/>
  <c r="FB83" i="1"/>
  <c r="HL102" i="1"/>
  <c r="HK102" i="1"/>
  <c r="HS103" i="1" s="1"/>
  <c r="HN101" i="1"/>
  <c r="IA101" i="1"/>
  <c r="HM101" i="1"/>
  <c r="HX101" i="1"/>
  <c r="HW101" i="1"/>
  <c r="HZ101" i="1"/>
  <c r="HY101" i="1"/>
  <c r="HV101" i="1"/>
  <c r="HT101" i="1"/>
  <c r="IB101" i="1"/>
  <c r="ID101" i="1"/>
  <c r="IE101" i="1"/>
  <c r="HU101" i="1"/>
  <c r="HQ101" i="1"/>
  <c r="IC101" i="1"/>
  <c r="HR101" i="1"/>
  <c r="AS98" i="1"/>
  <c r="AT98" i="1" s="1"/>
  <c r="FU84" i="1" l="1"/>
  <c r="FG84" i="1"/>
  <c r="EV85" i="1"/>
  <c r="FB85" i="1"/>
  <c r="FA85" i="1"/>
  <c r="EX83" i="1"/>
  <c r="FH83" i="1" s="1"/>
  <c r="FD83" i="1"/>
  <c r="FV83" i="1" s="1"/>
  <c r="FE83" i="1"/>
  <c r="EW83" i="1"/>
  <c r="HB83" i="1"/>
  <c r="HF83" i="1" s="1"/>
  <c r="HH83" i="1" s="1"/>
  <c r="FF85" i="1"/>
  <c r="FI85" i="1" s="1"/>
  <c r="FY85" i="1"/>
  <c r="HE85" i="1" s="1"/>
  <c r="FL83" i="1"/>
  <c r="FO83" i="1"/>
  <c r="EQ87" i="1"/>
  <c r="EZ87" i="1" s="1"/>
  <c r="FC87" i="1" s="1"/>
  <c r="EP87" i="1"/>
  <c r="EQ86" i="1"/>
  <c r="EZ86" i="1" s="1"/>
  <c r="FC86" i="1" s="1"/>
  <c r="EP86" i="1"/>
  <c r="HL103" i="1"/>
  <c r="HK103" i="1"/>
  <c r="HS104" i="1" s="1"/>
  <c r="HN102" i="1"/>
  <c r="HT102" i="1"/>
  <c r="HV102" i="1"/>
  <c r="IE102" i="1"/>
  <c r="ID102" i="1"/>
  <c r="HM102" i="1"/>
  <c r="HW102" i="1"/>
  <c r="HR102" i="1"/>
  <c r="IA102" i="1"/>
  <c r="HZ102" i="1"/>
  <c r="HQ102" i="1"/>
  <c r="HY102" i="1"/>
  <c r="IB102" i="1"/>
  <c r="HX102" i="1"/>
  <c r="IC102" i="1"/>
  <c r="HU102" i="1"/>
  <c r="AS99" i="1"/>
  <c r="AT99" i="1" s="1"/>
  <c r="FL85" i="1" l="1"/>
  <c r="FO85" i="1"/>
  <c r="FE85" i="1"/>
  <c r="EX85" i="1"/>
  <c r="FH85" i="1" s="1"/>
  <c r="FD85" i="1"/>
  <c r="FV85" i="1" s="1"/>
  <c r="EW85" i="1"/>
  <c r="HB85" i="1"/>
  <c r="HF85" i="1" s="1"/>
  <c r="FW84" i="1"/>
  <c r="FM84" i="1"/>
  <c r="FN84" i="1" s="1"/>
  <c r="FJ84" i="1"/>
  <c r="GQ84" i="1" s="1"/>
  <c r="HQ26" i="1" s="1"/>
  <c r="FA87" i="1"/>
  <c r="FB87" i="1"/>
  <c r="EV87" i="1"/>
  <c r="FG83" i="1"/>
  <c r="FU83" i="1"/>
  <c r="FX84" i="1"/>
  <c r="FZ84" i="1" s="1"/>
  <c r="FF86" i="1"/>
  <c r="FI86" i="1" s="1"/>
  <c r="FY86" i="1"/>
  <c r="HE86" i="1" s="1"/>
  <c r="FF87" i="1"/>
  <c r="FI87" i="1" s="1"/>
  <c r="FY87" i="1"/>
  <c r="HE87" i="1" s="1"/>
  <c r="HG83" i="1"/>
  <c r="EV86" i="1"/>
  <c r="FA86" i="1"/>
  <c r="FB86" i="1"/>
  <c r="HH85" i="1"/>
  <c r="HG85" i="1"/>
  <c r="HL104" i="1"/>
  <c r="HK104" i="1"/>
  <c r="HS105" i="1" s="1"/>
  <c r="HN103" i="1"/>
  <c r="IC103" i="1"/>
  <c r="HR103" i="1"/>
  <c r="HT103" i="1"/>
  <c r="HZ103" i="1"/>
  <c r="ID103" i="1"/>
  <c r="IE103" i="1"/>
  <c r="HU103" i="1"/>
  <c r="HW103" i="1"/>
  <c r="IA103" i="1"/>
  <c r="HM103" i="1"/>
  <c r="IB103" i="1"/>
  <c r="HX103" i="1"/>
  <c r="HQ103" i="1"/>
  <c r="HV103" i="1"/>
  <c r="HY103" i="1"/>
  <c r="AS100" i="1"/>
  <c r="AT100" i="1" s="1"/>
  <c r="FD86" i="1" l="1"/>
  <c r="FV86" i="1" s="1"/>
  <c r="FE86" i="1"/>
  <c r="EW86" i="1"/>
  <c r="HB86" i="1"/>
  <c r="HF86" i="1" s="1"/>
  <c r="EX86" i="1"/>
  <c r="FH86" i="1" s="1"/>
  <c r="FM83" i="1"/>
  <c r="FN83" i="1" s="1"/>
  <c r="FW83" i="1"/>
  <c r="FJ83" i="1"/>
  <c r="GQ83" i="1" s="1"/>
  <c r="HQ20" i="1" s="1"/>
  <c r="FG85" i="1"/>
  <c r="FU85" i="1"/>
  <c r="HB87" i="1"/>
  <c r="HF87" i="1" s="1"/>
  <c r="HH87" i="1" s="1"/>
  <c r="FD87" i="1"/>
  <c r="FV87" i="1" s="1"/>
  <c r="FE87" i="1"/>
  <c r="EX87" i="1"/>
  <c r="FH87" i="1" s="1"/>
  <c r="EW87" i="1"/>
  <c r="HG87" i="1"/>
  <c r="FL87" i="1"/>
  <c r="FO87" i="1"/>
  <c r="FP84" i="1"/>
  <c r="FQ84" i="1"/>
  <c r="FR84" i="1"/>
  <c r="FT84" i="1" s="1"/>
  <c r="GD84" i="1"/>
  <c r="GP84" i="1"/>
  <c r="HR26" i="1" s="1"/>
  <c r="GA84" i="1"/>
  <c r="HG86" i="1"/>
  <c r="HH86" i="1"/>
  <c r="FL86" i="1"/>
  <c r="FO86" i="1"/>
  <c r="FX83" i="1"/>
  <c r="FZ83" i="1" s="1"/>
  <c r="HL105" i="1"/>
  <c r="HK105" i="1"/>
  <c r="HS106" i="1" s="1"/>
  <c r="HN104" i="1"/>
  <c r="HT104" i="1"/>
  <c r="HQ104" i="1"/>
  <c r="IA104" i="1"/>
  <c r="HY104" i="1"/>
  <c r="IE104" i="1"/>
  <c r="HZ104" i="1"/>
  <c r="IC104" i="1"/>
  <c r="HM104" i="1"/>
  <c r="HW104" i="1"/>
  <c r="HU104" i="1"/>
  <c r="HX104" i="1"/>
  <c r="HV104" i="1"/>
  <c r="IB104" i="1"/>
  <c r="ID104" i="1"/>
  <c r="HR104" i="1"/>
  <c r="AS101" i="1"/>
  <c r="AT101" i="1" s="1"/>
  <c r="HH8" i="1" l="1"/>
  <c r="HG8" i="1"/>
  <c r="FG87" i="1"/>
  <c r="FU87" i="1"/>
  <c r="FR83" i="1"/>
  <c r="FQ83" i="1"/>
  <c r="FS83" i="1" s="1"/>
  <c r="FP83" i="1"/>
  <c r="GP83" i="1"/>
  <c r="HR20" i="1" s="1"/>
  <c r="GD83" i="1"/>
  <c r="GA83" i="1"/>
  <c r="FS84" i="1"/>
  <c r="GO84" i="1"/>
  <c r="HM26" i="1" s="1"/>
  <c r="GC84" i="1"/>
  <c r="GH84" i="1" s="1"/>
  <c r="GB84" i="1"/>
  <c r="GI84" i="1" s="1"/>
  <c r="FG86" i="1"/>
  <c r="FU86" i="1"/>
  <c r="FW85" i="1"/>
  <c r="FX85" i="1" s="1"/>
  <c r="FZ85" i="1" s="1"/>
  <c r="FJ85" i="1"/>
  <c r="GQ85" i="1" s="1"/>
  <c r="HQ32" i="1" s="1"/>
  <c r="FM85" i="1"/>
  <c r="FN85" i="1" s="1"/>
  <c r="HL106" i="1"/>
  <c r="HK106" i="1"/>
  <c r="HS107" i="1" s="1"/>
  <c r="HN105" i="1"/>
  <c r="IC105" i="1"/>
  <c r="HT105" i="1"/>
  <c r="HY105" i="1"/>
  <c r="IA105" i="1"/>
  <c r="IE105" i="1"/>
  <c r="HR105" i="1"/>
  <c r="ID105" i="1"/>
  <c r="HW105" i="1"/>
  <c r="IB105" i="1"/>
  <c r="HV105" i="1"/>
  <c r="HQ105" i="1"/>
  <c r="HZ105" i="1"/>
  <c r="HX105" i="1"/>
  <c r="HM105" i="1"/>
  <c r="HU105" i="1"/>
  <c r="AS102" i="1"/>
  <c r="AT102" i="1" s="1"/>
  <c r="HF8" i="1" l="1"/>
  <c r="HE8" i="1"/>
  <c r="GA85" i="1"/>
  <c r="GD85" i="1"/>
  <c r="GP85" i="1"/>
  <c r="HR32" i="1" s="1"/>
  <c r="GB83" i="1"/>
  <c r="GO83" i="1"/>
  <c r="HM20" i="1" s="1"/>
  <c r="GC83" i="1"/>
  <c r="GH83" i="1" s="1"/>
  <c r="FT83" i="1"/>
  <c r="FR85" i="1"/>
  <c r="FT85" i="1" s="1"/>
  <c r="FQ85" i="1"/>
  <c r="FP85" i="1"/>
  <c r="GY84" i="1"/>
  <c r="FX87" i="1"/>
  <c r="FZ87" i="1" s="1"/>
  <c r="FX86" i="1"/>
  <c r="FZ86" i="1" s="1"/>
  <c r="FW86" i="1"/>
  <c r="FM86" i="1"/>
  <c r="FN86" i="1" s="1"/>
  <c r="FJ86" i="1"/>
  <c r="GQ86" i="1" s="1"/>
  <c r="HQ38" i="1" s="1"/>
  <c r="FJ87" i="1"/>
  <c r="GQ87" i="1" s="1"/>
  <c r="HQ44" i="1" s="1"/>
  <c r="FM87" i="1"/>
  <c r="FN87" i="1" s="1"/>
  <c r="FW87" i="1"/>
  <c r="GG84" i="1"/>
  <c r="GS84" i="1" s="1"/>
  <c r="GE84" i="1"/>
  <c r="GF84" i="1" s="1"/>
  <c r="GI83" i="1"/>
  <c r="HL107" i="1"/>
  <c r="HK107" i="1"/>
  <c r="HS108" i="1" s="1"/>
  <c r="HN106" i="1"/>
  <c r="HT106" i="1"/>
  <c r="HQ106" i="1"/>
  <c r="ID106" i="1"/>
  <c r="HU106" i="1"/>
  <c r="HY106" i="1"/>
  <c r="IB106" i="1"/>
  <c r="HX106" i="1"/>
  <c r="IE106" i="1"/>
  <c r="HM106" i="1"/>
  <c r="HW106" i="1"/>
  <c r="IC106" i="1"/>
  <c r="HV106" i="1"/>
  <c r="IA106" i="1"/>
  <c r="HZ106" i="1"/>
  <c r="HR106" i="1"/>
  <c r="AS103" i="1"/>
  <c r="GT84" i="1" l="1"/>
  <c r="IC26" i="1" s="1"/>
  <c r="GR84" i="1"/>
  <c r="IB26" i="1" s="1"/>
  <c r="HY26" i="1"/>
  <c r="HA84" i="1"/>
  <c r="FR86" i="1"/>
  <c r="FQ86" i="1"/>
  <c r="FS86" i="1" s="1"/>
  <c r="FP86" i="1"/>
  <c r="GP86" i="1"/>
  <c r="HR38" i="1" s="1"/>
  <c r="GD86" i="1"/>
  <c r="GA86" i="1"/>
  <c r="GY83" i="1"/>
  <c r="GD87" i="1"/>
  <c r="GP87" i="1"/>
  <c r="HR44" i="1" s="1"/>
  <c r="GA87" i="1"/>
  <c r="GZ84" i="1"/>
  <c r="IE26" i="1" s="1"/>
  <c r="IA26" i="1"/>
  <c r="GE83" i="1"/>
  <c r="GF83" i="1" s="1"/>
  <c r="GG83" i="1"/>
  <c r="GS83" i="1" s="1"/>
  <c r="FR87" i="1"/>
  <c r="FQ87" i="1"/>
  <c r="FS87" i="1" s="1"/>
  <c r="FP87" i="1"/>
  <c r="GC85" i="1"/>
  <c r="GH85" i="1" s="1"/>
  <c r="GB85" i="1"/>
  <c r="GO85" i="1"/>
  <c r="HM32" i="1" s="1"/>
  <c r="GI85" i="1"/>
  <c r="FS85" i="1"/>
  <c r="HL108" i="1"/>
  <c r="HK108" i="1"/>
  <c r="HS109" i="1" s="1"/>
  <c r="HN107" i="1"/>
  <c r="HZ107" i="1"/>
  <c r="HM107" i="1"/>
  <c r="HX107" i="1"/>
  <c r="IA107" i="1"/>
  <c r="ID107" i="1"/>
  <c r="HV107" i="1"/>
  <c r="HW107" i="1"/>
  <c r="HU107" i="1"/>
  <c r="IB107" i="1"/>
  <c r="IC107" i="1"/>
  <c r="HY107" i="1"/>
  <c r="HQ107" i="1"/>
  <c r="IE107" i="1"/>
  <c r="HT107" i="1"/>
  <c r="HR107" i="1"/>
  <c r="AS104" i="1"/>
  <c r="GT83" i="1" l="1"/>
  <c r="IC20" i="1" s="1"/>
  <c r="GR83" i="1"/>
  <c r="IB20" i="1" s="1"/>
  <c r="HY20" i="1"/>
  <c r="HA83" i="1"/>
  <c r="GE85" i="1"/>
  <c r="GF85" i="1" s="1"/>
  <c r="GG85" i="1"/>
  <c r="GS85" i="1" s="1"/>
  <c r="GB86" i="1"/>
  <c r="GC86" i="1"/>
  <c r="GO86" i="1"/>
  <c r="HM38" i="1" s="1"/>
  <c r="FT86" i="1"/>
  <c r="GY85" i="1"/>
  <c r="GB87" i="1"/>
  <c r="GO87" i="1"/>
  <c r="HM44" i="1" s="1"/>
  <c r="GC87" i="1"/>
  <c r="GH87" i="1" s="1"/>
  <c r="FT87" i="1"/>
  <c r="GZ83" i="1"/>
  <c r="IE20" i="1" s="1"/>
  <c r="IA20" i="1"/>
  <c r="HD84" i="1"/>
  <c r="HC84" i="1"/>
  <c r="HL109" i="1"/>
  <c r="HK109" i="1"/>
  <c r="HS110" i="1" s="1"/>
  <c r="HN108" i="1"/>
  <c r="IC108" i="1"/>
  <c r="ID108" i="1"/>
  <c r="IA108" i="1"/>
  <c r="HZ108" i="1"/>
  <c r="IB108" i="1"/>
  <c r="HX108" i="1"/>
  <c r="HU108" i="1"/>
  <c r="IE108" i="1"/>
  <c r="HT108" i="1"/>
  <c r="HW108" i="1"/>
  <c r="HR108" i="1"/>
  <c r="HY108" i="1"/>
  <c r="HQ108" i="1"/>
  <c r="HM108" i="1"/>
  <c r="HV108" i="1"/>
  <c r="AS105" i="1"/>
  <c r="GT85" i="1" l="1"/>
  <c r="IC32" i="1" s="1"/>
  <c r="GR85" i="1"/>
  <c r="IB32" i="1" s="1"/>
  <c r="HY32" i="1"/>
  <c r="HA85" i="1"/>
  <c r="GH86" i="1"/>
  <c r="GE86" i="1"/>
  <c r="GF86" i="1" s="1"/>
  <c r="GG86" i="1"/>
  <c r="GE87" i="1"/>
  <c r="GF87" i="1" s="1"/>
  <c r="GG87" i="1"/>
  <c r="GS87" i="1" s="1"/>
  <c r="GZ85" i="1"/>
  <c r="IE32" i="1" s="1"/>
  <c r="IA32" i="1"/>
  <c r="GI86" i="1"/>
  <c r="HC83" i="1"/>
  <c r="HD83" i="1"/>
  <c r="GI87" i="1"/>
  <c r="GY87" i="1" s="1"/>
  <c r="HL110" i="1"/>
  <c r="HK110" i="1"/>
  <c r="HS111" i="1" s="1"/>
  <c r="HN109" i="1"/>
  <c r="HU109" i="1"/>
  <c r="HR109" i="1"/>
  <c r="HX109" i="1"/>
  <c r="HY109" i="1"/>
  <c r="HQ109" i="1"/>
  <c r="HM109" i="1"/>
  <c r="IB109" i="1"/>
  <c r="IC109" i="1"/>
  <c r="IE109" i="1"/>
  <c r="HZ109" i="1"/>
  <c r="HT109" i="1"/>
  <c r="HW109" i="1"/>
  <c r="IA109" i="1"/>
  <c r="HV109" i="1"/>
  <c r="ID109" i="1"/>
  <c r="AS106" i="1"/>
  <c r="GZ87" i="1" l="1"/>
  <c r="IE44" i="1" s="1"/>
  <c r="IA44" i="1"/>
  <c r="GT87" i="1"/>
  <c r="IC44" i="1" s="1"/>
  <c r="GR87" i="1"/>
  <c r="HY44" i="1"/>
  <c r="HA87" i="1"/>
  <c r="GS86" i="1"/>
  <c r="GS2" i="1" s="1"/>
  <c r="GY86" i="1"/>
  <c r="HC85" i="1"/>
  <c r="HD85" i="1"/>
  <c r="HL111" i="1"/>
  <c r="HK111" i="1"/>
  <c r="HS112" i="1" s="1"/>
  <c r="HN110" i="1"/>
  <c r="IA110" i="1"/>
  <c r="HM110" i="1"/>
  <c r="HZ110" i="1"/>
  <c r="HV110" i="1"/>
  <c r="HX110" i="1"/>
  <c r="HR110" i="1"/>
  <c r="HY110" i="1"/>
  <c r="IE110" i="1"/>
  <c r="IB110" i="1"/>
  <c r="HW110" i="1"/>
  <c r="HU110" i="1"/>
  <c r="IC110" i="1"/>
  <c r="ID110" i="1"/>
  <c r="HT110" i="1"/>
  <c r="HQ110" i="1"/>
  <c r="AS107" i="1"/>
  <c r="GZ86" i="1" l="1"/>
  <c r="IE38" i="1" s="1"/>
  <c r="IA38" i="1"/>
  <c r="HD87" i="1"/>
  <c r="HC87" i="1"/>
  <c r="GR86" i="1"/>
  <c r="IB38" i="1" s="1"/>
  <c r="GT86" i="1"/>
  <c r="IC38" i="1" s="1"/>
  <c r="HY38" i="1"/>
  <c r="HA86" i="1"/>
  <c r="IB44" i="1"/>
  <c r="GY2" i="1"/>
  <c r="HL112" i="1"/>
  <c r="HK112" i="1"/>
  <c r="HS113" i="1" s="1"/>
  <c r="HN111" i="1"/>
  <c r="HU111" i="1"/>
  <c r="HR111" i="1"/>
  <c r="IE111" i="1"/>
  <c r="IC111" i="1"/>
  <c r="IB111" i="1"/>
  <c r="HW111" i="1"/>
  <c r="HT111" i="1"/>
  <c r="HZ111" i="1"/>
  <c r="IA111" i="1"/>
  <c r="HV111" i="1"/>
  <c r="HY111" i="1"/>
  <c r="HQ111" i="1"/>
  <c r="HX111" i="1"/>
  <c r="ID111" i="1"/>
  <c r="HM111" i="1"/>
  <c r="AS108" i="1"/>
  <c r="GR2" i="1" l="1"/>
  <c r="HD86" i="1"/>
  <c r="HD8" i="1" s="1"/>
  <c r="HH3" i="1" s="1"/>
  <c r="HC86" i="1"/>
  <c r="HC8" i="1" s="1"/>
  <c r="HL113" i="1"/>
  <c r="HK113" i="1"/>
  <c r="HS114" i="1" s="1"/>
  <c r="HN112" i="1"/>
  <c r="IC112" i="1"/>
  <c r="HQ112" i="1"/>
  <c r="ID112" i="1"/>
  <c r="HT112" i="1"/>
  <c r="HZ112" i="1"/>
  <c r="HM112" i="1"/>
  <c r="HW112" i="1"/>
  <c r="IA112" i="1"/>
  <c r="HY112" i="1"/>
  <c r="HR112" i="1"/>
  <c r="IB112" i="1"/>
  <c r="IE112" i="1"/>
  <c r="HX112" i="1"/>
  <c r="HV112" i="1"/>
  <c r="HU112" i="1"/>
  <c r="AS109" i="1"/>
  <c r="HG3" i="1" l="1"/>
  <c r="HB8" i="1"/>
  <c r="HA8" i="1"/>
  <c r="HL114" i="1"/>
  <c r="HK114" i="1"/>
  <c r="HS115" i="1" s="1"/>
  <c r="HN113" i="1"/>
  <c r="HW113" i="1"/>
  <c r="HY113" i="1"/>
  <c r="IE113" i="1"/>
  <c r="HX113" i="1"/>
  <c r="ID113" i="1"/>
  <c r="IC113" i="1"/>
  <c r="HV113" i="1"/>
  <c r="HU113" i="1"/>
  <c r="HT113" i="1"/>
  <c r="HQ113" i="1"/>
  <c r="IB113" i="1"/>
  <c r="HR113" i="1"/>
  <c r="IA113" i="1"/>
  <c r="HZ113" i="1"/>
  <c r="HM113" i="1"/>
  <c r="AS110" i="1"/>
  <c r="HF3" i="1" l="1"/>
  <c r="HE3" i="1"/>
  <c r="HL115" i="1"/>
  <c r="HK115" i="1"/>
  <c r="HS116" i="1" s="1"/>
  <c r="HN114" i="1"/>
  <c r="HU114" i="1"/>
  <c r="HQ114" i="1"/>
  <c r="HW114" i="1"/>
  <c r="IA114" i="1"/>
  <c r="IC114" i="1"/>
  <c r="HT114" i="1"/>
  <c r="HZ114" i="1"/>
  <c r="HV114" i="1"/>
  <c r="HY114" i="1"/>
  <c r="HX114" i="1"/>
  <c r="IB114" i="1"/>
  <c r="IE114" i="1"/>
  <c r="HM114" i="1"/>
  <c r="ID114" i="1"/>
  <c r="HR114" i="1"/>
  <c r="AS111" i="1"/>
  <c r="HW2" i="1" l="1"/>
  <c r="HA4" i="1"/>
  <c r="HL116" i="1"/>
  <c r="HK116" i="1"/>
  <c r="HS117" i="1" s="1"/>
  <c r="HN115" i="1"/>
  <c r="IB115" i="1"/>
  <c r="HM115" i="1"/>
  <c r="HW115" i="1"/>
  <c r="HX115" i="1"/>
  <c r="IA115" i="1"/>
  <c r="HZ115" i="1"/>
  <c r="HU115" i="1"/>
  <c r="HQ115" i="1"/>
  <c r="IE115" i="1"/>
  <c r="IC115" i="1"/>
  <c r="ID115" i="1"/>
  <c r="HY115" i="1"/>
  <c r="HR115" i="1"/>
  <c r="HV115" i="1"/>
  <c r="HT115" i="1"/>
  <c r="AS112" i="1"/>
  <c r="HL117" i="1" l="1"/>
  <c r="HK117" i="1"/>
  <c r="HS118" i="1" s="1"/>
  <c r="HN116" i="1"/>
  <c r="HY116" i="1"/>
  <c r="HU116" i="1"/>
  <c r="HX116" i="1"/>
  <c r="IB116" i="1"/>
  <c r="ID116" i="1"/>
  <c r="HW116" i="1"/>
  <c r="IC116" i="1"/>
  <c r="IE116" i="1"/>
  <c r="HV116" i="1"/>
  <c r="HR116" i="1"/>
  <c r="HZ116" i="1"/>
  <c r="HT116" i="1"/>
  <c r="HQ116" i="1"/>
  <c r="HM116" i="1"/>
  <c r="IA116" i="1"/>
  <c r="AS113" i="1"/>
  <c r="HL118" i="1" l="1"/>
  <c r="HK118" i="1"/>
  <c r="HS119" i="1" s="1"/>
  <c r="HN117" i="1"/>
  <c r="ID117" i="1"/>
  <c r="HM117" i="1"/>
  <c r="HU117" i="1"/>
  <c r="HQ117" i="1"/>
  <c r="HZ117" i="1"/>
  <c r="IC117" i="1"/>
  <c r="IB117" i="1"/>
  <c r="HY117" i="1"/>
  <c r="HT117" i="1"/>
  <c r="IE117" i="1"/>
  <c r="HV117" i="1"/>
  <c r="HX117" i="1"/>
  <c r="HW117" i="1"/>
  <c r="IA117" i="1"/>
  <c r="HR117" i="1"/>
  <c r="AS114" i="1"/>
  <c r="HL119" i="1" l="1"/>
  <c r="HK119" i="1"/>
  <c r="HS120" i="1" s="1"/>
  <c r="HN118" i="1"/>
  <c r="HT118" i="1"/>
  <c r="HM118" i="1"/>
  <c r="HY118" i="1"/>
  <c r="IB118" i="1"/>
  <c r="IE118" i="1"/>
  <c r="IA118" i="1"/>
  <c r="HX118" i="1"/>
  <c r="HR118" i="1"/>
  <c r="HV118" i="1"/>
  <c r="HZ118" i="1"/>
  <c r="ID118" i="1"/>
  <c r="HQ118" i="1"/>
  <c r="IC118" i="1"/>
  <c r="HU118" i="1"/>
  <c r="HW118" i="1"/>
  <c r="AS115" i="1"/>
  <c r="HL120" i="1" l="1"/>
  <c r="HK120" i="1"/>
  <c r="HS121" i="1" s="1"/>
  <c r="HN119" i="1"/>
  <c r="IE119" i="1"/>
  <c r="HR119" i="1"/>
  <c r="HY119" i="1"/>
  <c r="HV119" i="1"/>
  <c r="IB119" i="1"/>
  <c r="ID119" i="1"/>
  <c r="IC119" i="1"/>
  <c r="HT119" i="1"/>
  <c r="HW119" i="1"/>
  <c r="HU119" i="1"/>
  <c r="IA119" i="1"/>
  <c r="HZ119" i="1"/>
  <c r="HQ119" i="1"/>
  <c r="HM119" i="1"/>
  <c r="HX119" i="1"/>
  <c r="AS116" i="1"/>
  <c r="HL121" i="1" l="1"/>
  <c r="HK121" i="1"/>
  <c r="HS122" i="1" s="1"/>
  <c r="HN120" i="1"/>
  <c r="HU120" i="1"/>
  <c r="HQ120" i="1"/>
  <c r="IC120" i="1"/>
  <c r="HV120" i="1"/>
  <c r="HW120" i="1"/>
  <c r="HT120" i="1"/>
  <c r="HZ120" i="1"/>
  <c r="ID120" i="1"/>
  <c r="HY120" i="1"/>
  <c r="IB120" i="1"/>
  <c r="HX120" i="1"/>
  <c r="IA120" i="1"/>
  <c r="HR120" i="1"/>
  <c r="HM120" i="1"/>
  <c r="IE120" i="1"/>
  <c r="AS117" i="1"/>
  <c r="HL122" i="1" l="1"/>
  <c r="HK122" i="1"/>
  <c r="HS123" i="1" s="1"/>
  <c r="HN121" i="1"/>
  <c r="HZ121" i="1"/>
  <c r="HW121" i="1"/>
  <c r="HY121" i="1"/>
  <c r="HR121" i="1"/>
  <c r="IA121" i="1"/>
  <c r="HQ121" i="1"/>
  <c r="ID121" i="1"/>
  <c r="HX121" i="1"/>
  <c r="HV121" i="1"/>
  <c r="IC121" i="1"/>
  <c r="IB121" i="1"/>
  <c r="HM121" i="1"/>
  <c r="HU121" i="1"/>
  <c r="IE121" i="1"/>
  <c r="HT121" i="1"/>
  <c r="AS118" i="1"/>
  <c r="HL123" i="1" l="1"/>
  <c r="HK123" i="1"/>
  <c r="HS124" i="1" s="1"/>
  <c r="HN122" i="1"/>
  <c r="ID122" i="1"/>
  <c r="HQ122" i="1"/>
  <c r="HU122" i="1"/>
  <c r="HY122" i="1"/>
  <c r="IE122" i="1"/>
  <c r="HV122" i="1"/>
  <c r="HX122" i="1"/>
  <c r="IA122" i="1"/>
  <c r="HW122" i="1"/>
  <c r="IC122" i="1"/>
  <c r="HT122" i="1"/>
  <c r="HR122" i="1"/>
  <c r="HZ122" i="1"/>
  <c r="HM122" i="1"/>
  <c r="IB122" i="1"/>
  <c r="AS119" i="1"/>
  <c r="HL124" i="1" l="1"/>
  <c r="HK124" i="1"/>
  <c r="HS125" i="1" s="1"/>
  <c r="HN123" i="1"/>
  <c r="HT123" i="1"/>
  <c r="HM123" i="1"/>
  <c r="HR123" i="1"/>
  <c r="IB123" i="1"/>
  <c r="HQ123" i="1"/>
  <c r="HX123" i="1"/>
  <c r="HW123" i="1"/>
  <c r="HZ123" i="1"/>
  <c r="HU123" i="1"/>
  <c r="IE123" i="1"/>
  <c r="IA123" i="1"/>
  <c r="HV123" i="1"/>
  <c r="ID123" i="1"/>
  <c r="IC123" i="1"/>
  <c r="HY123" i="1"/>
  <c r="AS120" i="1"/>
  <c r="HL125" i="1" l="1"/>
  <c r="HK125" i="1"/>
  <c r="HS126" i="1" s="1"/>
  <c r="HN124" i="1"/>
  <c r="HY124" i="1"/>
  <c r="HM124" i="1"/>
  <c r="HR124" i="1"/>
  <c r="HX124" i="1"/>
  <c r="HU124" i="1"/>
  <c r="HW124" i="1"/>
  <c r="IC124" i="1"/>
  <c r="IE124" i="1"/>
  <c r="HV124" i="1"/>
  <c r="HZ124" i="1"/>
  <c r="HT124" i="1"/>
  <c r="ID124" i="1"/>
  <c r="IB124" i="1"/>
  <c r="IA124" i="1"/>
  <c r="HQ124" i="1"/>
  <c r="AS121" i="1"/>
  <c r="HL126" i="1" l="1"/>
  <c r="HK126" i="1"/>
  <c r="HS127" i="1" s="1"/>
  <c r="HN125" i="1"/>
  <c r="ID125" i="1"/>
  <c r="HM125" i="1"/>
  <c r="HU125" i="1"/>
  <c r="IC125" i="1"/>
  <c r="HT125" i="1"/>
  <c r="IE125" i="1"/>
  <c r="HX125" i="1"/>
  <c r="HZ125" i="1"/>
  <c r="HY125" i="1"/>
  <c r="IA125" i="1"/>
  <c r="HV125" i="1"/>
  <c r="IB125" i="1"/>
  <c r="HW125" i="1"/>
  <c r="HQ125" i="1"/>
  <c r="HR125" i="1"/>
  <c r="AS122" i="1"/>
  <c r="HL127" i="1" l="1"/>
  <c r="HK127" i="1"/>
  <c r="HS128" i="1" s="1"/>
  <c r="HN126" i="1"/>
  <c r="HT126" i="1"/>
  <c r="HX126" i="1"/>
  <c r="HM126" i="1"/>
  <c r="IB126" i="1"/>
  <c r="IE126" i="1"/>
  <c r="IA126" i="1"/>
  <c r="HZ126" i="1"/>
  <c r="IC126" i="1"/>
  <c r="HV126" i="1"/>
  <c r="HR126" i="1"/>
  <c r="ID126" i="1"/>
  <c r="HY126" i="1"/>
  <c r="HW126" i="1"/>
  <c r="HU126" i="1"/>
  <c r="HQ126" i="1"/>
  <c r="AS123" i="1"/>
  <c r="HL128" i="1" l="1"/>
  <c r="HK128" i="1"/>
  <c r="HS129" i="1" s="1"/>
  <c r="HN127" i="1"/>
  <c r="IE127" i="1"/>
  <c r="IC127" i="1"/>
  <c r="HQ127" i="1"/>
  <c r="HR127" i="1"/>
  <c r="HV127" i="1"/>
  <c r="IB127" i="1"/>
  <c r="ID127" i="1"/>
  <c r="HW127" i="1"/>
  <c r="HU127" i="1"/>
  <c r="IA127" i="1"/>
  <c r="HT127" i="1"/>
  <c r="HY127" i="1"/>
  <c r="HM127" i="1"/>
  <c r="HZ127" i="1"/>
  <c r="HX127" i="1"/>
  <c r="AS124" i="1"/>
  <c r="HL129" i="1" l="1"/>
  <c r="HK129" i="1"/>
  <c r="HS130" i="1" s="1"/>
  <c r="HN128" i="1"/>
  <c r="HU128" i="1"/>
  <c r="HQ128" i="1"/>
  <c r="IC128" i="1"/>
  <c r="HV128" i="1"/>
  <c r="HM128" i="1"/>
  <c r="HW128" i="1"/>
  <c r="HT128" i="1"/>
  <c r="HY128" i="1"/>
  <c r="HX128" i="1"/>
  <c r="IA128" i="1"/>
  <c r="HZ128" i="1"/>
  <c r="IB128" i="1"/>
  <c r="IE128" i="1"/>
  <c r="HR128" i="1"/>
  <c r="ID128" i="1"/>
  <c r="AS125" i="1"/>
  <c r="HL130" i="1" l="1"/>
  <c r="HK130" i="1"/>
  <c r="HS131" i="1" s="1"/>
  <c r="HN129" i="1"/>
  <c r="HZ129" i="1"/>
  <c r="HM129" i="1"/>
  <c r="HY129" i="1"/>
  <c r="ID129" i="1"/>
  <c r="HX129" i="1"/>
  <c r="IE129" i="1"/>
  <c r="IA129" i="1"/>
  <c r="HU129" i="1"/>
  <c r="HQ129" i="1"/>
  <c r="IC129" i="1"/>
  <c r="HV129" i="1"/>
  <c r="HW129" i="1"/>
  <c r="HT129" i="1"/>
  <c r="HR129" i="1"/>
  <c r="IB129" i="1"/>
  <c r="AS126" i="1"/>
  <c r="HL131" i="1" l="1"/>
  <c r="HK131" i="1"/>
  <c r="HS132" i="1" s="1"/>
  <c r="HN130" i="1"/>
  <c r="ID130" i="1"/>
  <c r="HQ130" i="1"/>
  <c r="IB130" i="1"/>
  <c r="HU130" i="1"/>
  <c r="IE130" i="1"/>
  <c r="IA130" i="1"/>
  <c r="HW130" i="1"/>
  <c r="HZ130" i="1"/>
  <c r="IC130" i="1"/>
  <c r="HY130" i="1"/>
  <c r="HT130" i="1"/>
  <c r="HM130" i="1"/>
  <c r="HV130" i="1"/>
  <c r="HX130" i="1"/>
  <c r="HR130" i="1"/>
  <c r="AS127" i="1"/>
  <c r="HL132" i="1" l="1"/>
  <c r="HK132" i="1"/>
  <c r="HS133" i="1" s="1"/>
  <c r="HN131" i="1"/>
  <c r="HT131" i="1"/>
  <c r="HM131" i="1"/>
  <c r="IB131" i="1"/>
  <c r="HZ131" i="1"/>
  <c r="HU131" i="1"/>
  <c r="IC131" i="1"/>
  <c r="HX131" i="1"/>
  <c r="HW131" i="1"/>
  <c r="IA131" i="1"/>
  <c r="HV131" i="1"/>
  <c r="HY131" i="1"/>
  <c r="IE131" i="1"/>
  <c r="ID131" i="1"/>
  <c r="HQ131" i="1"/>
  <c r="HR131" i="1"/>
  <c r="AS128" i="1"/>
  <c r="HL133" i="1" l="1"/>
  <c r="HK133" i="1"/>
  <c r="HS134" i="1" s="1"/>
  <c r="HN132" i="1"/>
  <c r="HY132" i="1"/>
  <c r="HU132" i="1"/>
  <c r="HX132" i="1"/>
  <c r="ID132" i="1"/>
  <c r="HR132" i="1"/>
  <c r="HM132" i="1"/>
  <c r="IC132" i="1"/>
  <c r="IE132" i="1"/>
  <c r="HT132" i="1"/>
  <c r="HV132" i="1"/>
  <c r="HZ132" i="1"/>
  <c r="HW132" i="1"/>
  <c r="IB132" i="1"/>
  <c r="IA132" i="1"/>
  <c r="HQ132" i="1"/>
  <c r="AS129" i="1"/>
  <c r="HL134" i="1" l="1"/>
  <c r="HK134" i="1"/>
  <c r="HS135" i="1" s="1"/>
  <c r="HN133" i="1"/>
  <c r="ID133" i="1"/>
  <c r="HM133" i="1"/>
  <c r="HU133" i="1"/>
  <c r="HZ133" i="1"/>
  <c r="IC133" i="1"/>
  <c r="HT133" i="1"/>
  <c r="IB133" i="1"/>
  <c r="HV133" i="1"/>
  <c r="HY133" i="1"/>
  <c r="IA133" i="1"/>
  <c r="HR133" i="1"/>
  <c r="HX133" i="1"/>
  <c r="IE133" i="1"/>
  <c r="HW133" i="1"/>
  <c r="HQ133" i="1"/>
  <c r="AS130" i="1"/>
  <c r="HL135" i="1" l="1"/>
  <c r="HK135" i="1"/>
  <c r="HS136" i="1" s="1"/>
  <c r="HN134" i="1"/>
  <c r="HT134" i="1"/>
  <c r="HM134" i="1"/>
  <c r="IB134" i="1"/>
  <c r="HX134" i="1"/>
  <c r="HR134" i="1"/>
  <c r="IC134" i="1"/>
  <c r="IE134" i="1"/>
  <c r="IA134" i="1"/>
  <c r="HV134" i="1"/>
  <c r="HZ134" i="1"/>
  <c r="ID134" i="1"/>
  <c r="HY134" i="1"/>
  <c r="HW134" i="1"/>
  <c r="HU134" i="1"/>
  <c r="HQ134" i="1"/>
  <c r="AS131" i="1"/>
  <c r="HL136" i="1" l="1"/>
  <c r="HK136" i="1"/>
  <c r="HS137" i="1" s="1"/>
  <c r="HN135" i="1"/>
  <c r="IE135" i="1"/>
  <c r="HR135" i="1"/>
  <c r="HV135" i="1"/>
  <c r="ID135" i="1"/>
  <c r="HW135" i="1"/>
  <c r="HY135" i="1"/>
  <c r="HX135" i="1"/>
  <c r="IC135" i="1"/>
  <c r="IB135" i="1"/>
  <c r="HT135" i="1"/>
  <c r="HU135" i="1"/>
  <c r="IA135" i="1"/>
  <c r="HQ135" i="1"/>
  <c r="HM135" i="1"/>
  <c r="HZ135" i="1"/>
  <c r="AS132" i="1"/>
  <c r="HL137" i="1" l="1"/>
  <c r="HK137" i="1"/>
  <c r="HS138" i="1" s="1"/>
  <c r="HN136" i="1"/>
  <c r="HU136" i="1"/>
  <c r="HQ136" i="1"/>
  <c r="HM136" i="1"/>
  <c r="IC136" i="1"/>
  <c r="HW136" i="1"/>
  <c r="HT136" i="1"/>
  <c r="IB136" i="1"/>
  <c r="HV136" i="1"/>
  <c r="HY136" i="1"/>
  <c r="HR136" i="1"/>
  <c r="HX136" i="1"/>
  <c r="IA136" i="1"/>
  <c r="ID136" i="1"/>
  <c r="IE136" i="1"/>
  <c r="HZ136" i="1"/>
  <c r="AS133" i="1"/>
  <c r="HL138" i="1" l="1"/>
  <c r="HK138" i="1"/>
  <c r="HS139" i="1" s="1"/>
  <c r="HN137" i="1"/>
  <c r="HZ137" i="1"/>
  <c r="HM137" i="1"/>
  <c r="HY137" i="1"/>
  <c r="HR137" i="1"/>
  <c r="IB137" i="1"/>
  <c r="ID137" i="1"/>
  <c r="HX137" i="1"/>
  <c r="HU137" i="1"/>
  <c r="IC137" i="1"/>
  <c r="HQ137" i="1"/>
  <c r="HV137" i="1"/>
  <c r="IA137" i="1"/>
  <c r="IE137" i="1"/>
  <c r="HT137" i="1"/>
  <c r="HW137" i="1"/>
  <c r="AS134" i="1"/>
  <c r="HL139" i="1" l="1"/>
  <c r="HK139" i="1"/>
  <c r="HS140" i="1" s="1"/>
  <c r="HN138" i="1"/>
  <c r="ID138" i="1"/>
  <c r="HQ138" i="1"/>
  <c r="HU138" i="1"/>
  <c r="IA138" i="1"/>
  <c r="HW138" i="1"/>
  <c r="HX138" i="1"/>
  <c r="IE138" i="1"/>
  <c r="HZ138" i="1"/>
  <c r="IC138" i="1"/>
  <c r="HT138" i="1"/>
  <c r="IB138" i="1"/>
  <c r="HY138" i="1"/>
  <c r="HM138" i="1"/>
  <c r="HV138" i="1"/>
  <c r="HR138" i="1"/>
  <c r="AS135" i="1"/>
  <c r="HL140" i="1" l="1"/>
  <c r="HK140" i="1"/>
  <c r="HS141" i="1" s="1"/>
  <c r="HN139" i="1"/>
  <c r="HT139" i="1"/>
  <c r="HM139" i="1"/>
  <c r="HZ139" i="1"/>
  <c r="IB139" i="1"/>
  <c r="HU139" i="1"/>
  <c r="HX139" i="1"/>
  <c r="HW139" i="1"/>
  <c r="IA139" i="1"/>
  <c r="HR139" i="1"/>
  <c r="IE139" i="1"/>
  <c r="HQ139" i="1"/>
  <c r="HY139" i="1"/>
  <c r="HV139" i="1"/>
  <c r="ID139" i="1"/>
  <c r="IC139" i="1"/>
  <c r="AS136" i="1"/>
  <c r="HL141" i="1" l="1"/>
  <c r="HK141" i="1"/>
  <c r="HS142" i="1" s="1"/>
  <c r="HN140" i="1"/>
  <c r="HY140" i="1"/>
  <c r="HU140" i="1"/>
  <c r="HX140" i="1"/>
  <c r="HT140" i="1"/>
  <c r="HV140" i="1"/>
  <c r="ID140" i="1"/>
  <c r="HQ140" i="1"/>
  <c r="HR140" i="1"/>
  <c r="IC140" i="1"/>
  <c r="IE140" i="1"/>
  <c r="IB140" i="1"/>
  <c r="HZ140" i="1"/>
  <c r="HW140" i="1"/>
  <c r="HM140" i="1"/>
  <c r="IA140" i="1"/>
  <c r="AS137" i="1"/>
  <c r="HL142" i="1" l="1"/>
  <c r="HK142" i="1"/>
  <c r="HS143" i="1" s="1"/>
  <c r="HN141" i="1"/>
  <c r="ID141" i="1"/>
  <c r="HR141" i="1"/>
  <c r="HU141" i="1"/>
  <c r="IE141" i="1"/>
  <c r="HZ141" i="1"/>
  <c r="IC141" i="1"/>
  <c r="HY141" i="1"/>
  <c r="IA141" i="1"/>
  <c r="HV141" i="1"/>
  <c r="HT141" i="1"/>
  <c r="HX141" i="1"/>
  <c r="IB141" i="1"/>
  <c r="HQ141" i="1"/>
  <c r="HW141" i="1"/>
  <c r="HM141" i="1"/>
  <c r="AS138" i="1"/>
  <c r="AS139" i="1" s="1"/>
  <c r="AS140" i="1" s="1"/>
  <c r="AS141" i="1" s="1"/>
  <c r="AS142" i="1" s="1"/>
  <c r="AS143" i="1" s="1"/>
  <c r="AS144" i="1" s="1"/>
  <c r="AS145" i="1" s="1"/>
  <c r="AS146" i="1" s="1"/>
  <c r="AS147" i="1" s="1"/>
  <c r="AS148" i="1" s="1"/>
  <c r="AS149" i="1" s="1"/>
  <c r="AS150" i="1" s="1"/>
  <c r="HL143" i="1" l="1"/>
  <c r="HK143" i="1"/>
  <c r="HS144" i="1" s="1"/>
  <c r="HN142" i="1"/>
  <c r="HT142" i="1"/>
  <c r="HM142" i="1"/>
  <c r="IB142" i="1"/>
  <c r="HX142" i="1"/>
  <c r="IC142" i="1"/>
  <c r="HR142" i="1"/>
  <c r="IE142" i="1"/>
  <c r="IA142" i="1"/>
  <c r="HY142" i="1"/>
  <c r="HW142" i="1"/>
  <c r="HV142" i="1"/>
  <c r="HZ142" i="1"/>
  <c r="ID142" i="1"/>
  <c r="HQ142" i="1"/>
  <c r="HU142" i="1"/>
  <c r="HL144" i="1" l="1"/>
  <c r="HK144" i="1"/>
  <c r="HS145" i="1" s="1"/>
  <c r="HN143" i="1"/>
  <c r="IE143" i="1"/>
  <c r="IC143" i="1"/>
  <c r="HV143" i="1"/>
  <c r="HR143" i="1"/>
  <c r="IB143" i="1"/>
  <c r="ID143" i="1"/>
  <c r="HW143" i="1"/>
  <c r="HU143" i="1"/>
  <c r="HT143" i="1"/>
  <c r="HX143" i="1"/>
  <c r="IA143" i="1"/>
  <c r="HZ143" i="1"/>
  <c r="HQ143" i="1"/>
  <c r="HM143" i="1"/>
  <c r="HY143" i="1"/>
  <c r="HL145" i="1" l="1"/>
  <c r="HK145" i="1"/>
  <c r="HS146" i="1" s="1"/>
  <c r="HN144" i="1"/>
  <c r="HU144" i="1"/>
  <c r="HQ144" i="1"/>
  <c r="IC144" i="1"/>
  <c r="HM144" i="1"/>
  <c r="ID144" i="1"/>
  <c r="HW144" i="1"/>
  <c r="HT144" i="1"/>
  <c r="HZ144" i="1"/>
  <c r="HY144" i="1"/>
  <c r="IB144" i="1"/>
  <c r="IA144" i="1"/>
  <c r="HX144" i="1"/>
  <c r="HR144" i="1"/>
  <c r="IE144" i="1"/>
  <c r="HV144" i="1"/>
  <c r="HL146" i="1" l="1"/>
  <c r="HK146" i="1"/>
  <c r="HS147" i="1" s="1"/>
  <c r="HN145" i="1"/>
  <c r="HZ145" i="1"/>
  <c r="HV145" i="1"/>
  <c r="HY145" i="1"/>
  <c r="HR145" i="1"/>
  <c r="HQ145" i="1"/>
  <c r="IE145" i="1"/>
  <c r="HM145" i="1"/>
  <c r="ID145" i="1"/>
  <c r="HX145" i="1"/>
  <c r="IC145" i="1"/>
  <c r="HU145" i="1"/>
  <c r="HW145" i="1"/>
  <c r="IB145" i="1"/>
  <c r="HT145" i="1"/>
  <c r="IA145" i="1"/>
  <c r="HL147" i="1" l="1"/>
  <c r="HK147" i="1"/>
  <c r="HS148" i="1" s="1"/>
  <c r="HN146" i="1"/>
  <c r="ID146" i="1"/>
  <c r="HQ146" i="1"/>
  <c r="HU146" i="1"/>
  <c r="IE146" i="1"/>
  <c r="IA146" i="1"/>
  <c r="HW146" i="1"/>
  <c r="IB146" i="1"/>
  <c r="HR146" i="1"/>
  <c r="HZ146" i="1"/>
  <c r="IC146" i="1"/>
  <c r="HY146" i="1"/>
  <c r="HM146" i="1"/>
  <c r="HT146" i="1"/>
  <c r="HX146" i="1"/>
  <c r="HV146" i="1"/>
  <c r="HL148" i="1" l="1"/>
  <c r="HK148" i="1"/>
  <c r="HS149" i="1" s="1"/>
  <c r="HN147" i="1"/>
  <c r="HT147" i="1"/>
  <c r="HM147" i="1"/>
  <c r="IB147" i="1"/>
  <c r="ID147" i="1"/>
  <c r="HX147" i="1"/>
  <c r="HW147" i="1"/>
  <c r="HZ147" i="1"/>
  <c r="HY147" i="1"/>
  <c r="HQ147" i="1"/>
  <c r="IE147" i="1"/>
  <c r="IA147" i="1"/>
  <c r="HU147" i="1"/>
  <c r="HV147" i="1"/>
  <c r="IC147" i="1"/>
  <c r="HR147" i="1"/>
  <c r="IE10" i="1"/>
  <c r="HZ10" i="1"/>
  <c r="HX10" i="1"/>
  <c r="IB10" i="1"/>
  <c r="ID10" i="1"/>
  <c r="HY10" i="1"/>
  <c r="IC10" i="1"/>
  <c r="IA10" i="1"/>
  <c r="HM10" i="1"/>
  <c r="HQ10" i="1"/>
  <c r="HV10" i="1"/>
  <c r="HU10" i="1"/>
  <c r="HR10" i="1"/>
  <c r="HT10" i="1"/>
  <c r="HL149" i="1" l="1"/>
  <c r="HK149" i="1"/>
  <c r="HS150" i="1" s="1"/>
  <c r="HN148" i="1"/>
  <c r="HY148" i="1"/>
  <c r="HM148" i="1"/>
  <c r="HX148" i="1"/>
  <c r="IA148" i="1"/>
  <c r="IC148" i="1"/>
  <c r="IE148" i="1"/>
  <c r="HV148" i="1"/>
  <c r="ID148" i="1"/>
  <c r="HZ148" i="1"/>
  <c r="HW148" i="1"/>
  <c r="HT148" i="1"/>
  <c r="IB148" i="1"/>
  <c r="HR148" i="1"/>
  <c r="HU148" i="1"/>
  <c r="HQ148" i="1"/>
  <c r="HL150" i="1" l="1"/>
  <c r="HK150" i="1"/>
  <c r="HN149" i="1"/>
  <c r="ID149" i="1"/>
  <c r="HM149" i="1"/>
  <c r="HU149" i="1"/>
  <c r="IA149" i="1"/>
  <c r="IE149" i="1"/>
  <c r="HZ149" i="1"/>
  <c r="IC149" i="1"/>
  <c r="HY149" i="1"/>
  <c r="HT149" i="1"/>
  <c r="IB149" i="1"/>
  <c r="HW149" i="1"/>
  <c r="HQ149" i="1"/>
  <c r="HX149" i="1"/>
  <c r="HV149" i="1"/>
  <c r="HR149" i="1"/>
  <c r="HN150" i="1" l="1"/>
  <c r="HT150" i="1"/>
  <c r="HM150" i="1"/>
  <c r="IB150" i="1"/>
  <c r="IB6" i="1" s="1"/>
  <c r="IE150" i="1"/>
  <c r="IE6" i="1" s="1"/>
  <c r="IA150" i="1"/>
  <c r="IA6" i="1" s="1"/>
  <c r="HV150" i="1"/>
  <c r="HZ150" i="1"/>
  <c r="HZ6" i="1" s="1"/>
  <c r="HZ3" i="1" s="1"/>
  <c r="IC150" i="1"/>
  <c r="IC6" i="1" s="1"/>
  <c r="ID150" i="1"/>
  <c r="ID6" i="1" s="1"/>
  <c r="HY150" i="1"/>
  <c r="HY6" i="1" s="1"/>
  <c r="HQ150" i="1"/>
  <c r="HU150" i="1"/>
  <c r="HX150" i="1"/>
  <c r="HX6" i="1" s="1"/>
  <c r="HX3" i="1" s="1"/>
  <c r="HW150" i="1"/>
  <c r="HW6" i="1" s="1"/>
  <c r="HW4" i="1" s="1"/>
  <c r="HR150" i="1"/>
  <c r="AW164" i="1" l="1" a="1"/>
  <c r="AW164" i="1" s="1"/>
  <c r="AY164" i="1" s="1" a="1"/>
  <c r="AY164" i="1" s="1"/>
  <c r="AO164" i="1" s="1" a="1"/>
  <c r="AO16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<sst xmlns="http://schemas.openxmlformats.org/spreadsheetml/2006/main" count="901" uniqueCount="425">
  <si>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</si>
  <si>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</si>
  <si>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</si>
  <si>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</si>
  <si>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</si>
  <si>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</si>
  <si>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</si>
  <si>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</si>
  <si>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</si>
  <si>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</si>
  <si>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</si>
  <si>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</si>
  <si>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</si>
  <si>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</si>
  <si>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</si>
  <si>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</si>
  <si>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</si>
  <si>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</si>
  <si>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</si>
  <si>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</si>
  <si>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</si>
  <si>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</si>
  <si>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</si>
  <si>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</si>
  <si>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</si>
  <si>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</si>
  <si>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</si>
  <si>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</si>
  <si>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</si>
  <si>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</si>
  <si>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</si>
  <si>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</si>
  <si>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</si>
  <si>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</si>
  <si>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</si>
  <si>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</si>
  <si>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</si>
  <si>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</si>
  <si>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</si>
  <si>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</si>
  <si>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</si>
  <si>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</si>
  <si>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</si>
  <si>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</si>
  <si>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</si>
  <si>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</si>
  <si>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</si>
  <si>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</si>
  <si>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</si>
  <si>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</si>
  <si>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</si>
  <si>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</si>
  <si>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</si>
  <si>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</si>
  <si>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</si>
  <si>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</si>
  <si>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</si>
  <si>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</si>
  <si>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</si>
  <si>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</si>
  <si>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</si>
  <si>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</si>
  <si>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</si>
  <si>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</si>
  <si>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</si>
  <si>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</si>
  <si>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</si>
  <si>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</si>
  <si>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</si>
  <si>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</si>
  <si>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</si>
  <si>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</si>
  <si>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</si>
  <si>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</si>
  <si>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</si>
  <si>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</si>
  <si>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</si>
  <si>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</si>
  <si>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</si>
  <si>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</si>
  <si>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</si>
  <si>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</si>
  <si>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</si>
  <si>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</si>
  <si>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</si>
  <si>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</si>
  <si>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</si>
  <si>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</si>
  <si>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</si>
  <si>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</si>
  <si>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</si>
  <si>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</si>
  <si>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</si>
  <si>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</si>
  <si>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</si>
  <si>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</si>
  <si>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</si>
  <si>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</si>
  <si>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</si>
  <si>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</si>
  <si>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</si>
  <si>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</si>
  <si>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</si>
  <si>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</si>
  <si>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</si>
  <si>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</si>
  <si>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</si>
  <si>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</si>
  <si>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</si>
  <si>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</si>
  <si>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</si>
  <si>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</si>
  <si>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</si>
  <si>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</si>
  <si>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</si>
  <si>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</si>
  <si>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</si>
  <si>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</si>
  <si>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</si>
  <si>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</si>
  <si>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</si>
  <si>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</si>
  <si>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</si>
  <si>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</si>
  <si>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</si>
  <si>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</si>
  <si>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</si>
  <si>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</si>
  <si>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</si>
  <si>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</si>
  <si>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</si>
  <si>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</si>
  <si>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</si>
  <si>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</si>
  <si>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</si>
  <si>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</si>
  <si>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</si>
  <si>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</si>
  <si>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</si>
  <si>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</si>
  <si>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</si>
  <si>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</si>
  <si>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</si>
  <si>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</si>
  <si>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</si>
  <si>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</si>
  <si>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</si>
  <si>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</si>
  <si>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</si>
  <si>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</si>
  <si>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</si>
  <si>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</si>
  <si>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</si>
  <si>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</si>
  <si>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</si>
  <si>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</si>
  <si>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</si>
  <si>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</si>
  <si>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</si>
  <si>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</si>
  <si>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</si>
  <si>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</si>
  <si>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</si>
  <si>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</si>
  <si>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</si>
  <si>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</si>
  <si>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</si>
  <si>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</si>
  <si>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</si>
  <si>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</si>
  <si>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</si>
  <si>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</si>
  <si>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</si>
  <si>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</si>
  <si>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</si>
  <si>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</si>
  <si>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</si>
  <si>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</si>
  <si>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</si>
  <si>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</si>
  <si>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</si>
  <si>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</si>
  <si>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</si>
  <si>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</si>
  <si>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</si>
  <si>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</si>
  <si>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</si>
  <si>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</si>
  <si>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</si>
  <si>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</si>
  <si>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</si>
  <si>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</si>
  <si>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</si>
  <si>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</si>
  <si>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</si>
  <si>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</si>
  <si>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</si>
  <si>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</si>
  <si>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</si>
  <si>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</si>
  <si>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</si>
  <si>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</si>
  <si>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</si>
  <si>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</si>
  <si>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</si>
  <si>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</si>
  <si>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</si>
  <si>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</si>
  <si>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</si>
  <si>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</si>
  <si>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</si>
  <si>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</si>
  <si>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</si>
  <si>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</si>
  <si>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</si>
  <si>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</si>
  <si>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</si>
  <si>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</si>
  <si>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</si>
  <si>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</si>
  <si>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</si>
  <si>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</si>
  <si>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</si>
  <si>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</si>
  <si>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</si>
  <si>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</si>
  <si>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</si>
  <si>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</si>
  <si>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</si>
  <si>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</si>
  <si>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</si>
  <si>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</si>
  <si>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</si>
  <si>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</si>
  <si>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</si>
  <si>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</si>
  <si>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</si>
  <si>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</si>
  <si>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</si>
  <si>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</si>
  <si>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</si>
  <si>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</si>
  <si>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</si>
  <si>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</si>
  <si>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</si>
  <si>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</si>
  <si>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</si>
  <si>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</si>
  <si>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</si>
  <si>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</si>
  <si>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</si>
  <si>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</si>
  <si>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</si>
  <si>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</si>
  <si>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</si>
  <si>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</si>
  <si>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</si>
  <si>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</si>
  <si>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</si>
  <si>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</si>
  <si>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Helical Circumference</t>
  </si>
  <si>
    <t>in</t>
  </si>
  <si>
    <t>Centroid Radius</t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</si>
  <si>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</si>
  <si>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</si>
  <si>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</si>
  <si>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</si>
  <si>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</si>
  <si>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</si>
  <si>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</si>
  <si>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</si>
  <si>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</si>
  <si>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</si>
  <si>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</si>
  <si>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</si>
  <si>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</si>
  <si>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</si>
  <si>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</si>
  <si>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</si>
  <si>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</si>
  <si>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</si>
  <si>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</si>
  <si>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</si>
  <si>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</si>
  <si>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</si>
  <si>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</si>
  <si>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</si>
  <si>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</si>
  <si>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</si>
  <si>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</si>
  <si>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</si>
  <si>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</si>
  <si>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</si>
  <si>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</si>
  <si>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</si>
  <si>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</si>
  <si>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</si>
  <si>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</si>
  <si>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</si>
  <si>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</si>
  <si>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</si>
  <si>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</si>
  <si>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</si>
  <si>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</si>
  <si>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</si>
  <si>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</si>
  <si>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</si>
  <si>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</si>
  <si>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</si>
  <si>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</si>
  <si>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</si>
  <si>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</si>
  <si>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</si>
  <si>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</si>
  <si>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</si>
  <si>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</si>
  <si>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</si>
  <si>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</si>
  <si>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</si>
  <si>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</si>
  <si>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</si>
  <si>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</si>
  <si>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</si>
  <si>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</si>
  <si>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</si>
  <si>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</si>
  <si>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</si>
  <si>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</si>
  <si>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</si>
  <si>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</si>
  <si>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</si>
  <si>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</si>
  <si>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</si>
  <si>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</si>
  <si>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</si>
  <si>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</si>
  <si>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</si>
  <si>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</si>
  <si>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</si>
  <si>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</si>
  <si>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</si>
  <si>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</si>
  <si>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</si>
  <si>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</si>
  <si>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</si>
  <si>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</si>
  <si>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</si>
  <si>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</si>
  <si>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</si>
  <si>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</si>
  <si>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</si>
  <si>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</si>
  <si>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</si>
  <si>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</si>
  <si>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</si>
  <si>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</si>
  <si>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</si>
  <si>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</si>
  <si>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</si>
  <si>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</si>
  <si>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</si>
  <si>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</si>
  <si>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</si>
  <si>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</si>
  <si>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</si>
  <si>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</si>
  <si>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</si>
  <si>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</si>
  <si>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</si>
  <si>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</si>
  <si>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</si>
  <si>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</si>
  <si>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</si>
  <si>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</si>
  <si>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</si>
  <si>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</si>
  <si>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</si>
  <si>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</si>
  <si>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</si>
  <si>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</si>
  <si>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</si>
  <si>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>&lt;&gt;CS CPS-31783r1</t>
  </si>
  <si>
    <t>&lt;&gt;CS CPS-32193r1</t>
  </si>
  <si>
    <t>&lt;&gt;CS CPS-31837r1</t>
  </si>
  <si>
    <t>Σ Cutlet</t>
  </si>
  <si>
    <r>
      <t>ft·lbs Σ</t>
    </r>
    <r>
      <rPr>
        <vertAlign val="subscript"/>
        <sz val="11"/>
        <color theme="1"/>
        <rFont val="Calibri"/>
        <family val="2"/>
        <scheme val="minor"/>
      </rPr>
      <t>comp's</t>
    </r>
  </si>
  <si>
    <t>Element</t>
  </si>
  <si>
    <t>Position</t>
  </si>
  <si>
    <r>
      <t xml:space="preserve">Magnitudes of </t>
    </r>
    <r>
      <rPr>
        <b/>
        <i/>
        <sz val="11"/>
        <color rgb="FF000000"/>
        <rFont val="Calibri"/>
        <family val="2"/>
      </rPr>
      <t>Work</t>
    </r>
    <r>
      <rPr>
        <sz val="11"/>
        <color rgb="FF000000"/>
        <rFont val="Calibri"/>
        <family val="2"/>
      </rPr>
      <t xml:space="preserve"> @ IDS</t>
    </r>
    <r>
      <rPr>
        <sz val="11"/>
        <color theme="1"/>
        <rFont val="Calibri"/>
        <family val="2"/>
        <scheme val="minor"/>
      </rPr>
      <t xml:space="preserve"> (Linear ft·lbs)</t>
    </r>
  </si>
  <si>
    <t>Intersection of a Segment &amp; Cylinder (Finds the 3D Location of the Centroid)</t>
  </si>
  <si>
    <t>Face↔POM</t>
  </si>
  <si>
    <r>
      <t>Volume</t>
    </r>
    <r>
      <rPr>
        <vertAlign val="subscript"/>
        <sz val="10"/>
        <rFont val="Arial"/>
        <family val="2"/>
      </rPr>
      <t>IDS</t>
    </r>
  </si>
  <si>
    <t>Side Rake°</t>
  </si>
  <si>
    <t>Back Rake°</t>
  </si>
  <si>
    <t>YZ Projection</t>
  </si>
  <si>
    <r>
      <t>Y→X</t>
    </r>
    <r>
      <rPr>
        <vertAlign val="subscript"/>
        <sz val="11"/>
        <color theme="1"/>
        <rFont val="Calibri"/>
        <family val="2"/>
        <scheme val="minor"/>
      </rPr>
      <t>Suc. Rot.</t>
    </r>
  </si>
  <si>
    <t>At the rig our customer states 2176 Produces ≈8,500 ft·lbs of torque at the motor</t>
  </si>
  <si>
    <t>Exclude?</t>
  </si>
  <si>
    <t>Boolean (Y)</t>
  </si>
  <si>
    <t>Chamfer</t>
  </si>
  <si>
    <t>Display</t>
  </si>
  <si>
    <t>Perp &lt;</t>
  </si>
  <si>
    <t>Flip Vec.?</t>
  </si>
  <si>
    <t>ID</t>
  </si>
  <si>
    <t>X&lt;</t>
  </si>
  <si>
    <t>Y&lt;</t>
  </si>
  <si>
    <t>Z&lt;</t>
  </si>
  <si>
    <t>BR</t>
  </si>
  <si>
    <t>Ref CS</t>
  </si>
  <si>
    <t>Pos #</t>
  </si>
  <si>
    <t>CS Name</t>
  </si>
  <si>
    <t>x.Xxxxx</t>
  </si>
  <si>
    <t>x.xxxxX</t>
  </si>
  <si>
    <t>Rev #</t>
  </si>
  <si>
    <t>X.xxxxx</t>
  </si>
  <si>
    <t>CS #</t>
  </si>
  <si>
    <t>x.xxxXx</t>
  </si>
  <si>
    <t>"Layer"</t>
  </si>
  <si>
    <r>
      <t>Tilt</t>
    </r>
    <r>
      <rPr>
        <vertAlign val="subscript"/>
        <sz val="11"/>
        <color theme="1"/>
        <rFont val="Calibri"/>
        <family val="2"/>
        <scheme val="minor"/>
      </rPr>
      <t>correct</t>
    </r>
  </si>
  <si>
    <t>pattern</t>
  </si>
  <si>
    <t>1613.par</t>
  </si>
  <si>
    <t>2746r00</t>
  </si>
  <si>
    <t>1613 Ripper.par</t>
  </si>
  <si>
    <t>32193r1.par</t>
  </si>
  <si>
    <t>1313.par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</si>
</sst>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#,##0.00000000000000"/>
    <numFmt numFmtId="176" formatCode="0.0"/>
  </numFmts>
  <fonts count="5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b/>
      <sz val="20"/>
      <color theme="3"/>
      <name val="Calibri"/>
      <family val="2"/>
      <scheme val="minor"/>
    </font>
    <font>
      <sz val="11"/>
      <color rgb="FF000000"/>
      <name val="Calibri"/>
      <family val="2"/>
    </font>
    <font>
      <b/>
      <i/>
      <sz val="1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i/>
      <sz val="11"/>
      <color rgb="FF000000"/>
      <name val="Calibri"/>
      <family val="2"/>
    </font>
    <font>
      <vertAlign val="subscript"/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7979"/>
        <bgColor indexed="64"/>
      </patternFill>
    </fill>
  </fills>
  <borders count="36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rgb="FF76933C"/>
      </left>
      <right/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medium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ck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slantDashDot">
        <color rgb="FF76933C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slantDashDot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slantDashDot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9" fillId="24" borderId="0" applyNumberFormat="0" applyBorder="0" applyAlignment="0" applyProtection="0"/>
    <xf numFmtId="0" fontId="9" fillId="25" borderId="0" applyNumberFormat="0" applyBorder="0" applyAlignment="0" applyProtection="0"/>
    <xf numFmtId="0" fontId="10" fillId="26" borderId="0" applyNumberFormat="0" applyBorder="0" applyAlignment="0" applyProtection="0"/>
    <xf numFmtId="0" fontId="11" fillId="27" borderId="279" applyNumberFormat="0" applyAlignment="0" applyProtection="0"/>
    <xf numFmtId="0" fontId="12" fillId="28" borderId="280" applyNumberFormat="0" applyAlignment="0" applyProtection="0"/>
    <xf numFmtId="0" fontId="13" fillId="0" borderId="0" applyNumberFormat="0" applyFill="0" applyBorder="0" applyAlignment="0" applyProtection="0"/>
    <xf numFmtId="0" fontId="14" fillId="29" borderId="0" applyNumberFormat="0" applyBorder="0" applyAlignment="0" applyProtection="0"/>
    <xf numFmtId="0" fontId="15" fillId="0" borderId="281" applyNumberFormat="0" applyFill="0" applyAlignment="0" applyProtection="0"/>
    <xf numFmtId="0" fontId="16" fillId="0" borderId="282" applyNumberFormat="0" applyFill="0" applyAlignment="0" applyProtection="0"/>
    <xf numFmtId="0" fontId="17" fillId="0" borderId="283" applyNumberFormat="0" applyFill="0" applyAlignment="0" applyProtection="0"/>
    <xf numFmtId="0" fontId="17" fillId="0" borderId="0" applyNumberFormat="0" applyFill="0" applyBorder="0" applyAlignment="0" applyProtection="0"/>
    <xf numFmtId="0" fontId="18" fillId="30" borderId="279" applyNumberFormat="0" applyAlignment="0" applyProtection="0"/>
    <xf numFmtId="0" fontId="19" fillId="0" borderId="284" applyNumberFormat="0" applyFill="0" applyAlignment="0" applyProtection="0"/>
    <xf numFmtId="0" fontId="20" fillId="31" borderId="0" applyNumberFormat="0" applyBorder="0" applyAlignment="0" applyProtection="0"/>
    <xf numFmtId="0" fontId="3" fillId="0" borderId="0"/>
    <xf numFmtId="0" fontId="8" fillId="32" borderId="285" applyNumberFormat="0" applyFont="0" applyAlignment="0" applyProtection="0"/>
    <xf numFmtId="0" fontId="21" fillId="27" borderId="286" applyNumberFormat="0" applyAlignment="0" applyProtection="0"/>
    <xf numFmtId="0" fontId="22" fillId="0" borderId="0" applyNumberFormat="0" applyFill="0" applyBorder="0" applyAlignment="0" applyProtection="0"/>
    <xf numFmtId="0" fontId="23" fillId="0" borderId="287" applyNumberFormat="0" applyFill="0" applyAlignment="0" applyProtection="0"/>
    <xf numFmtId="0" fontId="24" fillId="0" borderId="0" applyNumberFormat="0" applyFill="0" applyBorder="0" applyAlignment="0" applyProtection="0"/>
  </cellStyleXfs>
  <cellXfs count="1437">
    <xf numFmtId="0" fontId="0" fillId="0" borderId="0" xfId="0"/>
    <xf numFmtId="164" fontId="0" fillId="0" borderId="0" xfId="0" applyNumberFormat="1"/>
    <xf numFmtId="0" fontId="23" fillId="0" borderId="2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64" fontId="25" fillId="0" borderId="4" xfId="0" applyNumberFormat="1" applyFont="1" applyBorder="1" applyAlignment="1">
      <alignment horizontal="center"/>
    </xf>
    <xf numFmtId="164" fontId="25" fillId="0" borderId="5" xfId="0" applyNumberFormat="1" applyFont="1" applyBorder="1" applyAlignment="1">
      <alignment horizontal="center"/>
    </xf>
    <xf numFmtId="164" fontId="25" fillId="0" borderId="6" xfId="0" applyNumberFormat="1" applyFont="1" applyBorder="1" applyAlignment="1">
      <alignment horizontal="center"/>
    </xf>
    <xf numFmtId="164" fontId="25" fillId="0" borderId="7" xfId="0" applyNumberFormat="1" applyFont="1" applyBorder="1" applyAlignment="1">
      <alignment horizontal="center"/>
    </xf>
    <xf numFmtId="164" fontId="25" fillId="0" borderId="8" xfId="0" applyNumberFormat="1" applyFont="1" applyBorder="1" applyAlignment="1">
      <alignment horizontal="center"/>
    </xf>
    <xf numFmtId="164" fontId="25" fillId="0" borderId="9" xfId="0" applyNumberFormat="1" applyFont="1" applyBorder="1" applyAlignment="1">
      <alignment horizontal="center"/>
    </xf>
    <xf numFmtId="164" fontId="25" fillId="0" borderId="10" xfId="0" applyNumberFormat="1" applyFont="1" applyBorder="1" applyAlignment="1">
      <alignment horizontal="center"/>
    </xf>
    <xf numFmtId="164" fontId="25" fillId="0" borderId="11" xfId="0" applyNumberFormat="1" applyFont="1" applyBorder="1" applyAlignment="1">
      <alignment horizontal="center"/>
    </xf>
    <xf numFmtId="164" fontId="25" fillId="0" borderId="12" xfId="0" applyNumberFormat="1" applyFont="1" applyBorder="1" applyAlignment="1">
      <alignment horizontal="center"/>
    </xf>
    <xf numFmtId="164" fontId="25" fillId="0" borderId="13" xfId="0" applyNumberFormat="1" applyFont="1" applyBorder="1" applyAlignment="1">
      <alignment horizontal="center"/>
    </xf>
    <xf numFmtId="164" fontId="25" fillId="0" borderId="14" xfId="0" applyNumberFormat="1" applyFont="1" applyBorder="1" applyAlignment="1">
      <alignment horizontal="center"/>
    </xf>
    <xf numFmtId="164" fontId="25" fillId="0" borderId="15" xfId="0" applyNumberFormat="1" applyFont="1" applyBorder="1" applyAlignment="1">
      <alignment horizontal="center"/>
    </xf>
    <xf numFmtId="164" fontId="25" fillId="0" borderId="16" xfId="0" applyNumberFormat="1" applyFont="1" applyBorder="1" applyAlignment="1">
      <alignment horizontal="center"/>
    </xf>
    <xf numFmtId="164" fontId="25" fillId="0" borderId="17" xfId="0" applyNumberFormat="1" applyFont="1" applyBorder="1" applyAlignment="1">
      <alignment horizontal="center"/>
    </xf>
    <xf numFmtId="164" fontId="25" fillId="0" borderId="18" xfId="0" applyNumberFormat="1" applyFont="1" applyBorder="1" applyAlignment="1">
      <alignment horizontal="center"/>
    </xf>
    <xf numFmtId="164" fontId="25" fillId="0" borderId="19" xfId="0" applyNumberFormat="1" applyFont="1" applyBorder="1" applyAlignment="1">
      <alignment horizontal="center"/>
    </xf>
    <xf numFmtId="164" fontId="25" fillId="0" borderId="20" xfId="0" applyNumberFormat="1" applyFont="1" applyBorder="1" applyAlignment="1">
      <alignment horizontal="center"/>
    </xf>
    <xf numFmtId="164" fontId="25" fillId="0" borderId="21" xfId="0" applyNumberFormat="1" applyFont="1" applyBorder="1" applyAlignment="1">
      <alignment horizontal="center"/>
    </xf>
    <xf numFmtId="164" fontId="25" fillId="0" borderId="23" xfId="0" applyNumberFormat="1" applyFont="1" applyBorder="1" applyAlignment="1">
      <alignment horizontal="center"/>
    </xf>
    <xf numFmtId="164" fontId="25" fillId="0" borderId="27" xfId="0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164" fontId="25" fillId="0" borderId="29" xfId="0" applyNumberFormat="1" applyFont="1" applyBorder="1" applyAlignment="1">
      <alignment horizontal="center"/>
    </xf>
    <xf numFmtId="0" fontId="17" fillId="0" borderId="30" xfId="0" applyFont="1" applyBorder="1" applyAlignment="1">
      <alignment horizontal="center" vertical="center"/>
    </xf>
    <xf numFmtId="0" fontId="17" fillId="0" borderId="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0" fontId="17" fillId="0" borderId="32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3" fillId="0" borderId="35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26" fillId="0" borderId="30" xfId="0" applyFont="1" applyBorder="1" applyAlignment="1">
      <alignment horizontal="center" vertical="center"/>
    </xf>
    <xf numFmtId="0" fontId="27" fillId="0" borderId="37" xfId="0" applyFont="1" applyBorder="1" applyAlignment="1">
      <alignment horizontal="center" vertical="center"/>
    </xf>
    <xf numFmtId="0" fontId="23" fillId="0" borderId="32" xfId="0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23" fillId="0" borderId="37" xfId="0" applyFont="1" applyBorder="1" applyAlignment="1">
      <alignment horizontal="center" vertical="center"/>
    </xf>
    <xf numFmtId="164" fontId="25" fillId="0" borderId="40" xfId="0" applyNumberFormat="1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 vertical="center"/>
    </xf>
    <xf numFmtId="164" fontId="25" fillId="0" borderId="43" xfId="0" applyNumberFormat="1" applyFont="1" applyBorder="1" applyAlignment="1">
      <alignment horizontal="center" vertical="center"/>
    </xf>
    <xf numFmtId="164" fontId="25" fillId="0" borderId="47" xfId="0" applyNumberFormat="1" applyFont="1" applyBorder="1" applyAlignment="1">
      <alignment horizontal="center" vertical="center"/>
    </xf>
    <xf numFmtId="0" fontId="17" fillId="0" borderId="36" xfId="0" applyFont="1" applyBorder="1" applyAlignment="1">
      <alignment horizontal="center" vertical="center"/>
    </xf>
    <xf numFmtId="0" fontId="27" fillId="0" borderId="32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3" fillId="0" borderId="33" xfId="0" applyFont="1" applyBorder="1" applyAlignment="1">
      <alignment horizontal="center" vertical="center"/>
    </xf>
    <xf numFmtId="164" fontId="25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5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1" fillId="0" borderId="79" xfId="0" applyNumberFormat="1" applyFont="1" applyBorder="1" applyAlignment="1">
      <alignment horizontal="center"/>
    </xf>
    <xf numFmtId="165" fontId="31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5" fillId="0" borderId="61" xfId="0" applyNumberFormat="1" applyFont="1" applyBorder="1" applyAlignment="1">
      <alignment horizontal="center"/>
    </xf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5" fillId="0" borderId="0" xfId="0" applyNumberFormat="1" applyFont="1" applyAlignment="1">
      <alignment horizontal="center"/>
    </xf>
    <xf numFmtId="1" fontId="31" fillId="0" borderId="82" xfId="0" applyNumberFormat="1" applyFont="1" applyBorder="1" applyAlignment="1">
      <alignment horizontal="center"/>
    </xf>
    <xf numFmtId="1" fontId="31" fillId="0" borderId="83" xfId="0" applyNumberFormat="1" applyFont="1" applyBorder="1" applyAlignment="1">
      <alignment horizontal="center"/>
    </xf>
    <xf numFmtId="1" fontId="31" fillId="0" borderId="84" xfId="0" applyNumberFormat="1" applyFont="1" applyBorder="1" applyAlignment="1">
      <alignment horizontal="center"/>
    </xf>
    <xf numFmtId="1" fontId="31" fillId="0" borderId="0" xfId="0" applyNumberFormat="1" applyFont="1" applyAlignment="1">
      <alignment horizontal="center"/>
    </xf>
    <xf numFmtId="1" fontId="31" fillId="0" borderId="85" xfId="0" applyNumberFormat="1" applyFont="1" applyBorder="1" applyAlignment="1">
      <alignment horizontal="center"/>
    </xf>
    <xf numFmtId="1" fontId="31" fillId="0" borderId="86" xfId="0" applyNumberFormat="1" applyFont="1" applyBorder="1" applyAlignment="1">
      <alignment horizontal="center"/>
    </xf>
    <xf numFmtId="0" fontId="25" fillId="0" borderId="0" xfId="0" applyFont="1" applyAlignment="1">
      <alignment horizontal="center"/>
    </xf>
    <xf numFmtId="1" fontId="25" fillId="0" borderId="0" xfId="0" applyNumberFormat="1" applyFont="1" applyAlignment="1">
      <alignment horizontal="center"/>
    </xf>
    <xf numFmtId="166" fontId="25" fillId="0" borderId="74" xfId="0" applyNumberFormat="1" applyFont="1" applyBorder="1" applyAlignment="1">
      <alignment horizontal="center"/>
    </xf>
    <xf numFmtId="166" fontId="31" fillId="0" borderId="87" xfId="0" applyNumberFormat="1" applyFont="1" applyBorder="1" applyAlignment="1">
      <alignment horizontal="center"/>
    </xf>
    <xf numFmtId="166" fontId="31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1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2" fillId="0" borderId="0" xfId="0" applyFont="1"/>
    <xf numFmtId="165" fontId="25" fillId="0" borderId="88" xfId="0" applyNumberFormat="1" applyFont="1" applyBorder="1" applyAlignment="1">
      <alignment horizontal="center"/>
    </xf>
    <xf numFmtId="0" fontId="25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1" fillId="0" borderId="94" xfId="0" applyNumberFormat="1" applyFont="1" applyBorder="1" applyAlignment="1">
      <alignment horizontal="center"/>
    </xf>
    <xf numFmtId="1" fontId="31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1" fillId="0" borderId="0" xfId="0" applyNumberFormat="1" applyFont="1" applyAlignment="1">
      <alignment horizontal="center"/>
    </xf>
    <xf numFmtId="165" fontId="31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5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1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1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1" fillId="0" borderId="8" xfId="0" applyNumberFormat="1" applyFont="1" applyBorder="1" applyAlignment="1">
      <alignment horizontal="center"/>
    </xf>
    <xf numFmtId="166" fontId="31" fillId="0" borderId="90" xfId="0" applyNumberFormat="1" applyFont="1" applyBorder="1" applyAlignment="1">
      <alignment horizontal="center"/>
    </xf>
    <xf numFmtId="166" fontId="31" fillId="0" borderId="73" xfId="0" applyNumberFormat="1" applyFont="1" applyBorder="1" applyAlignment="1">
      <alignment horizontal="center"/>
    </xf>
    <xf numFmtId="1" fontId="31" fillId="0" borderId="99" xfId="0" applyNumberFormat="1" applyFont="1" applyBorder="1" applyAlignment="1">
      <alignment horizontal="center"/>
    </xf>
    <xf numFmtId="1" fontId="31" fillId="0" borderId="100" xfId="0" applyNumberFormat="1" applyFont="1" applyBorder="1" applyAlignment="1">
      <alignment horizontal="center"/>
    </xf>
    <xf numFmtId="1" fontId="31" fillId="0" borderId="101" xfId="0" applyNumberFormat="1" applyFont="1" applyBorder="1" applyAlignment="1">
      <alignment horizontal="center"/>
    </xf>
    <xf numFmtId="2" fontId="25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1" fillId="0" borderId="53" xfId="0" applyNumberFormat="1" applyFont="1" applyBorder="1" applyAlignment="1">
      <alignment horizontal="center"/>
    </xf>
    <xf numFmtId="166" fontId="31" fillId="0" borderId="103" xfId="0" applyNumberFormat="1" applyFont="1" applyBorder="1" applyAlignment="1">
      <alignment horizontal="center"/>
    </xf>
    <xf numFmtId="166" fontId="31" fillId="0" borderId="0" xfId="0" applyNumberFormat="1" applyFont="1" applyAlignment="1">
      <alignment horizontal="center"/>
    </xf>
    <xf numFmtId="166" fontId="31" fillId="44" borderId="29" xfId="0" applyNumberFormat="1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2" fontId="25" fillId="0" borderId="0" xfId="0" applyNumberFormat="1" applyFont="1" applyAlignment="1">
      <alignment horizontal="center" vertical="center"/>
    </xf>
    <xf numFmtId="165" fontId="25" fillId="0" borderId="0" xfId="0" applyNumberFormat="1" applyFont="1" applyAlignment="1">
      <alignment horizontal="center" vertical="center"/>
    </xf>
    <xf numFmtId="1" fontId="3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3" fillId="0" borderId="105" xfId="0" applyFont="1" applyBorder="1" applyAlignment="1">
      <alignment horizontal="center" vertical="center"/>
    </xf>
    <xf numFmtId="0" fontId="33" fillId="0" borderId="106" xfId="0" applyFont="1" applyBorder="1" applyAlignment="1">
      <alignment horizontal="center" vertical="center"/>
    </xf>
    <xf numFmtId="165" fontId="33" fillId="0" borderId="60" xfId="0" applyNumberFormat="1" applyFont="1" applyBorder="1" applyAlignment="1">
      <alignment horizontal="center" vertical="center"/>
    </xf>
    <xf numFmtId="165" fontId="33" fillId="0" borderId="107" xfId="0" applyNumberFormat="1" applyFont="1" applyBorder="1" applyAlignment="1">
      <alignment horizontal="center" vertical="center"/>
    </xf>
    <xf numFmtId="166" fontId="31" fillId="44" borderId="108" xfId="0" applyNumberFormat="1" applyFont="1" applyFill="1" applyBorder="1" applyAlignment="1">
      <alignment horizontal="center"/>
    </xf>
    <xf numFmtId="166" fontId="31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3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1" fillId="0" borderId="28" xfId="0" applyNumberFormat="1" applyFont="1" applyBorder="1" applyAlignment="1">
      <alignment horizontal="center"/>
    </xf>
    <xf numFmtId="166" fontId="31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5" fillId="0" borderId="0" xfId="0" applyNumberFormat="1" applyFont="1" applyAlignment="1">
      <alignment horizontal="center"/>
    </xf>
    <xf numFmtId="166" fontId="17" fillId="0" borderId="116" xfId="0" applyNumberFormat="1" applyFont="1" applyBorder="1" applyAlignment="1">
      <alignment horizontal="center"/>
    </xf>
    <xf numFmtId="166" fontId="17" fillId="0" borderId="117" xfId="0" applyNumberFormat="1" applyFont="1" applyBorder="1" applyAlignment="1">
      <alignment horizontal="center"/>
    </xf>
    <xf numFmtId="166" fontId="17" fillId="0" borderId="118" xfId="0" applyNumberFormat="1" applyFont="1" applyBorder="1" applyAlignment="1">
      <alignment horizontal="center"/>
    </xf>
    <xf numFmtId="165" fontId="25" fillId="0" borderId="0" xfId="0" applyNumberFormat="1" applyFont="1" applyAlignment="1">
      <alignment horizontal="center"/>
    </xf>
    <xf numFmtId="164" fontId="25" fillId="0" borderId="66" xfId="0" applyNumberFormat="1" applyFont="1" applyBorder="1" applyAlignment="1">
      <alignment horizontal="center"/>
    </xf>
    <xf numFmtId="167" fontId="25" fillId="0" borderId="67" xfId="0" applyNumberFormat="1" applyFont="1" applyBorder="1" applyAlignment="1">
      <alignment horizontal="center"/>
    </xf>
    <xf numFmtId="0" fontId="23" fillId="0" borderId="119" xfId="0" applyFont="1" applyBorder="1" applyAlignment="1">
      <alignment horizontal="center" vertical="center"/>
    </xf>
    <xf numFmtId="0" fontId="23" fillId="0" borderId="120" xfId="0" applyFont="1" applyBorder="1" applyAlignment="1">
      <alignment horizontal="center" vertical="center"/>
    </xf>
    <xf numFmtId="0" fontId="17" fillId="0" borderId="35" xfId="0" applyFont="1" applyBorder="1" applyAlignment="1">
      <alignment horizontal="center" vertical="center"/>
    </xf>
    <xf numFmtId="0" fontId="17" fillId="0" borderId="37" xfId="0" applyFont="1" applyBorder="1" applyAlignment="1">
      <alignment horizontal="center" vertical="center"/>
    </xf>
    <xf numFmtId="164" fontId="25" fillId="0" borderId="109" xfId="0" applyNumberFormat="1" applyFont="1" applyBorder="1" applyAlignment="1">
      <alignment horizontal="center"/>
    </xf>
    <xf numFmtId="164" fontId="25" fillId="0" borderId="54" xfId="0" applyNumberFormat="1" applyFont="1" applyBorder="1" applyAlignment="1">
      <alignment horizontal="center"/>
    </xf>
    <xf numFmtId="164" fontId="25" fillId="0" borderId="124" xfId="0" applyNumberFormat="1" applyFont="1" applyBorder="1" applyAlignment="1">
      <alignment horizontal="center"/>
    </xf>
    <xf numFmtId="164" fontId="25" fillId="0" borderId="110" xfId="0" applyNumberFormat="1" applyFont="1" applyBorder="1" applyAlignment="1">
      <alignment horizontal="center"/>
    </xf>
    <xf numFmtId="164" fontId="25" fillId="0" borderId="126" xfId="0" applyNumberFormat="1" applyFont="1" applyBorder="1" applyAlignment="1">
      <alignment horizontal="center"/>
    </xf>
    <xf numFmtId="164" fontId="25" fillId="0" borderId="129" xfId="0" applyNumberFormat="1" applyFont="1" applyBorder="1" applyAlignment="1">
      <alignment horizontal="center"/>
    </xf>
    <xf numFmtId="0" fontId="23" fillId="0" borderId="134" xfId="0" applyFont="1" applyBorder="1" applyAlignment="1">
      <alignment horizontal="center" vertical="center"/>
    </xf>
    <xf numFmtId="164" fontId="25" fillId="0" borderId="72" xfId="0" applyNumberFormat="1" applyFont="1" applyBorder="1" applyAlignment="1">
      <alignment horizontal="center"/>
    </xf>
    <xf numFmtId="164" fontId="25" fillId="0" borderId="136" xfId="0" applyNumberFormat="1" applyFont="1" applyBorder="1" applyAlignment="1">
      <alignment horizontal="center"/>
    </xf>
    <xf numFmtId="165" fontId="25" fillId="0" borderId="59" xfId="0" applyNumberFormat="1" applyFont="1" applyBorder="1" applyAlignment="1">
      <alignment horizontal="center"/>
    </xf>
    <xf numFmtId="165" fontId="25" fillId="0" borderId="61" xfId="0" applyNumberFormat="1" applyFont="1" applyBorder="1" applyAlignment="1">
      <alignment horizontal="center"/>
    </xf>
    <xf numFmtId="165" fontId="25" fillId="0" borderId="137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25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2" fontId="29" fillId="0" borderId="0" xfId="37" applyNumberFormat="1" applyFont="1" applyAlignment="1">
      <alignment horizontal="center"/>
    </xf>
    <xf numFmtId="164" fontId="29" fillId="0" borderId="126" xfId="37" applyNumberFormat="1" applyFont="1" applyBorder="1" applyAlignment="1">
      <alignment horizontal="center"/>
    </xf>
    <xf numFmtId="164" fontId="25" fillId="0" borderId="70" xfId="0" applyNumberFormat="1" applyFont="1" applyBorder="1" applyAlignment="1">
      <alignment horizontal="center"/>
    </xf>
    <xf numFmtId="0" fontId="3" fillId="0" borderId="138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39" xfId="37" applyNumberFormat="1" applyBorder="1" applyAlignment="1">
      <alignment horizontal="center" vertical="center"/>
    </xf>
    <xf numFmtId="0" fontId="3" fillId="0" borderId="142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1" fillId="0" borderId="0" xfId="0" applyNumberFormat="1" applyFont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5" fillId="0" borderId="147" xfId="0" applyNumberFormat="1" applyFont="1" applyBorder="1" applyAlignment="1">
      <alignment horizontal="center"/>
    </xf>
    <xf numFmtId="0" fontId="0" fillId="0" borderId="148" xfId="0" applyBorder="1" applyAlignment="1">
      <alignment horizontal="center"/>
    </xf>
    <xf numFmtId="0" fontId="0" fillId="0" borderId="149" xfId="0" applyBorder="1"/>
    <xf numFmtId="0" fontId="0" fillId="0" borderId="44" xfId="0" applyBorder="1"/>
    <xf numFmtId="164" fontId="25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64" fontId="25" fillId="0" borderId="42" xfId="0" applyNumberFormat="1" applyFont="1" applyBorder="1" applyAlignment="1">
      <alignment horizontal="center"/>
    </xf>
    <xf numFmtId="164" fontId="25" fillId="0" borderId="43" xfId="0" applyNumberFormat="1" applyFont="1" applyBorder="1" applyAlignment="1">
      <alignment horizontal="center"/>
    </xf>
    <xf numFmtId="164" fontId="25" fillId="0" borderId="44" xfId="0" applyNumberFormat="1" applyFont="1" applyBorder="1" applyAlignment="1">
      <alignment horizontal="center"/>
    </xf>
    <xf numFmtId="164" fontId="25" fillId="0" borderId="40" xfId="0" applyNumberFormat="1" applyFont="1" applyBorder="1" applyAlignment="1">
      <alignment horizontal="center"/>
    </xf>
    <xf numFmtId="164" fontId="25" fillId="0" borderId="45" xfId="0" applyNumberFormat="1" applyFont="1" applyBorder="1" applyAlignment="1">
      <alignment horizontal="center"/>
    </xf>
    <xf numFmtId="164" fontId="25" fillId="0" borderId="150" xfId="0" applyNumberFormat="1" applyFont="1" applyBorder="1" applyAlignment="1">
      <alignment horizontal="center"/>
    </xf>
    <xf numFmtId="164" fontId="25" fillId="0" borderId="151" xfId="0" applyNumberFormat="1" applyFont="1" applyBorder="1" applyAlignment="1">
      <alignment horizontal="center"/>
    </xf>
    <xf numFmtId="0" fontId="36" fillId="0" borderId="37" xfId="0" applyFont="1" applyBorder="1" applyAlignment="1">
      <alignment horizontal="center" vertical="center"/>
    </xf>
    <xf numFmtId="164" fontId="25" fillId="0" borderId="41" xfId="0" applyNumberFormat="1" applyFont="1" applyBorder="1" applyAlignment="1">
      <alignment horizontal="center"/>
    </xf>
    <xf numFmtId="0" fontId="0" fillId="0" borderId="139" xfId="0" applyBorder="1" applyAlignment="1">
      <alignment horizontal="center"/>
    </xf>
    <xf numFmtId="164" fontId="25" fillId="0" borderId="152" xfId="0" applyNumberFormat="1" applyFont="1" applyBorder="1" applyAlignment="1">
      <alignment horizontal="center"/>
    </xf>
    <xf numFmtId="164" fontId="25" fillId="0" borderId="153" xfId="0" applyNumberFormat="1" applyFont="1" applyBorder="1" applyAlignment="1">
      <alignment horizontal="center"/>
    </xf>
    <xf numFmtId="164" fontId="25" fillId="0" borderId="46" xfId="0" applyNumberFormat="1" applyFont="1" applyBorder="1" applyAlignment="1">
      <alignment horizontal="center"/>
    </xf>
    <xf numFmtId="0" fontId="36" fillId="0" borderId="3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/>
    </xf>
    <xf numFmtId="164" fontId="25" fillId="0" borderId="48" xfId="0" applyNumberFormat="1" applyFont="1" applyBorder="1" applyAlignment="1">
      <alignment horizontal="center"/>
    </xf>
    <xf numFmtId="0" fontId="25" fillId="0" borderId="6" xfId="0" applyFont="1" applyBorder="1" applyAlignment="1">
      <alignment horizontal="center"/>
    </xf>
    <xf numFmtId="0" fontId="36" fillId="0" borderId="30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36" fillId="0" borderId="155" xfId="0" applyFont="1" applyBorder="1" applyAlignment="1">
      <alignment horizontal="center" vertical="center"/>
    </xf>
    <xf numFmtId="164" fontId="25" fillId="0" borderId="115" xfId="0" applyNumberFormat="1" applyFont="1" applyBorder="1" applyAlignment="1">
      <alignment horizontal="center"/>
    </xf>
    <xf numFmtId="164" fontId="25" fillId="0" borderId="156" xfId="0" applyNumberFormat="1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64" fontId="25" fillId="0" borderId="39" xfId="0" applyNumberFormat="1" applyFont="1" applyBorder="1" applyAlignment="1">
      <alignment horizontal="center"/>
    </xf>
    <xf numFmtId="164" fontId="25" fillId="0" borderId="157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3" fillId="0" borderId="158" xfId="0" applyFont="1" applyBorder="1" applyAlignment="1">
      <alignment horizontal="center" vertical="center"/>
    </xf>
    <xf numFmtId="0" fontId="25" fillId="0" borderId="149" xfId="0" applyFont="1" applyBorder="1" applyAlignment="1">
      <alignment horizontal="center"/>
    </xf>
    <xf numFmtId="0" fontId="0" fillId="0" borderId="158" xfId="0" applyBorder="1" applyAlignment="1">
      <alignment horizontal="center"/>
    </xf>
    <xf numFmtId="164" fontId="25" fillId="0" borderId="47" xfId="0" applyNumberFormat="1" applyFont="1" applyBorder="1" applyAlignment="1">
      <alignment horizontal="center"/>
    </xf>
    <xf numFmtId="164" fontId="25" fillId="0" borderId="49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164" fontId="25" fillId="0" borderId="31" xfId="0" applyNumberFormat="1" applyFont="1" applyBorder="1" applyAlignment="1">
      <alignment horizontal="center"/>
    </xf>
    <xf numFmtId="164" fontId="25" fillId="0" borderId="30" xfId="0" applyNumberFormat="1" applyFont="1" applyBorder="1" applyAlignment="1">
      <alignment horizontal="center"/>
    </xf>
    <xf numFmtId="164" fontId="25" fillId="0" borderId="33" xfId="0" applyNumberFormat="1" applyFont="1" applyBorder="1" applyAlignment="1">
      <alignment horizontal="center"/>
    </xf>
    <xf numFmtId="164" fontId="25" fillId="0" borderId="106" xfId="0" applyNumberFormat="1" applyFont="1" applyBorder="1" applyAlignment="1">
      <alignment horizontal="center"/>
    </xf>
    <xf numFmtId="164" fontId="25" fillId="0" borderId="37" xfId="0" applyNumberFormat="1" applyFont="1" applyBorder="1" applyAlignment="1">
      <alignment horizontal="center"/>
    </xf>
    <xf numFmtId="164" fontId="25" fillId="0" borderId="158" xfId="0" applyNumberFormat="1" applyFont="1" applyBorder="1" applyAlignment="1">
      <alignment horizontal="center"/>
    </xf>
    <xf numFmtId="0" fontId="0" fillId="0" borderId="159" xfId="0" applyBorder="1" applyAlignment="1">
      <alignment horizontal="center" vertical="center"/>
    </xf>
    <xf numFmtId="164" fontId="25" fillId="0" borderId="160" xfId="0" applyNumberFormat="1" applyFont="1" applyBorder="1" applyAlignment="1">
      <alignment horizontal="center"/>
    </xf>
    <xf numFmtId="0" fontId="0" fillId="0" borderId="161" xfId="0" applyBorder="1" applyAlignment="1">
      <alignment horizontal="center"/>
    </xf>
    <xf numFmtId="168" fontId="25" fillId="0" borderId="109" xfId="0" applyNumberFormat="1" applyFont="1" applyBorder="1" applyAlignment="1">
      <alignment horizontal="center"/>
    </xf>
    <xf numFmtId="168" fontId="25" fillId="0" borderId="5" xfId="0" applyNumberFormat="1" applyFont="1" applyBorder="1" applyAlignment="1">
      <alignment horizontal="center"/>
    </xf>
    <xf numFmtId="168" fontId="25" fillId="0" borderId="136" xfId="0" applyNumberFormat="1" applyFont="1" applyBorder="1" applyAlignment="1">
      <alignment horizontal="center"/>
    </xf>
    <xf numFmtId="168" fontId="25" fillId="0" borderId="6" xfId="0" applyNumberFormat="1" applyFont="1" applyBorder="1" applyAlignment="1">
      <alignment horizontal="center"/>
    </xf>
    <xf numFmtId="164" fontId="25" fillId="0" borderId="32" xfId="0" applyNumberFormat="1" applyFont="1" applyBorder="1" applyAlignment="1">
      <alignment horizontal="center"/>
    </xf>
    <xf numFmtId="0" fontId="0" fillId="0" borderId="41" xfId="0" applyBorder="1"/>
    <xf numFmtId="168" fontId="25" fillId="0" borderId="4" xfId="0" applyNumberFormat="1" applyFont="1" applyBorder="1" applyAlignment="1">
      <alignment horizontal="center"/>
    </xf>
    <xf numFmtId="168" fontId="25" fillId="0" borderId="10" xfId="0" applyNumberFormat="1" applyFont="1" applyBorder="1" applyAlignment="1">
      <alignment horizontal="center"/>
    </xf>
    <xf numFmtId="168" fontId="25" fillId="0" borderId="21" xfId="0" applyNumberFormat="1" applyFont="1" applyBorder="1" applyAlignment="1">
      <alignment horizontal="center"/>
    </xf>
    <xf numFmtId="0" fontId="0" fillId="45" borderId="160" xfId="0" applyFill="1" applyBorder="1"/>
    <xf numFmtId="164" fontId="25" fillId="45" borderId="123" xfId="0" applyNumberFormat="1" applyFont="1" applyFill="1" applyBorder="1" applyAlignment="1">
      <alignment horizontal="center"/>
    </xf>
    <xf numFmtId="164" fontId="25" fillId="45" borderId="54" xfId="0" applyNumberFormat="1" applyFont="1" applyFill="1" applyBorder="1" applyAlignment="1">
      <alignment horizontal="center"/>
    </xf>
    <xf numFmtId="0" fontId="0" fillId="0" borderId="162" xfId="0" applyBorder="1"/>
    <xf numFmtId="164" fontId="25" fillId="0" borderId="163" xfId="0" applyNumberFormat="1" applyFont="1" applyBorder="1" applyAlignment="1">
      <alignment horizontal="center"/>
    </xf>
    <xf numFmtId="10" fontId="25" fillId="0" borderId="10" xfId="0" applyNumberFormat="1" applyFont="1" applyBorder="1" applyAlignment="1">
      <alignment horizontal="center"/>
    </xf>
    <xf numFmtId="10" fontId="25" fillId="0" borderId="6" xfId="0" applyNumberFormat="1" applyFont="1" applyBorder="1" applyAlignment="1">
      <alignment horizontal="center"/>
    </xf>
    <xf numFmtId="0" fontId="25" fillId="0" borderId="42" xfId="0" applyFont="1" applyBorder="1" applyAlignment="1">
      <alignment horizontal="center"/>
    </xf>
    <xf numFmtId="0" fontId="25" fillId="0" borderId="43" xfId="0" applyFont="1" applyBorder="1" applyAlignment="1">
      <alignment horizontal="center"/>
    </xf>
    <xf numFmtId="0" fontId="25" fillId="0" borderId="44" xfId="0" applyFont="1" applyBorder="1" applyAlignment="1">
      <alignment horizontal="center"/>
    </xf>
    <xf numFmtId="10" fontId="25" fillId="0" borderId="4" xfId="0" applyNumberFormat="1" applyFont="1" applyBorder="1" applyAlignment="1">
      <alignment horizontal="center"/>
    </xf>
    <xf numFmtId="10" fontId="25" fillId="0" borderId="5" xfId="0" applyNumberFormat="1" applyFont="1" applyBorder="1" applyAlignment="1">
      <alignment horizontal="center"/>
    </xf>
    <xf numFmtId="0" fontId="25" fillId="0" borderId="40" xfId="0" applyFont="1" applyBorder="1" applyAlignment="1">
      <alignment horizontal="center"/>
    </xf>
    <xf numFmtId="10" fontId="29" fillId="0" borderId="83" xfId="37" applyNumberFormat="1" applyFont="1" applyBorder="1" applyAlignment="1">
      <alignment horizontal="center"/>
    </xf>
    <xf numFmtId="0" fontId="3" fillId="0" borderId="153" xfId="37" applyBorder="1" applyAlignment="1">
      <alignment horizontal="center" vertical="center"/>
    </xf>
    <xf numFmtId="164" fontId="29" fillId="0" borderId="164" xfId="37" applyNumberFormat="1" applyFont="1" applyBorder="1" applyAlignment="1">
      <alignment horizontal="center"/>
    </xf>
    <xf numFmtId="164" fontId="29" fillId="0" borderId="129" xfId="37" applyNumberFormat="1" applyFont="1" applyBorder="1" applyAlignment="1">
      <alignment horizontal="center"/>
    </xf>
    <xf numFmtId="164" fontId="3" fillId="0" borderId="143" xfId="37" applyNumberFormat="1" applyBorder="1" applyAlignment="1">
      <alignment horizontal="center" vertical="center"/>
    </xf>
    <xf numFmtId="0" fontId="3" fillId="0" borderId="145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29" fillId="0" borderId="6" xfId="37" applyNumberFormat="1" applyFont="1" applyBorder="1" applyAlignment="1">
      <alignment horizontal="center"/>
    </xf>
    <xf numFmtId="164" fontId="29" fillId="0" borderId="4" xfId="37" applyNumberFormat="1" applyFont="1" applyBorder="1" applyAlignment="1">
      <alignment horizontal="center"/>
    </xf>
    <xf numFmtId="10" fontId="29" fillId="0" borderId="14" xfId="37" applyNumberFormat="1" applyFont="1" applyBorder="1" applyAlignment="1">
      <alignment horizontal="center"/>
    </xf>
    <xf numFmtId="168" fontId="0" fillId="0" borderId="0" xfId="0" applyNumberFormat="1"/>
    <xf numFmtId="0" fontId="25" fillId="0" borderId="115" xfId="0" applyFont="1" applyBorder="1" applyAlignment="1">
      <alignment horizontal="center"/>
    </xf>
    <xf numFmtId="0" fontId="25" fillId="0" borderId="152" xfId="0" applyFont="1" applyBorder="1" applyAlignment="1">
      <alignment horizontal="center"/>
    </xf>
    <xf numFmtId="10" fontId="0" fillId="0" borderId="0" xfId="0" applyNumberFormat="1"/>
    <xf numFmtId="10" fontId="25" fillId="0" borderId="27" xfId="0" applyNumberFormat="1" applyFont="1" applyBorder="1" applyAlignment="1">
      <alignment horizontal="center"/>
    </xf>
    <xf numFmtId="10" fontId="25" fillId="0" borderId="20" xfId="0" applyNumberFormat="1" applyFont="1" applyBorder="1" applyAlignment="1">
      <alignment horizontal="center"/>
    </xf>
    <xf numFmtId="10" fontId="25" fillId="0" borderId="23" xfId="0" applyNumberFormat="1" applyFont="1" applyBorder="1" applyAlignment="1">
      <alignment horizontal="center"/>
    </xf>
    <xf numFmtId="10" fontId="25" fillId="0" borderId="143" xfId="0" applyNumberFormat="1" applyFont="1" applyBorder="1" applyAlignment="1">
      <alignment horizontal="center"/>
    </xf>
    <xf numFmtId="10" fontId="25" fillId="0" borderId="144" xfId="0" applyNumberFormat="1" applyFont="1" applyBorder="1" applyAlignment="1">
      <alignment horizontal="center"/>
    </xf>
    <xf numFmtId="10" fontId="25" fillId="0" borderId="145" xfId="0" applyNumberFormat="1" applyFont="1" applyBorder="1" applyAlignment="1">
      <alignment horizontal="center"/>
    </xf>
    <xf numFmtId="3" fontId="25" fillId="0" borderId="0" xfId="0" applyNumberFormat="1" applyFont="1" applyAlignment="1">
      <alignment horizontal="center"/>
    </xf>
    <xf numFmtId="0" fontId="25" fillId="0" borderId="78" xfId="0" applyFont="1" applyBorder="1" applyAlignment="1">
      <alignment horizontal="center"/>
    </xf>
    <xf numFmtId="10" fontId="25" fillId="0" borderId="61" xfId="0" applyNumberFormat="1" applyFont="1" applyBorder="1" applyAlignment="1">
      <alignment horizontal="center"/>
    </xf>
    <xf numFmtId="0" fontId="25" fillId="0" borderId="41" xfId="0" applyFont="1" applyBorder="1" applyAlignment="1">
      <alignment horizontal="center"/>
    </xf>
    <xf numFmtId="0" fontId="25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65" xfId="0" applyBorder="1" applyAlignment="1">
      <alignment horizontal="center"/>
    </xf>
    <xf numFmtId="0" fontId="3" fillId="0" borderId="157" xfId="37" applyBorder="1" applyAlignment="1">
      <alignment vertical="center"/>
    </xf>
    <xf numFmtId="166" fontId="17" fillId="0" borderId="60" xfId="0" applyNumberFormat="1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169" fontId="25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5" fillId="0" borderId="160" xfId="0" applyFont="1" applyBorder="1" applyAlignment="1">
      <alignment horizontal="center"/>
    </xf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73" xfId="0" applyBorder="1" applyAlignment="1">
      <alignment horizontal="center"/>
    </xf>
    <xf numFmtId="0" fontId="37" fillId="0" borderId="49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1" xfId="0" applyFont="1" applyBorder="1" applyAlignment="1">
      <alignment horizontal="center" vertical="center"/>
    </xf>
    <xf numFmtId="0" fontId="0" fillId="0" borderId="177" xfId="0" applyBorder="1" applyAlignment="1">
      <alignment horizontal="center"/>
    </xf>
    <xf numFmtId="0" fontId="0" fillId="0" borderId="178" xfId="0" applyBorder="1" applyAlignment="1">
      <alignment horizont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1" xfId="0" applyBorder="1" applyAlignment="1">
      <alignment horizontal="center" vertical="center" wrapText="1"/>
    </xf>
    <xf numFmtId="0" fontId="25" fillId="0" borderId="182" xfId="0" applyFont="1" applyBorder="1" applyAlignment="1">
      <alignment horizontal="center"/>
    </xf>
    <xf numFmtId="0" fontId="0" fillId="0" borderId="183" xfId="0" applyBorder="1" applyAlignment="1">
      <alignment horizontal="center"/>
    </xf>
    <xf numFmtId="10" fontId="25" fillId="0" borderId="126" xfId="0" applyNumberFormat="1" applyFont="1" applyBorder="1" applyAlignment="1">
      <alignment horizontal="center"/>
    </xf>
    <xf numFmtId="3" fontId="25" fillId="0" borderId="4" xfId="0" applyNumberFormat="1" applyFont="1" applyBorder="1" applyAlignment="1">
      <alignment horizontal="center"/>
    </xf>
    <xf numFmtId="3" fontId="25" fillId="0" borderId="5" xfId="0" applyNumberFormat="1" applyFont="1" applyBorder="1" applyAlignment="1">
      <alignment horizontal="center"/>
    </xf>
    <xf numFmtId="3" fontId="25" fillId="0" borderId="9" xfId="0" applyNumberFormat="1" applyFont="1" applyBorder="1" applyAlignment="1">
      <alignment horizontal="center"/>
    </xf>
    <xf numFmtId="3" fontId="25" fillId="0" borderId="10" xfId="0" applyNumberFormat="1" applyFont="1" applyBorder="1" applyAlignment="1">
      <alignment horizontal="center"/>
    </xf>
    <xf numFmtId="3" fontId="25" fillId="0" borderId="184" xfId="0" applyNumberFormat="1" applyFont="1" applyBorder="1" applyAlignment="1">
      <alignment horizontal="center"/>
    </xf>
    <xf numFmtId="166" fontId="17" fillId="0" borderId="185" xfId="0" applyNumberFormat="1" applyFont="1" applyBorder="1" applyAlignment="1">
      <alignment horizontal="center"/>
    </xf>
    <xf numFmtId="166" fontId="17" fillId="0" borderId="186" xfId="0" applyNumberFormat="1" applyFont="1" applyBorder="1" applyAlignment="1">
      <alignment horizontal="center"/>
    </xf>
    <xf numFmtId="3" fontId="25" fillId="0" borderId="6" xfId="0" applyNumberFormat="1" applyFont="1" applyBorder="1" applyAlignment="1">
      <alignment horizontal="center"/>
    </xf>
    <xf numFmtId="3" fontId="31" fillId="0" borderId="165" xfId="0" applyNumberFormat="1" applyFont="1" applyBorder="1" applyAlignment="1">
      <alignment horizontal="right"/>
    </xf>
    <xf numFmtId="3" fontId="31" fillId="0" borderId="78" xfId="0" applyNumberFormat="1" applyFont="1" applyBorder="1" applyAlignment="1">
      <alignment horizontal="right"/>
    </xf>
    <xf numFmtId="0" fontId="0" fillId="0" borderId="161" xfId="0" applyBorder="1" applyAlignment="1">
      <alignment horizontal="center" vertical="center" wrapText="1"/>
    </xf>
    <xf numFmtId="164" fontId="3" fillId="0" borderId="161" xfId="37" applyNumberFormat="1" applyBorder="1" applyAlignment="1">
      <alignment horizontal="center" vertical="center"/>
    </xf>
    <xf numFmtId="0" fontId="25" fillId="0" borderId="157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4" xfId="0" applyBorder="1" applyAlignment="1">
      <alignment horizontal="center"/>
    </xf>
    <xf numFmtId="3" fontId="25" fillId="0" borderId="44" xfId="0" applyNumberFormat="1" applyFont="1" applyBorder="1" applyAlignment="1">
      <alignment horizontal="center"/>
    </xf>
    <xf numFmtId="3" fontId="25" fillId="0" borderId="40" xfId="0" applyNumberFormat="1" applyFont="1" applyBorder="1" applyAlignment="1">
      <alignment horizontal="center"/>
    </xf>
    <xf numFmtId="0" fontId="0" fillId="0" borderId="175" xfId="0" applyBorder="1" applyAlignment="1">
      <alignment horizontal="center"/>
    </xf>
    <xf numFmtId="3" fontId="25" fillId="0" borderId="70" xfId="0" applyNumberFormat="1" applyFont="1" applyBorder="1" applyAlignment="1">
      <alignment horizontal="center"/>
    </xf>
    <xf numFmtId="3" fontId="25" fillId="0" borderId="8" xfId="0" applyNumberFormat="1" applyFont="1" applyBorder="1" applyAlignment="1">
      <alignment horizontal="center"/>
    </xf>
    <xf numFmtId="3" fontId="25" fillId="0" borderId="41" xfId="0" applyNumberFormat="1" applyFont="1" applyBorder="1" applyAlignment="1">
      <alignment horizontal="center"/>
    </xf>
    <xf numFmtId="3" fontId="25" fillId="0" borderId="71" xfId="0" applyNumberFormat="1" applyFont="1" applyBorder="1" applyAlignment="1">
      <alignment horizontal="center"/>
    </xf>
    <xf numFmtId="3" fontId="25" fillId="0" borderId="42" xfId="0" applyNumberFormat="1" applyFont="1" applyBorder="1" applyAlignment="1">
      <alignment horizontal="center"/>
    </xf>
    <xf numFmtId="3" fontId="25" fillId="0" borderId="43" xfId="0" applyNumberFormat="1" applyFont="1" applyBorder="1" applyAlignment="1">
      <alignment horizontal="center"/>
    </xf>
    <xf numFmtId="3" fontId="25" fillId="0" borderId="136" xfId="0" applyNumberFormat="1" applyFont="1" applyBorder="1" applyAlignment="1">
      <alignment horizontal="center"/>
    </xf>
    <xf numFmtId="3" fontId="31" fillId="0" borderId="0" xfId="0" applyNumberFormat="1" applyFont="1" applyAlignment="1">
      <alignment horizontal="center"/>
    </xf>
    <xf numFmtId="0" fontId="25" fillId="0" borderId="162" xfId="0" applyFont="1" applyBorder="1" applyAlignment="1">
      <alignment horizontal="center"/>
    </xf>
    <xf numFmtId="3" fontId="25" fillId="0" borderId="163" xfId="0" applyNumberFormat="1" applyFont="1" applyBorder="1" applyAlignment="1">
      <alignment horizontal="center"/>
    </xf>
    <xf numFmtId="164" fontId="25" fillId="0" borderId="193" xfId="0" applyNumberFormat="1" applyFont="1" applyBorder="1" applyAlignment="1">
      <alignment horizontal="center"/>
    </xf>
    <xf numFmtId="166" fontId="0" fillId="0" borderId="0" xfId="0" applyNumberFormat="1"/>
    <xf numFmtId="0" fontId="17" fillId="0" borderId="1" xfId="0" applyFont="1" applyBorder="1" applyAlignment="1">
      <alignment horizontal="center" vertical="center"/>
    </xf>
    <xf numFmtId="0" fontId="17" fillId="0" borderId="38" xfId="0" applyFont="1" applyBorder="1" applyAlignment="1">
      <alignment horizontal="center" vertical="center"/>
    </xf>
    <xf numFmtId="0" fontId="17" fillId="0" borderId="159" xfId="0" applyFont="1" applyBorder="1" applyAlignment="1">
      <alignment horizontal="center" vertical="center"/>
    </xf>
    <xf numFmtId="0" fontId="27" fillId="0" borderId="50" xfId="0" applyFont="1" applyBorder="1" applyAlignment="1">
      <alignment horizontal="center" vertical="center"/>
    </xf>
    <xf numFmtId="0" fontId="17" fillId="0" borderId="144" xfId="0" applyFont="1" applyBorder="1" applyAlignment="1">
      <alignment horizontal="center" vertical="center"/>
    </xf>
    <xf numFmtId="0" fontId="17" fillId="0" borderId="194" xfId="0" applyFont="1" applyBorder="1" applyAlignment="1">
      <alignment horizontal="center" vertical="center"/>
    </xf>
    <xf numFmtId="166" fontId="0" fillId="0" borderId="197" xfId="0" applyNumberFormat="1" applyBorder="1" applyAlignment="1">
      <alignment horizontal="center"/>
    </xf>
    <xf numFmtId="166" fontId="0" fillId="0" borderId="197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7" xfId="0" applyNumberFormat="1" applyBorder="1" applyAlignment="1">
      <alignment horizontal="center"/>
    </xf>
    <xf numFmtId="0" fontId="17" fillId="0" borderId="168" xfId="0" applyFont="1" applyBorder="1" applyAlignment="1">
      <alignment horizontal="center" vertical="center"/>
    </xf>
    <xf numFmtId="0" fontId="17" fillId="0" borderId="146" xfId="0" applyFont="1" applyBorder="1" applyAlignment="1">
      <alignment horizontal="center" vertical="center"/>
    </xf>
    <xf numFmtId="0" fontId="17" fillId="0" borderId="57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274" xfId="0" applyFont="1" applyBorder="1" applyAlignment="1">
      <alignment horizontal="center" vertical="center"/>
    </xf>
    <xf numFmtId="0" fontId="23" fillId="0" borderId="275" xfId="0" applyFont="1" applyBorder="1" applyAlignment="1">
      <alignment horizontal="center" vertical="center"/>
    </xf>
    <xf numFmtId="0" fontId="23" fillId="0" borderId="276" xfId="0" applyFont="1" applyBorder="1" applyAlignment="1">
      <alignment horizontal="center" vertical="center"/>
    </xf>
    <xf numFmtId="0" fontId="43" fillId="0" borderId="277" xfId="0" applyFont="1" applyBorder="1" applyAlignment="1">
      <alignment horizontal="center"/>
    </xf>
    <xf numFmtId="0" fontId="43" fillId="0" borderId="81" xfId="0" applyFont="1" applyBorder="1" applyAlignment="1">
      <alignment horizontal="center"/>
    </xf>
    <xf numFmtId="0" fontId="43" fillId="0" borderId="278" xfId="0" applyFont="1" applyBorder="1" applyAlignment="1">
      <alignment horizontal="center"/>
    </xf>
    <xf numFmtId="0" fontId="23" fillId="0" borderId="9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89" xfId="0" applyFont="1" applyBorder="1" applyAlignment="1">
      <alignment horizontal="center" vertical="center"/>
    </xf>
    <xf numFmtId="0" fontId="23" fillId="0" borderId="124" xfId="0" applyFont="1" applyBorder="1" applyAlignment="1">
      <alignment horizontal="center" vertical="center"/>
    </xf>
    <xf numFmtId="0" fontId="23" fillId="0" borderId="90" xfId="0" applyFont="1" applyBorder="1" applyAlignment="1">
      <alignment horizontal="center" vertical="center"/>
    </xf>
    <xf numFmtId="165" fontId="25" fillId="0" borderId="134" xfId="0" applyNumberFormat="1" applyFont="1" applyBorder="1" applyAlignment="1">
      <alignment horizontal="center"/>
    </xf>
    <xf numFmtId="165" fontId="25" fillId="0" borderId="167" xfId="0" applyNumberFormat="1" applyFont="1" applyBorder="1" applyAlignment="1">
      <alignment horizontal="center"/>
    </xf>
    <xf numFmtId="165" fontId="25" fillId="0" borderId="36" xfId="0" applyNumberFormat="1" applyFont="1" applyBorder="1" applyAlignment="1">
      <alignment horizontal="center"/>
    </xf>
    <xf numFmtId="165" fontId="25" fillId="0" borderId="9" xfId="0" applyNumberFormat="1" applyFont="1" applyBorder="1" applyAlignment="1">
      <alignment horizontal="center"/>
    </xf>
    <xf numFmtId="165" fontId="25" fillId="0" borderId="5" xfId="0" applyNumberFormat="1" applyFont="1" applyBorder="1" applyAlignment="1">
      <alignment horizontal="center"/>
    </xf>
    <xf numFmtId="165" fontId="25" fillId="0" borderId="8" xfId="0" applyNumberFormat="1" applyFont="1" applyBorder="1" applyAlignment="1">
      <alignment horizontal="center"/>
    </xf>
    <xf numFmtId="165" fontId="25" fillId="0" borderId="89" xfId="0" applyNumberFormat="1" applyFont="1" applyBorder="1" applyAlignment="1">
      <alignment horizontal="center"/>
    </xf>
    <xf numFmtId="165" fontId="25" fillId="0" borderId="124" xfId="0" applyNumberFormat="1" applyFont="1" applyBorder="1" applyAlignment="1">
      <alignment horizontal="center"/>
    </xf>
    <xf numFmtId="165" fontId="25" fillId="0" borderId="90" xfId="0" applyNumberFormat="1" applyFont="1" applyBorder="1" applyAlignment="1">
      <alignment horizontal="center"/>
    </xf>
    <xf numFmtId="164" fontId="25" fillId="0" borderId="0" xfId="0" applyNumberFormat="1" applyFont="1"/>
    <xf numFmtId="166" fontId="17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1" fillId="0" borderId="0" xfId="0" applyFont="1"/>
    <xf numFmtId="166" fontId="31" fillId="0" borderId="0" xfId="0" applyNumberFormat="1" applyFont="1"/>
    <xf numFmtId="0" fontId="31" fillId="0" borderId="0" xfId="0" applyFont="1" applyAlignment="1">
      <alignment horizontal="center"/>
    </xf>
    <xf numFmtId="2" fontId="25" fillId="0" borderId="0" xfId="0" applyNumberFormat="1" applyFont="1"/>
    <xf numFmtId="2" fontId="25" fillId="0" borderId="5" xfId="0" applyNumberFormat="1" applyFont="1" applyBorder="1"/>
    <xf numFmtId="2" fontId="25" fillId="0" borderId="8" xfId="0" applyNumberFormat="1" applyFont="1" applyBorder="1"/>
    <xf numFmtId="2" fontId="25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47" xfId="0" applyBorder="1"/>
    <xf numFmtId="0" fontId="0" fillId="0" borderId="254" xfId="0" applyBorder="1"/>
    <xf numFmtId="0" fontId="25" fillId="0" borderId="195" xfId="0" applyFont="1" applyBorder="1"/>
    <xf numFmtId="0" fontId="25" fillId="0" borderId="88" xfId="0" applyFont="1" applyBorder="1"/>
    <xf numFmtId="2" fontId="25" fillId="0" borderId="144" xfId="0" applyNumberFormat="1" applyFont="1" applyBorder="1"/>
    <xf numFmtId="2" fontId="25" fillId="0" borderId="51" xfId="0" applyNumberFormat="1" applyFont="1" applyBorder="1"/>
    <xf numFmtId="2" fontId="25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5" fillId="0" borderId="195" xfId="0" applyNumberFormat="1" applyFont="1" applyBorder="1"/>
    <xf numFmtId="2" fontId="25" fillId="0" borderId="289" xfId="0" applyNumberFormat="1" applyFont="1" applyBorder="1"/>
    <xf numFmtId="0" fontId="0" fillId="0" borderId="289" xfId="0" applyBorder="1"/>
    <xf numFmtId="0" fontId="0" fillId="0" borderId="290" xfId="0" applyBorder="1"/>
    <xf numFmtId="0" fontId="0" fillId="0" borderId="169" xfId="0" applyBorder="1"/>
    <xf numFmtId="0" fontId="25" fillId="0" borderId="196" xfId="0" applyFont="1" applyBorder="1"/>
    <xf numFmtId="2" fontId="25" fillId="0" borderId="194" xfId="0" applyNumberFormat="1" applyFont="1" applyBorder="1"/>
    <xf numFmtId="2" fontId="25" fillId="0" borderId="291" xfId="0" applyNumberFormat="1" applyFont="1" applyBorder="1"/>
    <xf numFmtId="2" fontId="25" fillId="0" borderId="110" xfId="0" applyNumberFormat="1" applyFont="1" applyBorder="1"/>
    <xf numFmtId="2" fontId="25" fillId="0" borderId="135" xfId="0" applyNumberFormat="1" applyFont="1" applyBorder="1"/>
    <xf numFmtId="0" fontId="0" fillId="0" borderId="216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39" xfId="0" applyBorder="1" applyAlignment="1">
      <alignment horizontal="right"/>
    </xf>
    <xf numFmtId="0" fontId="0" fillId="0" borderId="292" xfId="0" applyBorder="1" applyAlignment="1">
      <alignment horizontal="right"/>
    </xf>
    <xf numFmtId="0" fontId="0" fillId="0" borderId="137" xfId="0" applyBorder="1" applyAlignment="1">
      <alignment horizontal="right"/>
    </xf>
    <xf numFmtId="0" fontId="0" fillId="0" borderId="141" xfId="0" applyBorder="1" applyAlignment="1">
      <alignment horizontal="right"/>
    </xf>
    <xf numFmtId="2" fontId="25" fillId="0" borderId="90" xfId="0" applyNumberFormat="1" applyFont="1" applyBorder="1"/>
    <xf numFmtId="2" fontId="25" fillId="0" borderId="88" xfId="0" applyNumberFormat="1" applyFont="1" applyBorder="1"/>
    <xf numFmtId="2" fontId="25" fillId="0" borderId="196" xfId="0" applyNumberFormat="1" applyFont="1" applyBorder="1"/>
    <xf numFmtId="2" fontId="25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6" fillId="0" borderId="293" xfId="0" applyNumberFormat="1" applyFont="1" applyBorder="1" applyAlignment="1">
      <alignment horizontal="center"/>
    </xf>
    <xf numFmtId="166" fontId="36" fillId="0" borderId="187" xfId="0" applyNumberFormat="1" applyFont="1" applyBorder="1" applyAlignment="1">
      <alignment horizontal="center"/>
    </xf>
    <xf numFmtId="0" fontId="36" fillId="0" borderId="204" xfId="0" applyFont="1" applyBorder="1" applyAlignment="1">
      <alignment horizontal="center"/>
    </xf>
    <xf numFmtId="166" fontId="36" fillId="0" borderId="56" xfId="0" applyNumberFormat="1" applyFont="1" applyBorder="1" applyAlignment="1">
      <alignment horizontal="center"/>
    </xf>
    <xf numFmtId="166" fontId="34" fillId="0" borderId="34" xfId="0" applyNumberFormat="1" applyFont="1" applyBorder="1" applyAlignment="1">
      <alignment horizontal="center"/>
    </xf>
    <xf numFmtId="49" fontId="36" fillId="35" borderId="133" xfId="0" applyNumberFormat="1" applyFont="1" applyFill="1" applyBorder="1" applyAlignment="1">
      <alignment horizontal="center"/>
    </xf>
    <xf numFmtId="49" fontId="36" fillId="36" borderId="55" xfId="0" applyNumberFormat="1" applyFont="1" applyFill="1" applyBorder="1" applyAlignment="1">
      <alignment horizontal="center"/>
    </xf>
    <xf numFmtId="49" fontId="36" fillId="37" borderId="55" xfId="0" applyNumberFormat="1" applyFont="1" applyFill="1" applyBorder="1" applyAlignment="1">
      <alignment horizontal="center"/>
    </xf>
    <xf numFmtId="49" fontId="36" fillId="38" borderId="55" xfId="0" applyNumberFormat="1" applyFont="1" applyFill="1" applyBorder="1" applyAlignment="1">
      <alignment horizontal="center"/>
    </xf>
    <xf numFmtId="49" fontId="36" fillId="39" borderId="55" xfId="0" applyNumberFormat="1" applyFont="1" applyFill="1" applyBorder="1" applyAlignment="1">
      <alignment horizontal="center"/>
    </xf>
    <xf numFmtId="49" fontId="36" fillId="40" borderId="55" xfId="0" applyNumberFormat="1" applyFont="1" applyFill="1" applyBorder="1" applyAlignment="1">
      <alignment horizontal="center"/>
    </xf>
    <xf numFmtId="49" fontId="36" fillId="41" borderId="55" xfId="0" applyNumberFormat="1" applyFont="1" applyFill="1" applyBorder="1" applyAlignment="1">
      <alignment horizontal="center"/>
    </xf>
    <xf numFmtId="49" fontId="36" fillId="42" borderId="55" xfId="0" applyNumberFormat="1" applyFont="1" applyFill="1" applyBorder="1" applyAlignment="1">
      <alignment horizontal="center"/>
    </xf>
    <xf numFmtId="49" fontId="36" fillId="43" borderId="55" xfId="0" applyNumberFormat="1" applyFont="1" applyFill="1" applyBorder="1" applyAlignment="1">
      <alignment horizontal="center"/>
    </xf>
    <xf numFmtId="49" fontId="36" fillId="51" borderId="77" xfId="0" applyNumberFormat="1" applyFont="1" applyFill="1" applyBorder="1" applyAlignment="1">
      <alignment horizontal="center"/>
    </xf>
    <xf numFmtId="49" fontId="36" fillId="52" borderId="78" xfId="0" applyNumberFormat="1" applyFont="1" applyFill="1" applyBorder="1" applyAlignment="1">
      <alignment horizontal="center"/>
    </xf>
    <xf numFmtId="49" fontId="36" fillId="53" borderId="78" xfId="0" applyNumberFormat="1" applyFont="1" applyFill="1" applyBorder="1" applyAlignment="1">
      <alignment horizontal="center"/>
    </xf>
    <xf numFmtId="49" fontId="36" fillId="54" borderId="78" xfId="0" applyNumberFormat="1" applyFont="1" applyFill="1" applyBorder="1" applyAlignment="1">
      <alignment horizontal="center"/>
    </xf>
    <xf numFmtId="49" fontId="36" fillId="55" borderId="78" xfId="0" applyNumberFormat="1" applyFont="1" applyFill="1" applyBorder="1" applyAlignment="1">
      <alignment horizontal="center"/>
    </xf>
    <xf numFmtId="49" fontId="36" fillId="56" borderId="78" xfId="0" applyNumberFormat="1" applyFont="1" applyFill="1" applyBorder="1" applyAlignment="1">
      <alignment horizontal="center"/>
    </xf>
    <xf numFmtId="49" fontId="36" fillId="57" borderId="78" xfId="0" applyNumberFormat="1" applyFont="1" applyFill="1" applyBorder="1" applyAlignment="1">
      <alignment horizontal="center"/>
    </xf>
    <xf numFmtId="49" fontId="36" fillId="58" borderId="78" xfId="0" applyNumberFormat="1" applyFont="1" applyFill="1" applyBorder="1" applyAlignment="1">
      <alignment horizontal="center"/>
    </xf>
    <xf numFmtId="49" fontId="36" fillId="59" borderId="78" xfId="0" applyNumberFormat="1" applyFont="1" applyFill="1" applyBorder="1" applyAlignment="1">
      <alignment horizontal="center"/>
    </xf>
    <xf numFmtId="0" fontId="25" fillId="0" borderId="70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166" fontId="25" fillId="0" borderId="8" xfId="0" applyNumberFormat="1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166" fontId="25" fillId="0" borderId="16" xfId="0" applyNumberFormat="1" applyFont="1" applyBorder="1" applyAlignment="1">
      <alignment horizontal="center"/>
    </xf>
    <xf numFmtId="166" fontId="42" fillId="0" borderId="272" xfId="0" applyNumberFormat="1" applyFont="1" applyBorder="1" applyAlignment="1">
      <alignment vertical="center"/>
    </xf>
    <xf numFmtId="0" fontId="23" fillId="0" borderId="217" xfId="0" applyFont="1" applyBorder="1" applyAlignment="1">
      <alignment horizontal="center" vertical="center"/>
    </xf>
    <xf numFmtId="0" fontId="0" fillId="0" borderId="216" xfId="0" applyBorder="1"/>
    <xf numFmtId="0" fontId="25" fillId="0" borderId="0" xfId="0" applyFont="1"/>
    <xf numFmtId="0" fontId="25" fillId="0" borderId="144" xfId="0" applyFont="1" applyBorder="1" applyAlignment="1">
      <alignment horizontal="center"/>
    </xf>
    <xf numFmtId="166" fontId="25" fillId="0" borderId="51" xfId="0" applyNumberFormat="1" applyFont="1" applyBorder="1" applyAlignment="1">
      <alignment horizontal="center"/>
    </xf>
    <xf numFmtId="166" fontId="17" fillId="0" borderId="296" xfId="0" applyNumberFormat="1" applyFont="1" applyBorder="1" applyAlignment="1">
      <alignment horizontal="center"/>
    </xf>
    <xf numFmtId="164" fontId="25" fillId="0" borderId="138" xfId="0" applyNumberFormat="1" applyFont="1" applyBorder="1" applyAlignment="1">
      <alignment horizontal="center"/>
    </xf>
    <xf numFmtId="164" fontId="25" fillId="0" borderId="144" xfId="0" applyNumberFormat="1" applyFont="1" applyBorder="1" applyAlignment="1">
      <alignment horizontal="center"/>
    </xf>
    <xf numFmtId="164" fontId="25" fillId="0" borderId="146" xfId="0" applyNumberFormat="1" applyFont="1" applyBorder="1" applyAlignment="1">
      <alignment horizontal="center"/>
    </xf>
    <xf numFmtId="164" fontId="25" fillId="0" borderId="50" xfId="0" applyNumberFormat="1" applyFont="1" applyBorder="1" applyAlignment="1">
      <alignment horizontal="center"/>
    </xf>
    <xf numFmtId="164" fontId="25" fillId="0" borderId="145" xfId="0" applyNumberFormat="1" applyFont="1" applyBorder="1" applyAlignment="1">
      <alignment horizontal="center"/>
    </xf>
    <xf numFmtId="164" fontId="25" fillId="0" borderId="143" xfId="0" applyNumberFormat="1" applyFont="1" applyBorder="1" applyAlignment="1">
      <alignment horizontal="center"/>
    </xf>
    <xf numFmtId="164" fontId="25" fillId="0" borderId="51" xfId="0" applyNumberFormat="1" applyFont="1" applyBorder="1" applyAlignment="1">
      <alignment horizontal="center"/>
    </xf>
    <xf numFmtId="164" fontId="25" fillId="0" borderId="297" xfId="0" applyNumberFormat="1" applyFont="1" applyBorder="1" applyAlignment="1">
      <alignment horizontal="center"/>
    </xf>
    <xf numFmtId="164" fontId="25" fillId="0" borderId="139" xfId="0" applyNumberFormat="1" applyFont="1" applyBorder="1" applyAlignment="1">
      <alignment horizontal="center"/>
    </xf>
    <xf numFmtId="164" fontId="25" fillId="0" borderId="194" xfId="0" applyNumberFormat="1" applyFont="1" applyBorder="1" applyAlignment="1">
      <alignment horizontal="center"/>
    </xf>
    <xf numFmtId="164" fontId="25" fillId="0" borderId="68" xfId="0" applyNumberFormat="1" applyFont="1" applyBorder="1" applyAlignment="1">
      <alignment horizontal="center"/>
    </xf>
    <xf numFmtId="164" fontId="25" fillId="0" borderId="298" xfId="0" applyNumberFormat="1" applyFont="1" applyBorder="1" applyAlignment="1">
      <alignment horizontal="center"/>
    </xf>
    <xf numFmtId="10" fontId="29" fillId="0" borderId="145" xfId="37" applyNumberFormat="1" applyFont="1" applyBorder="1" applyAlignment="1">
      <alignment horizontal="center"/>
    </xf>
    <xf numFmtId="164" fontId="25" fillId="0" borderId="299" xfId="0" applyNumberFormat="1" applyFont="1" applyBorder="1" applyAlignment="1">
      <alignment horizontal="center"/>
    </xf>
    <xf numFmtId="164" fontId="25" fillId="0" borderId="67" xfId="0" applyNumberFormat="1" applyFont="1" applyBorder="1" applyAlignment="1">
      <alignment horizontal="center"/>
    </xf>
    <xf numFmtId="164" fontId="25" fillId="0" borderId="300" xfId="0" applyNumberFormat="1" applyFont="1" applyBorder="1" applyAlignment="1">
      <alignment horizontal="center"/>
    </xf>
    <xf numFmtId="0" fontId="25" fillId="0" borderId="143" xfId="0" applyFont="1" applyBorder="1" applyAlignment="1">
      <alignment horizontal="center"/>
    </xf>
    <xf numFmtId="0" fontId="25" fillId="0" borderId="145" xfId="0" applyFont="1" applyBorder="1" applyAlignment="1">
      <alignment horizontal="center"/>
    </xf>
    <xf numFmtId="166" fontId="25" fillId="0" borderId="28" xfId="0" applyNumberFormat="1" applyFont="1" applyBorder="1" applyAlignment="1">
      <alignment horizontal="center"/>
    </xf>
    <xf numFmtId="166" fontId="25" fillId="0" borderId="9" xfId="0" applyNumberFormat="1" applyFont="1" applyBorder="1" applyAlignment="1">
      <alignment horizontal="center"/>
    </xf>
    <xf numFmtId="166" fontId="25" fillId="0" borderId="50" xfId="0" applyNumberFormat="1" applyFont="1" applyBorder="1" applyAlignment="1">
      <alignment horizontal="center"/>
    </xf>
    <xf numFmtId="166" fontId="25" fillId="0" borderId="89" xfId="0" applyNumberFormat="1" applyFont="1" applyBorder="1" applyAlignment="1">
      <alignment horizontal="center"/>
    </xf>
    <xf numFmtId="166" fontId="9" fillId="0" borderId="0" xfId="0" applyNumberFormat="1" applyFont="1"/>
    <xf numFmtId="0" fontId="30" fillId="48" borderId="70" xfId="0" applyFont="1" applyFill="1" applyBorder="1" applyAlignment="1">
      <alignment horizontal="center"/>
    </xf>
    <xf numFmtId="0" fontId="30" fillId="48" borderId="121" xfId="0" applyFont="1" applyFill="1" applyBorder="1" applyAlignment="1">
      <alignment horizontal="center"/>
    </xf>
    <xf numFmtId="0" fontId="30" fillId="48" borderId="5" xfId="0" applyFont="1" applyFill="1" applyBorder="1" applyAlignment="1">
      <alignment horizontal="center"/>
    </xf>
    <xf numFmtId="0" fontId="30" fillId="48" borderId="11" xfId="0" applyFont="1" applyFill="1" applyBorder="1" applyAlignment="1">
      <alignment horizontal="center"/>
    </xf>
    <xf numFmtId="0" fontId="30" fillId="48" borderId="144" xfId="0" applyFont="1" applyFill="1" applyBorder="1" applyAlignment="1">
      <alignment horizontal="center"/>
    </xf>
    <xf numFmtId="0" fontId="30" fillId="48" borderId="68" xfId="0" applyFont="1" applyFill="1" applyBorder="1" applyAlignment="1">
      <alignment horizontal="center"/>
    </xf>
    <xf numFmtId="0" fontId="30" fillId="48" borderId="13" xfId="0" applyFont="1" applyFill="1" applyBorder="1" applyAlignment="1">
      <alignment horizontal="center"/>
    </xf>
    <xf numFmtId="0" fontId="30" fillId="48" borderId="19" xfId="0" applyFont="1" applyFill="1" applyBorder="1" applyAlignment="1">
      <alignment horizontal="center"/>
    </xf>
    <xf numFmtId="171" fontId="25" fillId="0" borderId="4" xfId="0" applyNumberFormat="1" applyFont="1" applyBorder="1" applyAlignment="1">
      <alignment horizontal="right"/>
    </xf>
    <xf numFmtId="171" fontId="25" fillId="0" borderId="8" xfId="0" applyNumberFormat="1" applyFont="1" applyBorder="1" applyAlignment="1">
      <alignment horizontal="right"/>
    </xf>
    <xf numFmtId="172" fontId="25" fillId="0" borderId="28" xfId="0" applyNumberFormat="1" applyFont="1" applyBorder="1" applyAlignment="1">
      <alignment horizontal="right"/>
    </xf>
    <xf numFmtId="172" fontId="25" fillId="0" borderId="136" xfId="0" applyNumberFormat="1" applyFont="1" applyBorder="1" applyAlignment="1">
      <alignment horizontal="right"/>
    </xf>
    <xf numFmtId="172" fontId="25" fillId="0" borderId="9" xfId="0" applyNumberFormat="1" applyFont="1" applyBorder="1" applyAlignment="1">
      <alignment horizontal="right"/>
    </xf>
    <xf numFmtId="172" fontId="25" fillId="0" borderId="6" xfId="0" applyNumberFormat="1" applyFont="1" applyBorder="1" applyAlignment="1">
      <alignment horizontal="right"/>
    </xf>
    <xf numFmtId="171" fontId="25" fillId="44" borderId="46" xfId="0" applyNumberFormat="1" applyFont="1" applyFill="1" applyBorder="1" applyAlignment="1">
      <alignment horizontal="right" vertical="center"/>
    </xf>
    <xf numFmtId="171" fontId="25" fillId="44" borderId="45" xfId="0" applyNumberFormat="1" applyFont="1" applyFill="1" applyBorder="1" applyAlignment="1">
      <alignment horizontal="right" vertical="center"/>
    </xf>
    <xf numFmtId="172" fontId="25" fillId="44" borderId="42" xfId="0" applyNumberFormat="1" applyFont="1" applyFill="1" applyBorder="1" applyAlignment="1">
      <alignment horizontal="right" vertical="center"/>
    </xf>
    <xf numFmtId="172" fontId="25" fillId="44" borderId="43" xfId="0" applyNumberFormat="1" applyFont="1" applyFill="1" applyBorder="1" applyAlignment="1">
      <alignment horizontal="right" vertical="center"/>
    </xf>
    <xf numFmtId="171" fontId="25" fillId="0" borderId="143" xfId="0" applyNumberFormat="1" applyFont="1" applyBorder="1" applyAlignment="1">
      <alignment horizontal="right"/>
    </xf>
    <xf numFmtId="171" fontId="25" fillId="0" borderId="51" xfId="0" applyNumberFormat="1" applyFont="1" applyBorder="1" applyAlignment="1">
      <alignment horizontal="right"/>
    </xf>
    <xf numFmtId="172" fontId="25" fillId="0" borderId="50" xfId="0" applyNumberFormat="1" applyFont="1" applyBorder="1" applyAlignment="1">
      <alignment horizontal="right"/>
    </xf>
    <xf numFmtId="172" fontId="25" fillId="0" borderId="145" xfId="0" applyNumberFormat="1" applyFont="1" applyBorder="1" applyAlignment="1">
      <alignment horizontal="right"/>
    </xf>
    <xf numFmtId="171" fontId="25" fillId="0" borderId="12" xfId="0" applyNumberFormat="1" applyFont="1" applyBorder="1" applyAlignment="1">
      <alignment horizontal="right"/>
    </xf>
    <xf numFmtId="171" fontId="25" fillId="0" borderId="16" xfId="0" applyNumberFormat="1" applyFont="1" applyBorder="1" applyAlignment="1">
      <alignment horizontal="right"/>
    </xf>
    <xf numFmtId="172" fontId="25" fillId="0" borderId="17" xfId="0" applyNumberFormat="1" applyFont="1" applyBorder="1" applyAlignment="1">
      <alignment horizontal="right"/>
    </xf>
    <xf numFmtId="172" fontId="25" fillId="0" borderId="14" xfId="0" applyNumberFormat="1" applyFont="1" applyBorder="1" applyAlignment="1">
      <alignment horizontal="right"/>
    </xf>
    <xf numFmtId="172" fontId="25" fillId="0" borderId="27" xfId="0" applyNumberFormat="1" applyFont="1" applyBorder="1" applyAlignment="1">
      <alignment horizontal="right"/>
    </xf>
    <xf numFmtId="172" fontId="25" fillId="0" borderId="26" xfId="0" applyNumberFormat="1" applyFont="1" applyBorder="1" applyAlignment="1">
      <alignment horizontal="right"/>
    </xf>
    <xf numFmtId="172" fontId="25" fillId="0" borderId="23" xfId="0" applyNumberFormat="1" applyFont="1" applyBorder="1" applyAlignment="1">
      <alignment horizontal="right"/>
    </xf>
    <xf numFmtId="172" fontId="25" fillId="0" borderId="4" xfId="0" applyNumberFormat="1" applyFont="1" applyBorder="1" applyAlignment="1">
      <alignment horizontal="right"/>
    </xf>
    <xf numFmtId="172" fontId="25" fillId="0" borderId="10" xfId="0" applyNumberFormat="1" applyFont="1" applyBorder="1" applyAlignment="1">
      <alignment horizontal="right"/>
    </xf>
    <xf numFmtId="172" fontId="25" fillId="0" borderId="143" xfId="0" applyNumberFormat="1" applyFont="1" applyBorder="1" applyAlignment="1">
      <alignment horizontal="right"/>
    </xf>
    <xf numFmtId="172" fontId="25" fillId="0" borderId="146" xfId="0" applyNumberFormat="1" applyFont="1" applyBorder="1" applyAlignment="1">
      <alignment horizontal="right"/>
    </xf>
    <xf numFmtId="172" fontId="25" fillId="0" borderId="12" xfId="0" applyNumberFormat="1" applyFont="1" applyBorder="1" applyAlignment="1">
      <alignment horizontal="right"/>
    </xf>
    <xf numFmtId="172" fontId="25" fillId="0" borderId="18" xfId="0" applyNumberFormat="1" applyFont="1" applyBorder="1" applyAlignment="1">
      <alignment horizontal="right"/>
    </xf>
    <xf numFmtId="164" fontId="28" fillId="44" borderId="39" xfId="0" applyNumberFormat="1" applyFont="1" applyFill="1" applyBorder="1" applyAlignment="1">
      <alignment horizontal="right" vertical="center"/>
    </xf>
    <xf numFmtId="164" fontId="25" fillId="44" borderId="40" xfId="0" applyNumberFormat="1" applyFont="1" applyFill="1" applyBorder="1" applyAlignment="1">
      <alignment horizontal="right" vertical="center"/>
    </xf>
    <xf numFmtId="164" fontId="25" fillId="60" borderId="41" xfId="0" applyNumberFormat="1" applyFont="1" applyFill="1" applyBorder="1" applyAlignment="1">
      <alignment horizontal="right" vertical="center"/>
    </xf>
    <xf numFmtId="172" fontId="25" fillId="60" borderId="42" xfId="0" applyNumberFormat="1" applyFont="1" applyFill="1" applyBorder="1" applyAlignment="1">
      <alignment horizontal="right" vertical="center"/>
    </xf>
    <xf numFmtId="164" fontId="25" fillId="60" borderId="43" xfId="0" applyNumberFormat="1" applyFont="1" applyFill="1" applyBorder="1" applyAlignment="1">
      <alignment horizontal="right" vertical="center"/>
    </xf>
    <xf numFmtId="164" fontId="25" fillId="44" borderId="44" xfId="0" applyNumberFormat="1" applyFont="1" applyFill="1" applyBorder="1" applyAlignment="1">
      <alignment horizontal="right" vertical="center"/>
    </xf>
    <xf numFmtId="164" fontId="25" fillId="44" borderId="45" xfId="0" applyNumberFormat="1" applyFont="1" applyFill="1" applyBorder="1" applyAlignment="1">
      <alignment horizontal="right" vertical="center"/>
    </xf>
    <xf numFmtId="172" fontId="25" fillId="44" borderId="46" xfId="0" applyNumberFormat="1" applyFont="1" applyFill="1" applyBorder="1" applyAlignment="1">
      <alignment horizontal="right" vertical="center"/>
    </xf>
    <xf numFmtId="164" fontId="25" fillId="44" borderId="47" xfId="0" applyNumberFormat="1" applyFont="1" applyFill="1" applyBorder="1" applyAlignment="1">
      <alignment horizontal="right" vertical="center"/>
    </xf>
    <xf numFmtId="164" fontId="25" fillId="44" borderId="39" xfId="0" applyNumberFormat="1" applyFont="1" applyFill="1" applyBorder="1" applyAlignment="1">
      <alignment horizontal="right" vertical="center"/>
    </xf>
    <xf numFmtId="164" fontId="25" fillId="44" borderId="42" xfId="0" applyNumberFormat="1" applyFont="1" applyFill="1" applyBorder="1" applyAlignment="1">
      <alignment horizontal="right" vertical="center"/>
    </xf>
    <xf numFmtId="164" fontId="25" fillId="44" borderId="41" xfId="0" applyNumberFormat="1" applyFont="1" applyFill="1" applyBorder="1" applyAlignment="1">
      <alignment horizontal="right" vertical="center"/>
    </xf>
    <xf numFmtId="172" fontId="25" fillId="44" borderId="44" xfId="0" applyNumberFormat="1" applyFont="1" applyFill="1" applyBorder="1" applyAlignment="1">
      <alignment horizontal="right" vertical="center"/>
    </xf>
    <xf numFmtId="172" fontId="25" fillId="44" borderId="41" xfId="0" applyNumberFormat="1" applyFont="1" applyFill="1" applyBorder="1" applyAlignment="1">
      <alignment horizontal="right" vertical="center"/>
    </xf>
    <xf numFmtId="164" fontId="25" fillId="44" borderId="43" xfId="0" applyNumberFormat="1" applyFont="1" applyFill="1" applyBorder="1" applyAlignment="1">
      <alignment horizontal="right" vertical="center"/>
    </xf>
    <xf numFmtId="164" fontId="25" fillId="0" borderId="24" xfId="0" applyNumberFormat="1" applyFont="1" applyBorder="1" applyAlignment="1">
      <alignment horizontal="right"/>
    </xf>
    <xf numFmtId="164" fontId="25" fillId="0" borderId="20" xfId="0" applyNumberFormat="1" applyFont="1" applyBorder="1" applyAlignment="1">
      <alignment horizontal="right"/>
    </xf>
    <xf numFmtId="164" fontId="25" fillId="0" borderId="26" xfId="0" applyNumberFormat="1" applyFont="1" applyBorder="1" applyAlignment="1">
      <alignment horizontal="right"/>
    </xf>
    <xf numFmtId="164" fontId="25" fillId="0" borderId="23" xfId="0" applyNumberFormat="1" applyFont="1" applyBorder="1" applyAlignment="1">
      <alignment horizontal="right"/>
    </xf>
    <xf numFmtId="164" fontId="25" fillId="0" borderId="27" xfId="0" applyNumberFormat="1" applyFont="1" applyBorder="1" applyAlignment="1">
      <alignment horizontal="right"/>
    </xf>
    <xf numFmtId="164" fontId="25" fillId="0" borderId="29" xfId="0" applyNumberFormat="1" applyFont="1" applyBorder="1" applyAlignment="1">
      <alignment horizontal="right"/>
    </xf>
    <xf numFmtId="164" fontId="25" fillId="0" borderId="5" xfId="0" applyNumberFormat="1" applyFont="1" applyBorder="1" applyAlignment="1">
      <alignment horizontal="right"/>
    </xf>
    <xf numFmtId="164" fontId="25" fillId="0" borderId="7" xfId="0" applyNumberFormat="1" applyFont="1" applyBorder="1" applyAlignment="1">
      <alignment horizontal="right"/>
    </xf>
    <xf numFmtId="164" fontId="25" fillId="0" borderId="28" xfId="0" applyNumberFormat="1" applyFont="1" applyBorder="1" applyAlignment="1">
      <alignment horizontal="right"/>
    </xf>
    <xf numFmtId="164" fontId="25" fillId="0" borderId="21" xfId="0" applyNumberFormat="1" applyFont="1" applyBorder="1" applyAlignment="1">
      <alignment horizontal="right"/>
    </xf>
    <xf numFmtId="164" fontId="25" fillId="0" borderId="10" xfId="0" applyNumberFormat="1" applyFont="1" applyBorder="1" applyAlignment="1">
      <alignment horizontal="right"/>
    </xf>
    <xf numFmtId="164" fontId="25" fillId="0" borderId="6" xfId="0" applyNumberFormat="1" applyFont="1" applyBorder="1" applyAlignment="1">
      <alignment horizontal="right"/>
    </xf>
    <xf numFmtId="164" fontId="25" fillId="0" borderId="4" xfId="0" applyNumberFormat="1" applyFont="1" applyBorder="1" applyAlignment="1">
      <alignment horizontal="right"/>
    </xf>
    <xf numFmtId="164" fontId="25" fillId="0" borderId="8" xfId="0" applyNumberFormat="1" applyFont="1" applyBorder="1" applyAlignment="1">
      <alignment horizontal="right"/>
    </xf>
    <xf numFmtId="164" fontId="25" fillId="0" borderId="9" xfId="0" applyNumberFormat="1" applyFont="1" applyBorder="1" applyAlignment="1">
      <alignment horizontal="right"/>
    </xf>
    <xf numFmtId="164" fontId="25" fillId="0" borderId="138" xfId="0" applyNumberFormat="1" applyFont="1" applyBorder="1" applyAlignment="1">
      <alignment horizontal="right"/>
    </xf>
    <xf numFmtId="164" fontId="25" fillId="0" borderId="144" xfId="0" applyNumberFormat="1" applyFont="1" applyBorder="1" applyAlignment="1">
      <alignment horizontal="right"/>
    </xf>
    <xf numFmtId="164" fontId="25" fillId="0" borderId="146" xfId="0" applyNumberFormat="1" applyFont="1" applyBorder="1" applyAlignment="1">
      <alignment horizontal="right"/>
    </xf>
    <xf numFmtId="164" fontId="25" fillId="0" borderId="145" xfId="0" applyNumberFormat="1" applyFont="1" applyBorder="1" applyAlignment="1">
      <alignment horizontal="right"/>
    </xf>
    <xf numFmtId="164" fontId="25" fillId="0" borderId="143" xfId="0" applyNumberFormat="1" applyFont="1" applyBorder="1" applyAlignment="1">
      <alignment horizontal="right"/>
    </xf>
    <xf numFmtId="164" fontId="25" fillId="0" borderId="51" xfId="0" applyNumberFormat="1" applyFont="1" applyBorder="1" applyAlignment="1">
      <alignment horizontal="right"/>
    </xf>
    <xf numFmtId="164" fontId="25" fillId="0" borderId="297" xfId="0" applyNumberFormat="1" applyFont="1" applyBorder="1" applyAlignment="1">
      <alignment horizontal="right"/>
    </xf>
    <xf numFmtId="164" fontId="25" fillId="0" borderId="50" xfId="0" applyNumberFormat="1" applyFont="1" applyBorder="1" applyAlignment="1">
      <alignment horizontal="right"/>
    </xf>
    <xf numFmtId="164" fontId="25" fillId="0" borderId="22" xfId="0" applyNumberFormat="1" applyFont="1" applyBorder="1" applyAlignment="1">
      <alignment horizontal="right"/>
    </xf>
    <xf numFmtId="164" fontId="25" fillId="0" borderId="13" xfId="0" applyNumberFormat="1" applyFont="1" applyBorder="1" applyAlignment="1">
      <alignment horizontal="right"/>
    </xf>
    <xf numFmtId="164" fontId="25" fillId="0" borderId="18" xfId="0" applyNumberFormat="1" applyFont="1" applyBorder="1" applyAlignment="1">
      <alignment horizontal="right"/>
    </xf>
    <xf numFmtId="164" fontId="25" fillId="0" borderId="14" xfId="0" applyNumberFormat="1" applyFont="1" applyBorder="1" applyAlignment="1">
      <alignment horizontal="right"/>
    </xf>
    <xf numFmtId="164" fontId="25" fillId="0" borderId="12" xfId="0" applyNumberFormat="1" applyFont="1" applyBorder="1" applyAlignment="1">
      <alignment horizontal="right"/>
    </xf>
    <xf numFmtId="164" fontId="25" fillId="0" borderId="16" xfId="0" applyNumberFormat="1" applyFont="1" applyBorder="1" applyAlignment="1">
      <alignment horizontal="right"/>
    </xf>
    <xf numFmtId="164" fontId="25" fillId="0" borderId="15" xfId="0" applyNumberFormat="1" applyFont="1" applyBorder="1" applyAlignment="1">
      <alignment horizontal="right"/>
    </xf>
    <xf numFmtId="164" fontId="25" fillId="0" borderId="17" xfId="0" applyNumberFormat="1" applyFont="1" applyBorder="1" applyAlignment="1">
      <alignment horizontal="right"/>
    </xf>
    <xf numFmtId="172" fontId="25" fillId="0" borderId="58" xfId="0" applyNumberFormat="1" applyFont="1" applyBorder="1" applyAlignment="1">
      <alignment horizontal="right"/>
    </xf>
    <xf numFmtId="172" fontId="25" fillId="0" borderId="60" xfId="0" applyNumberFormat="1" applyFont="1" applyBorder="1" applyAlignment="1">
      <alignment horizontal="right"/>
    </xf>
    <xf numFmtId="172" fontId="25" fillId="0" borderId="298" xfId="0" applyNumberFormat="1" applyFont="1" applyBorder="1" applyAlignment="1">
      <alignment horizontal="right"/>
    </xf>
    <xf numFmtId="172" fontId="25" fillId="0" borderId="62" xfId="0" applyNumberFormat="1" applyFont="1" applyBorder="1" applyAlignment="1">
      <alignment horizontal="right"/>
    </xf>
    <xf numFmtId="169" fontId="25" fillId="0" borderId="59" xfId="0" applyNumberFormat="1" applyFont="1" applyBorder="1" applyAlignment="1">
      <alignment horizontal="right"/>
    </xf>
    <xf numFmtId="169" fontId="25" fillId="0" borderId="61" xfId="0" applyNumberFormat="1" applyFont="1" applyBorder="1" applyAlignment="1">
      <alignment horizontal="right"/>
    </xf>
    <xf numFmtId="169" fontId="25" fillId="0" borderId="139" xfId="0" applyNumberFormat="1" applyFont="1" applyBorder="1" applyAlignment="1">
      <alignment horizontal="right"/>
    </xf>
    <xf numFmtId="169" fontId="25" fillId="0" borderId="63" xfId="0" applyNumberFormat="1" applyFont="1" applyBorder="1" applyAlignment="1">
      <alignment horizontal="right"/>
    </xf>
    <xf numFmtId="172" fontId="25" fillId="0" borderId="195" xfId="0" applyNumberFormat="1" applyFont="1" applyBorder="1" applyAlignment="1">
      <alignment horizontal="right"/>
    </xf>
    <xf numFmtId="172" fontId="25" fillId="0" borderId="5" xfId="0" applyNumberFormat="1" applyFont="1" applyBorder="1" applyAlignment="1">
      <alignment horizontal="right"/>
    </xf>
    <xf numFmtId="172" fontId="25" fillId="0" borderId="124" xfId="0" applyNumberFormat="1" applyFont="1" applyBorder="1" applyAlignment="1">
      <alignment horizontal="right"/>
    </xf>
    <xf numFmtId="171" fontId="25" fillId="0" borderId="108" xfId="0" applyNumberFormat="1" applyFont="1" applyBorder="1" applyAlignment="1">
      <alignment horizontal="right"/>
    </xf>
    <xf numFmtId="171" fontId="25" fillId="0" borderId="29" xfId="0" applyNumberFormat="1" applyFont="1" applyBorder="1" applyAlignment="1">
      <alignment horizontal="right"/>
    </xf>
    <xf numFmtId="171" fontId="25" fillId="0" borderId="109" xfId="0" applyNumberFormat="1" applyFont="1" applyBorder="1" applyAlignment="1">
      <alignment horizontal="right"/>
    </xf>
    <xf numFmtId="171" fontId="25" fillId="0" borderId="194" xfId="0" applyNumberFormat="1" applyFont="1" applyBorder="1" applyAlignment="1">
      <alignment horizontal="right"/>
    </xf>
    <xf numFmtId="171" fontId="25" fillId="0" borderId="147" xfId="0" applyNumberFormat="1" applyFont="1" applyBorder="1" applyAlignment="1">
      <alignment horizontal="right"/>
    </xf>
    <xf numFmtId="171" fontId="25" fillId="0" borderId="196" xfId="0" applyNumberFormat="1" applyFont="1" applyBorder="1" applyAlignment="1">
      <alignment horizontal="right"/>
    </xf>
    <xf numFmtId="171" fontId="25" fillId="0" borderId="198" xfId="0" applyNumberFormat="1" applyFont="1" applyBorder="1" applyAlignment="1">
      <alignment horizontal="right"/>
    </xf>
    <xf numFmtId="171" fontId="25" fillId="0" borderId="10" xfId="0" applyNumberFormat="1" applyFont="1" applyBorder="1" applyAlignment="1">
      <alignment horizontal="right"/>
    </xf>
    <xf numFmtId="171" fontId="25" fillId="0" borderId="110" xfId="0" applyNumberFormat="1" applyFont="1" applyBorder="1" applyAlignment="1">
      <alignment horizontal="right"/>
    </xf>
    <xf numFmtId="171" fontId="25" fillId="0" borderId="132" xfId="0" applyNumberFormat="1" applyFont="1" applyBorder="1" applyAlignment="1">
      <alignment horizontal="right"/>
    </xf>
    <xf numFmtId="172" fontId="25" fillId="0" borderId="25" xfId="0" applyNumberFormat="1" applyFont="1" applyBorder="1" applyAlignment="1">
      <alignment horizontal="right"/>
    </xf>
    <xf numFmtId="172" fontId="25" fillId="0" borderId="11" xfId="0" applyNumberFormat="1" applyFont="1" applyBorder="1" applyAlignment="1">
      <alignment horizontal="right"/>
    </xf>
    <xf numFmtId="172" fontId="25" fillId="0" borderId="68" xfId="0" applyNumberFormat="1" applyFont="1" applyBorder="1" applyAlignment="1">
      <alignment horizontal="right"/>
    </xf>
    <xf numFmtId="172" fontId="25" fillId="0" borderId="19" xfId="0" applyNumberFormat="1" applyFont="1" applyBorder="1" applyAlignment="1">
      <alignment horizontal="right"/>
    </xf>
    <xf numFmtId="172" fontId="25" fillId="0" borderId="52" xfId="0" applyNumberFormat="1" applyFont="1" applyBorder="1" applyAlignment="1">
      <alignment horizontal="right"/>
    </xf>
    <xf numFmtId="172" fontId="25" fillId="0" borderId="54" xfId="0" applyNumberFormat="1" applyFont="1" applyBorder="1" applyAlignment="1">
      <alignment horizontal="right"/>
    </xf>
    <xf numFmtId="172" fontId="25" fillId="0" borderId="74" xfId="0" applyNumberFormat="1" applyFont="1" applyBorder="1" applyAlignment="1">
      <alignment horizontal="right"/>
    </xf>
    <xf numFmtId="169" fontId="25" fillId="0" borderId="20" xfId="0" applyNumberFormat="1" applyFont="1" applyBorder="1" applyAlignment="1">
      <alignment horizontal="right"/>
    </xf>
    <xf numFmtId="169" fontId="25" fillId="0" borderId="26" xfId="0" applyNumberFormat="1" applyFont="1" applyBorder="1" applyAlignment="1">
      <alignment horizontal="right"/>
    </xf>
    <xf numFmtId="169" fontId="25" fillId="0" borderId="114" xfId="0" applyNumberFormat="1" applyFont="1" applyBorder="1" applyAlignment="1">
      <alignment horizontal="right"/>
    </xf>
    <xf numFmtId="169" fontId="25" fillId="0" borderId="5" xfId="0" applyNumberFormat="1" applyFont="1" applyBorder="1" applyAlignment="1">
      <alignment horizontal="right"/>
    </xf>
    <xf numFmtId="169" fontId="25" fillId="0" borderId="10" xfId="0" applyNumberFormat="1" applyFont="1" applyBorder="1" applyAlignment="1">
      <alignment horizontal="right"/>
    </xf>
    <xf numFmtId="169" fontId="25" fillId="0" borderId="144" xfId="0" applyNumberFormat="1" applyFont="1" applyBorder="1" applyAlignment="1">
      <alignment horizontal="right"/>
    </xf>
    <xf numFmtId="169" fontId="25" fillId="0" borderId="146" xfId="0" applyNumberFormat="1" applyFont="1" applyBorder="1" applyAlignment="1">
      <alignment horizontal="right"/>
    </xf>
    <xf numFmtId="169" fontId="25" fillId="0" borderId="13" xfId="0" applyNumberFormat="1" applyFont="1" applyBorder="1" applyAlignment="1">
      <alignment horizontal="right"/>
    </xf>
    <xf numFmtId="169" fontId="25" fillId="0" borderId="18" xfId="0" applyNumberFormat="1" applyFont="1" applyBorder="1" applyAlignment="1">
      <alignment horizontal="right"/>
    </xf>
    <xf numFmtId="169" fontId="25" fillId="0" borderId="195" xfId="0" applyNumberFormat="1" applyFont="1" applyBorder="1" applyAlignment="1">
      <alignment horizontal="right"/>
    </xf>
    <xf numFmtId="169" fontId="25" fillId="0" borderId="198" xfId="0" applyNumberFormat="1" applyFont="1" applyBorder="1" applyAlignment="1">
      <alignment horizontal="right"/>
    </xf>
    <xf numFmtId="169" fontId="25" fillId="0" borderId="124" xfId="0" applyNumberFormat="1" applyFont="1" applyBorder="1" applyAlignment="1">
      <alignment horizontal="right"/>
    </xf>
    <xf numFmtId="169" fontId="25" fillId="0" borderId="132" xfId="0" applyNumberFormat="1" applyFont="1" applyBorder="1" applyAlignment="1">
      <alignment horizontal="right"/>
    </xf>
    <xf numFmtId="169" fontId="25" fillId="0" borderId="137" xfId="0" applyNumberFormat="1" applyFont="1" applyBorder="1" applyAlignment="1">
      <alignment horizontal="right"/>
    </xf>
    <xf numFmtId="169" fontId="25" fillId="0" borderId="0" xfId="0" applyNumberFormat="1" applyFont="1" applyAlignment="1">
      <alignment horizontal="right"/>
    </xf>
    <xf numFmtId="164" fontId="25" fillId="0" borderId="69" xfId="0" applyNumberFormat="1" applyFont="1" applyBorder="1" applyAlignment="1">
      <alignment horizontal="right"/>
    </xf>
    <xf numFmtId="164" fontId="25" fillId="0" borderId="70" xfId="0" applyNumberFormat="1" applyFont="1" applyBorder="1" applyAlignment="1">
      <alignment horizontal="right"/>
    </xf>
    <xf numFmtId="164" fontId="25" fillId="0" borderId="71" xfId="0" applyNumberFormat="1" applyFont="1" applyBorder="1" applyAlignment="1">
      <alignment horizontal="right"/>
    </xf>
    <xf numFmtId="164" fontId="25" fillId="0" borderId="72" xfId="0" applyNumberFormat="1" applyFont="1" applyBorder="1" applyAlignment="1">
      <alignment horizontal="right"/>
    </xf>
    <xf numFmtId="164" fontId="25" fillId="0" borderId="73" xfId="0" applyNumberFormat="1" applyFont="1" applyBorder="1" applyAlignment="1">
      <alignment horizontal="right"/>
    </xf>
    <xf numFmtId="164" fontId="30" fillId="48" borderId="69" xfId="0" applyNumberFormat="1" applyFont="1" applyFill="1" applyBorder="1" applyAlignment="1">
      <alignment horizontal="right"/>
    </xf>
    <xf numFmtId="164" fontId="30" fillId="48" borderId="70" xfId="0" applyNumberFormat="1" applyFont="1" applyFill="1" applyBorder="1" applyAlignment="1">
      <alignment horizontal="right"/>
    </xf>
    <xf numFmtId="164" fontId="30" fillId="48" borderId="71" xfId="0" applyNumberFormat="1" applyFont="1" applyFill="1" applyBorder="1" applyAlignment="1">
      <alignment horizontal="right"/>
    </xf>
    <xf numFmtId="164" fontId="30" fillId="48" borderId="72" xfId="0" applyNumberFormat="1" applyFont="1" applyFill="1" applyBorder="1" applyAlignment="1">
      <alignment horizontal="right"/>
    </xf>
    <xf numFmtId="164" fontId="30" fillId="48" borderId="73" xfId="0" applyNumberFormat="1" applyFont="1" applyFill="1" applyBorder="1" applyAlignment="1">
      <alignment horizontal="right"/>
    </xf>
    <xf numFmtId="164" fontId="30" fillId="48" borderId="4" xfId="0" applyNumberFormat="1" applyFont="1" applyFill="1" applyBorder="1" applyAlignment="1">
      <alignment horizontal="right"/>
    </xf>
    <xf numFmtId="164" fontId="30" fillId="48" borderId="5" xfId="0" applyNumberFormat="1" applyFont="1" applyFill="1" applyBorder="1" applyAlignment="1">
      <alignment horizontal="right"/>
    </xf>
    <xf numFmtId="164" fontId="30" fillId="48" borderId="10" xfId="0" applyNumberFormat="1" applyFont="1" applyFill="1" applyBorder="1" applyAlignment="1">
      <alignment horizontal="right"/>
    </xf>
    <xf numFmtId="164" fontId="30" fillId="48" borderId="9" xfId="0" applyNumberFormat="1" applyFont="1" applyFill="1" applyBorder="1" applyAlignment="1">
      <alignment horizontal="right"/>
    </xf>
    <xf numFmtId="164" fontId="30" fillId="48" borderId="8" xfId="0" applyNumberFormat="1" applyFont="1" applyFill="1" applyBorder="1" applyAlignment="1">
      <alignment horizontal="right"/>
    </xf>
    <xf numFmtId="164" fontId="30" fillId="48" borderId="143" xfId="0" applyNumberFormat="1" applyFont="1" applyFill="1" applyBorder="1" applyAlignment="1">
      <alignment horizontal="right"/>
    </xf>
    <xf numFmtId="164" fontId="30" fillId="48" borderId="144" xfId="0" applyNumberFormat="1" applyFont="1" applyFill="1" applyBorder="1" applyAlignment="1">
      <alignment horizontal="right"/>
    </xf>
    <xf numFmtId="164" fontId="30" fillId="48" borderId="146" xfId="0" applyNumberFormat="1" applyFont="1" applyFill="1" applyBorder="1" applyAlignment="1">
      <alignment horizontal="right"/>
    </xf>
    <xf numFmtId="164" fontId="30" fillId="48" borderId="50" xfId="0" applyNumberFormat="1" applyFont="1" applyFill="1" applyBorder="1" applyAlignment="1">
      <alignment horizontal="right"/>
    </xf>
    <xf numFmtId="164" fontId="30" fillId="48" borderId="51" xfId="0" applyNumberFormat="1" applyFont="1" applyFill="1" applyBorder="1" applyAlignment="1">
      <alignment horizontal="right"/>
    </xf>
    <xf numFmtId="164" fontId="30" fillId="48" borderId="12" xfId="0" applyNumberFormat="1" applyFont="1" applyFill="1" applyBorder="1" applyAlignment="1">
      <alignment horizontal="right"/>
    </xf>
    <xf numFmtId="164" fontId="30" fillId="48" borderId="13" xfId="0" applyNumberFormat="1" applyFont="1" applyFill="1" applyBorder="1" applyAlignment="1">
      <alignment horizontal="right"/>
    </xf>
    <xf numFmtId="164" fontId="30" fillId="48" borderId="18" xfId="0" applyNumberFormat="1" applyFont="1" applyFill="1" applyBorder="1" applyAlignment="1">
      <alignment horizontal="right"/>
    </xf>
    <xf numFmtId="164" fontId="30" fillId="48" borderId="17" xfId="0" applyNumberFormat="1" applyFont="1" applyFill="1" applyBorder="1" applyAlignment="1">
      <alignment horizontal="right"/>
    </xf>
    <xf numFmtId="164" fontId="30" fillId="48" borderId="16" xfId="0" applyNumberFormat="1" applyFont="1" applyFill="1" applyBorder="1" applyAlignment="1">
      <alignment horizontal="right"/>
    </xf>
    <xf numFmtId="164" fontId="25" fillId="0" borderId="90" xfId="0" applyNumberFormat="1" applyFont="1" applyBorder="1" applyAlignment="1">
      <alignment horizontal="center"/>
    </xf>
    <xf numFmtId="164" fontId="25" fillId="0" borderId="295" xfId="0" applyNumberFormat="1" applyFont="1" applyBorder="1" applyAlignment="1">
      <alignment horizontal="right"/>
    </xf>
    <xf numFmtId="164" fontId="25" fillId="0" borderId="124" xfId="0" applyNumberFormat="1" applyFont="1" applyBorder="1" applyAlignment="1">
      <alignment horizontal="right"/>
    </xf>
    <xf numFmtId="164" fontId="25" fillId="0" borderId="90" xfId="0" applyNumberFormat="1" applyFont="1" applyBorder="1" applyAlignment="1">
      <alignment horizontal="right"/>
    </xf>
    <xf numFmtId="164" fontId="25" fillId="0" borderId="89" xfId="0" applyNumberFormat="1" applyFont="1" applyBorder="1" applyAlignment="1">
      <alignment horizontal="right"/>
    </xf>
    <xf numFmtId="170" fontId="25" fillId="0" borderId="5" xfId="0" applyNumberFormat="1" applyFont="1" applyBorder="1" applyAlignment="1">
      <alignment horizontal="center"/>
    </xf>
    <xf numFmtId="170" fontId="25" fillId="0" borderId="124" xfId="0" applyNumberFormat="1" applyFont="1" applyBorder="1" applyAlignment="1">
      <alignment horizontal="center"/>
    </xf>
    <xf numFmtId="170" fontId="25" fillId="0" borderId="20" xfId="0" applyNumberFormat="1" applyFont="1" applyBorder="1" applyAlignment="1">
      <alignment horizontal="center"/>
    </xf>
    <xf numFmtId="166" fontId="25" fillId="0" borderId="26" xfId="0" applyNumberFormat="1" applyFont="1" applyBorder="1" applyAlignment="1">
      <alignment horizontal="center"/>
    </xf>
    <xf numFmtId="166" fontId="25" fillId="0" borderId="10" xfId="0" applyNumberFormat="1" applyFont="1" applyBorder="1" applyAlignment="1">
      <alignment horizontal="center"/>
    </xf>
    <xf numFmtId="166" fontId="25" fillId="0" borderId="132" xfId="0" applyNumberFormat="1" applyFont="1" applyBorder="1" applyAlignment="1">
      <alignment horizontal="center"/>
    </xf>
    <xf numFmtId="166" fontId="25" fillId="0" borderId="27" xfId="0" applyNumberFormat="1" applyFont="1" applyBorder="1" applyAlignment="1">
      <alignment horizontal="center"/>
    </xf>
    <xf numFmtId="166" fontId="25" fillId="0" borderId="4" xfId="0" applyNumberFormat="1" applyFont="1" applyBorder="1" applyAlignment="1">
      <alignment horizontal="center"/>
    </xf>
    <xf numFmtId="166" fontId="25" fillId="0" borderId="93" xfId="0" applyNumberFormat="1" applyFont="1" applyBorder="1" applyAlignment="1">
      <alignment horizontal="center"/>
    </xf>
    <xf numFmtId="0" fontId="23" fillId="61" borderId="3" xfId="0" applyFont="1" applyFill="1" applyBorder="1" applyAlignment="1">
      <alignment horizontal="center" vertical="center"/>
    </xf>
    <xf numFmtId="0" fontId="23" fillId="61" borderId="134" xfId="0" applyFont="1" applyFill="1" applyBorder="1" applyAlignment="1">
      <alignment horizontal="center" vertical="center"/>
    </xf>
    <xf numFmtId="0" fontId="17" fillId="61" borderId="49" xfId="0" applyFont="1" applyFill="1" applyBorder="1" applyAlignment="1">
      <alignment horizontal="center" vertical="center"/>
    </xf>
    <xf numFmtId="0" fontId="17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29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0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5" fillId="0" borderId="135" xfId="0" applyNumberFormat="1" applyFont="1" applyBorder="1" applyAlignment="1">
      <alignment horizontal="center"/>
    </xf>
    <xf numFmtId="164" fontId="25" fillId="0" borderId="69" xfId="0" applyNumberFormat="1" applyFont="1" applyBorder="1" applyAlignment="1">
      <alignment horizontal="center"/>
    </xf>
    <xf numFmtId="164" fontId="25" fillId="0" borderId="73" xfId="0" applyNumberFormat="1" applyFont="1" applyBorder="1" applyAlignment="1">
      <alignment horizontal="center"/>
    </xf>
    <xf numFmtId="0" fontId="44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5" fillId="49" borderId="20" xfId="0" applyNumberFormat="1" applyFont="1" applyFill="1" applyBorder="1" applyAlignment="1">
      <alignment horizontal="center"/>
    </xf>
    <xf numFmtId="164" fontId="25" fillId="49" borderId="5" xfId="0" applyNumberFormat="1" applyFont="1" applyFill="1" applyBorder="1" applyAlignment="1">
      <alignment horizontal="center"/>
    </xf>
    <xf numFmtId="164" fontId="25" fillId="49" borderId="124" xfId="0" applyNumberFormat="1" applyFont="1" applyFill="1" applyBorder="1" applyAlignment="1">
      <alignment horizontal="center"/>
    </xf>
    <xf numFmtId="170" fontId="25" fillId="0" borderId="29" xfId="0" applyNumberFormat="1" applyFont="1" applyBorder="1" applyAlignment="1">
      <alignment horizontal="center"/>
    </xf>
    <xf numFmtId="170" fontId="25" fillId="0" borderId="8" xfId="0" applyNumberFormat="1" applyFont="1" applyBorder="1" applyAlignment="1">
      <alignment horizontal="center"/>
    </xf>
    <xf numFmtId="170" fontId="25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3" fillId="0" borderId="0" xfId="0" applyFont="1"/>
    <xf numFmtId="164" fontId="35" fillId="0" borderId="0" xfId="0" applyNumberFormat="1" applyFont="1" applyAlignment="1">
      <alignment horizontal="center" wrapText="1"/>
    </xf>
    <xf numFmtId="0" fontId="25" fillId="0" borderId="0" xfId="0" applyFont="1" applyAlignment="1">
      <alignment horizontal="left"/>
    </xf>
    <xf numFmtId="164" fontId="25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5" fillId="49" borderId="29" xfId="0" applyNumberFormat="1" applyFont="1" applyFill="1" applyBorder="1" applyAlignment="1">
      <alignment horizontal="center"/>
    </xf>
    <xf numFmtId="1" fontId="25" fillId="49" borderId="8" xfId="0" applyNumberFormat="1" applyFont="1" applyFill="1" applyBorder="1" applyAlignment="1">
      <alignment horizontal="center"/>
    </xf>
    <xf numFmtId="1" fontId="25" fillId="49" borderId="90" xfId="0" applyNumberFormat="1" applyFont="1" applyFill="1" applyBorder="1" applyAlignment="1">
      <alignment horizontal="center"/>
    </xf>
    <xf numFmtId="3" fontId="31" fillId="49" borderId="0" xfId="0" applyNumberFormat="1" applyFont="1" applyFill="1" applyAlignment="1">
      <alignment horizontal="center"/>
    </xf>
    <xf numFmtId="3" fontId="25" fillId="49" borderId="0" xfId="0" applyNumberFormat="1" applyFont="1" applyFill="1" applyAlignment="1">
      <alignment horizontal="center"/>
    </xf>
    <xf numFmtId="0" fontId="31" fillId="49" borderId="0" xfId="0" applyFont="1" applyFill="1" applyAlignment="1">
      <alignment horizontal="center"/>
    </xf>
    <xf numFmtId="1" fontId="31" fillId="63" borderId="0" xfId="0" applyNumberFormat="1" applyFont="1" applyFill="1" applyAlignment="1">
      <alignment horizontal="center"/>
    </xf>
    <xf numFmtId="0" fontId="35" fillId="0" borderId="0" xfId="0" applyFont="1" applyAlignment="1">
      <alignment horizontal="center"/>
    </xf>
    <xf numFmtId="164" fontId="25" fillId="60" borderId="47" xfId="0" applyNumberFormat="1" applyFont="1" applyFill="1" applyBorder="1" applyAlignment="1">
      <alignment horizontal="right" vertical="center"/>
    </xf>
    <xf numFmtId="172" fontId="25" fillId="0" borderId="72" xfId="0" applyNumberFormat="1" applyFont="1" applyBorder="1" applyAlignment="1">
      <alignment horizontal="right"/>
    </xf>
    <xf numFmtId="0" fontId="23" fillId="61" borderId="30" xfId="0" applyFont="1" applyFill="1" applyBorder="1" applyAlignment="1">
      <alignment horizontal="center" vertical="center"/>
    </xf>
    <xf numFmtId="0" fontId="0" fillId="0" borderId="147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204" xfId="0" applyBorder="1" applyAlignment="1">
      <alignment horizontal="center"/>
    </xf>
    <xf numFmtId="0" fontId="25" fillId="0" borderId="135" xfId="0" applyFont="1" applyBorder="1" applyAlignment="1">
      <alignment horizontal="center"/>
    </xf>
    <xf numFmtId="0" fontId="25" fillId="0" borderId="109" xfId="0" applyFont="1" applyBorder="1" applyAlignment="1">
      <alignment horizontal="center"/>
    </xf>
    <xf numFmtId="0" fontId="25" fillId="0" borderId="110" xfId="0" applyFont="1" applyBorder="1" applyAlignment="1">
      <alignment horizontal="center"/>
    </xf>
    <xf numFmtId="0" fontId="25" fillId="0" borderId="141" xfId="0" applyFont="1" applyBorder="1" applyAlignment="1">
      <alignment horizontal="center"/>
    </xf>
    <xf numFmtId="0" fontId="25" fillId="0" borderId="61" xfId="0" applyFont="1" applyBorder="1" applyAlignment="1">
      <alignment horizontal="center"/>
    </xf>
    <xf numFmtId="0" fontId="25" fillId="0" borderId="137" xfId="0" applyFont="1" applyBorder="1" applyAlignment="1">
      <alignment horizontal="center"/>
    </xf>
    <xf numFmtId="164" fontId="0" fillId="0" borderId="206" xfId="0" applyNumberFormat="1" applyBorder="1" applyAlignment="1">
      <alignment horizontal="center"/>
    </xf>
    <xf numFmtId="164" fontId="0" fillId="0" borderId="265" xfId="0" applyNumberFormat="1" applyBorder="1" applyAlignment="1">
      <alignment horizontal="center"/>
    </xf>
    <xf numFmtId="164" fontId="0" fillId="0" borderId="266" xfId="0" applyNumberFormat="1" applyBorder="1" applyAlignment="1">
      <alignment horizontal="center"/>
    </xf>
    <xf numFmtId="164" fontId="0" fillId="0" borderId="262" xfId="0" applyNumberFormat="1" applyBorder="1" applyAlignment="1">
      <alignment horizontal="center"/>
    </xf>
    <xf numFmtId="0" fontId="25" fillId="0" borderId="69" xfId="0" applyFont="1" applyBorder="1" applyAlignment="1">
      <alignment horizontal="center"/>
    </xf>
    <xf numFmtId="0" fontId="25" fillId="0" borderId="93" xfId="0" applyFont="1" applyBorder="1" applyAlignment="1">
      <alignment horizontal="center"/>
    </xf>
    <xf numFmtId="0" fontId="25" fillId="0" borderId="53" xfId="0" applyFont="1" applyBorder="1" applyAlignment="1">
      <alignment horizontal="center"/>
    </xf>
    <xf numFmtId="0" fontId="25" fillId="0" borderId="103" xfId="0" applyFont="1" applyBorder="1" applyAlignment="1">
      <alignment horizontal="center"/>
    </xf>
    <xf numFmtId="3" fontId="25" fillId="0" borderId="135" xfId="0" applyNumberFormat="1" applyFont="1" applyBorder="1" applyAlignment="1">
      <alignment horizontal="center"/>
    </xf>
    <xf numFmtId="0" fontId="25" fillId="0" borderId="73" xfId="0" applyFont="1" applyBorder="1" applyAlignment="1">
      <alignment horizontal="center"/>
    </xf>
    <xf numFmtId="0" fontId="0" fillId="0" borderId="231" xfId="0" applyBorder="1" applyAlignment="1">
      <alignment horizontal="center"/>
    </xf>
    <xf numFmtId="0" fontId="25" fillId="0" borderId="8" xfId="0" applyFont="1" applyBorder="1" applyAlignment="1">
      <alignment horizontal="center"/>
    </xf>
    <xf numFmtId="0" fontId="17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5" fillId="0" borderId="71" xfId="0" applyFont="1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146" xfId="0" applyFont="1" applyBorder="1" applyAlignment="1">
      <alignment horizontal="center"/>
    </xf>
    <xf numFmtId="164" fontId="0" fillId="0" borderId="138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198" xfId="0" applyBorder="1" applyAlignment="1">
      <alignment horizontal="center"/>
    </xf>
    <xf numFmtId="164" fontId="0" fillId="0" borderId="304" xfId="0" applyNumberFormat="1" applyBorder="1" applyAlignment="1">
      <alignment horizontal="center"/>
    </xf>
    <xf numFmtId="164" fontId="0" fillId="0" borderId="19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5" fillId="0" borderId="196" xfId="0" applyNumberFormat="1" applyFont="1" applyBorder="1" applyAlignment="1">
      <alignment horizontal="center"/>
    </xf>
    <xf numFmtId="164" fontId="25" fillId="0" borderId="92" xfId="0" applyNumberFormat="1" applyFont="1" applyBorder="1" applyAlignment="1">
      <alignment horizontal="center"/>
    </xf>
    <xf numFmtId="164" fontId="25" fillId="0" borderId="88" xfId="0" applyNumberFormat="1" applyFont="1" applyBorder="1" applyAlignment="1">
      <alignment horizontal="center"/>
    </xf>
    <xf numFmtId="164" fontId="25" fillId="63" borderId="109" xfId="0" applyNumberFormat="1" applyFont="1" applyFill="1" applyBorder="1" applyAlignment="1">
      <alignment horizontal="center"/>
    </xf>
    <xf numFmtId="164" fontId="25" fillId="63" borderId="6" xfId="0" applyNumberFormat="1" applyFont="1" applyFill="1" applyBorder="1" applyAlignment="1">
      <alignment horizontal="center"/>
    </xf>
    <xf numFmtId="164" fontId="25" fillId="63" borderId="110" xfId="0" applyNumberFormat="1" applyFont="1" applyFill="1" applyBorder="1" applyAlignment="1">
      <alignment horizontal="center"/>
    </xf>
    <xf numFmtId="164" fontId="25" fillId="63" borderId="98" xfId="0" applyNumberFormat="1" applyFont="1" applyFill="1" applyBorder="1" applyAlignment="1">
      <alignment horizontal="center"/>
    </xf>
    <xf numFmtId="164" fontId="25" fillId="0" borderId="223" xfId="0" applyNumberFormat="1" applyFont="1" applyBorder="1" applyAlignment="1">
      <alignment horizontal="center"/>
    </xf>
    <xf numFmtId="164" fontId="25" fillId="0" borderId="306" xfId="0" applyNumberFormat="1" applyFont="1" applyBorder="1" applyAlignment="1">
      <alignment horizontal="center"/>
    </xf>
    <xf numFmtId="164" fontId="25" fillId="0" borderId="127" xfId="0" applyNumberFormat="1" applyFont="1" applyBorder="1" applyAlignment="1">
      <alignment horizontal="center"/>
    </xf>
    <xf numFmtId="164" fontId="25" fillId="63" borderId="72" xfId="0" applyNumberFormat="1" applyFont="1" applyFill="1" applyBorder="1" applyAlignment="1">
      <alignment horizontal="center"/>
    </xf>
    <xf numFmtId="164" fontId="25" fillId="63" borderId="9" xfId="0" applyNumberFormat="1" applyFont="1" applyFill="1" applyBorder="1" applyAlignment="1">
      <alignment horizontal="center"/>
    </xf>
    <xf numFmtId="164" fontId="25" fillId="63" borderId="88" xfId="0" applyNumberFormat="1" applyFont="1" applyFill="1" applyBorder="1" applyAlignment="1">
      <alignment horizontal="center"/>
    </xf>
    <xf numFmtId="164" fontId="25" fillId="63" borderId="87" xfId="0" applyNumberFormat="1" applyFont="1" applyFill="1" applyBorder="1" applyAlignment="1">
      <alignment horizontal="center"/>
    </xf>
    <xf numFmtId="164" fontId="25" fillId="63" borderId="89" xfId="0" applyNumberFormat="1" applyFont="1" applyFill="1" applyBorder="1" applyAlignment="1">
      <alignment horizontal="center"/>
    </xf>
    <xf numFmtId="164" fontId="25" fillId="63" borderId="8" xfId="0" applyNumberFormat="1" applyFont="1" applyFill="1" applyBorder="1" applyAlignment="1">
      <alignment horizontal="center"/>
    </xf>
    <xf numFmtId="164" fontId="25" fillId="63" borderId="4" xfId="0" applyNumberFormat="1" applyFont="1" applyFill="1" applyBorder="1" applyAlignment="1">
      <alignment horizontal="center"/>
    </xf>
    <xf numFmtId="164" fontId="25" fillId="63" borderId="93" xfId="0" applyNumberFormat="1" applyFont="1" applyFill="1" applyBorder="1" applyAlignment="1">
      <alignment horizontal="center"/>
    </xf>
    <xf numFmtId="164" fontId="25" fillId="63" borderId="90" xfId="0" applyNumberFormat="1" applyFont="1" applyFill="1" applyBorder="1" applyAlignment="1">
      <alignment horizontal="center"/>
    </xf>
    <xf numFmtId="164" fontId="25" fillId="63" borderId="196" xfId="0" applyNumberFormat="1" applyFont="1" applyFill="1" applyBorder="1" applyAlignment="1">
      <alignment horizontal="center"/>
    </xf>
    <xf numFmtId="164" fontId="25" fillId="63" borderId="305" xfId="0" applyNumberFormat="1" applyFont="1" applyFill="1" applyBorder="1" applyAlignment="1">
      <alignment horizontal="center"/>
    </xf>
    <xf numFmtId="167" fontId="0" fillId="0" borderId="0" xfId="0" applyNumberFormat="1"/>
    <xf numFmtId="0" fontId="25" fillId="0" borderId="20" xfId="0" applyFont="1" applyBorder="1" applyAlignment="1">
      <alignment horizontal="center"/>
    </xf>
    <xf numFmtId="0" fontId="25" fillId="0" borderId="124" xfId="0" applyFont="1" applyBorder="1" applyAlignment="1">
      <alignment horizontal="center"/>
    </xf>
    <xf numFmtId="167" fontId="25" fillId="0" borderId="0" xfId="0" applyNumberFormat="1" applyFont="1"/>
    <xf numFmtId="0" fontId="0" fillId="0" borderId="264" xfId="0" applyBorder="1" applyAlignment="1">
      <alignment vertical="center" wrapText="1"/>
    </xf>
    <xf numFmtId="0" fontId="0" fillId="0" borderId="134" xfId="0" applyBorder="1" applyAlignment="1">
      <alignment horizontal="center"/>
    </xf>
    <xf numFmtId="0" fontId="23" fillId="0" borderId="0" xfId="0" applyFont="1" applyAlignment="1">
      <alignment horizontal="center"/>
    </xf>
    <xf numFmtId="166" fontId="25" fillId="62" borderId="108" xfId="0" applyNumberFormat="1" applyFont="1" applyFill="1" applyBorder="1" applyAlignment="1">
      <alignment horizontal="center"/>
    </xf>
    <xf numFmtId="166" fontId="25" fillId="62" borderId="109" xfId="0" applyNumberFormat="1" applyFont="1" applyFill="1" applyBorder="1" applyAlignment="1">
      <alignment horizontal="center"/>
    </xf>
    <xf numFmtId="166" fontId="25" fillId="62" borderId="110" xfId="0" applyNumberFormat="1" applyFont="1" applyFill="1" applyBorder="1" applyAlignment="1">
      <alignment horizontal="center"/>
    </xf>
    <xf numFmtId="0" fontId="25" fillId="0" borderId="9" xfId="0" applyFont="1" applyBorder="1" applyAlignment="1">
      <alignment horizontal="center"/>
    </xf>
    <xf numFmtId="0" fontId="25" fillId="0" borderId="89" xfId="0" applyFont="1" applyBorder="1" applyAlignment="1">
      <alignment horizontal="center"/>
    </xf>
    <xf numFmtId="0" fontId="25" fillId="0" borderId="72" xfId="0" applyFont="1" applyBorder="1" applyAlignment="1">
      <alignment horizontal="center"/>
    </xf>
    <xf numFmtId="174" fontId="31" fillId="0" borderId="30" xfId="0" applyNumberFormat="1" applyFont="1" applyBorder="1" applyAlignment="1">
      <alignment horizontal="center"/>
    </xf>
    <xf numFmtId="0" fontId="0" fillId="0" borderId="86" xfId="0" applyBorder="1"/>
    <xf numFmtId="164" fontId="25" fillId="0" borderId="132" xfId="0" applyNumberFormat="1" applyFont="1" applyBorder="1" applyAlignment="1">
      <alignment horizontal="center"/>
    </xf>
    <xf numFmtId="0" fontId="25" fillId="0" borderId="113" xfId="0" applyFont="1" applyBorder="1" applyAlignment="1">
      <alignment horizontal="center"/>
    </xf>
    <xf numFmtId="0" fontId="25" fillId="0" borderId="21" xfId="0" applyFont="1" applyBorder="1" applyAlignment="1">
      <alignment horizontal="center"/>
    </xf>
    <xf numFmtId="0" fontId="25" fillId="0" borderId="295" xfId="0" applyFont="1" applyBorder="1" applyAlignment="1">
      <alignment horizontal="center"/>
    </xf>
    <xf numFmtId="164" fontId="31" fillId="0" borderId="2" xfId="0" applyNumberFormat="1" applyFont="1" applyBorder="1" applyAlignment="1">
      <alignment horizontal="center"/>
    </xf>
    <xf numFmtId="0" fontId="25" fillId="0" borderId="140" xfId="0" applyFont="1" applyBorder="1" applyAlignment="1">
      <alignment horizontal="center"/>
    </xf>
    <xf numFmtId="0" fontId="0" fillId="0" borderId="246" xfId="0" applyBorder="1" applyAlignment="1">
      <alignment horizontal="center"/>
    </xf>
    <xf numFmtId="3" fontId="31" fillId="0" borderId="32" xfId="0" applyNumberFormat="1" applyFont="1" applyBorder="1" applyAlignment="1">
      <alignment horizontal="center"/>
    </xf>
    <xf numFmtId="1" fontId="31" fillId="0" borderId="3" xfId="0" applyNumberFormat="1" applyFont="1" applyBorder="1" applyAlignment="1">
      <alignment horizontal="center"/>
    </xf>
    <xf numFmtId="3" fontId="31" fillId="0" borderId="37" xfId="0" applyNumberFormat="1" applyFont="1" applyBorder="1" applyAlignment="1">
      <alignment horizontal="center"/>
    </xf>
    <xf numFmtId="0" fontId="25" fillId="0" borderId="121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25" fillId="0" borderId="68" xfId="0" applyFont="1" applyBorder="1" applyAlignment="1">
      <alignment horizontal="center"/>
    </xf>
    <xf numFmtId="0" fontId="25" fillId="0" borderId="19" xfId="0" applyFont="1" applyBorder="1" applyAlignment="1">
      <alignment horizontal="center"/>
    </xf>
    <xf numFmtId="0" fontId="25" fillId="0" borderId="302" xfId="0" applyFont="1" applyBorder="1" applyAlignment="1">
      <alignment horizontal="center"/>
    </xf>
    <xf numFmtId="0" fontId="25" fillId="0" borderId="249" xfId="0" applyFont="1" applyBorder="1" applyAlignment="1">
      <alignment horizontal="center"/>
    </xf>
    <xf numFmtId="0" fontId="25" fillId="0" borderId="303" xfId="0" applyFont="1" applyBorder="1" applyAlignment="1">
      <alignment horizontal="center"/>
    </xf>
    <xf numFmtId="164" fontId="25" fillId="0" borderId="71" xfId="0" applyNumberFormat="1" applyFont="1" applyBorder="1" applyAlignment="1">
      <alignment horizontal="center"/>
    </xf>
    <xf numFmtId="0" fontId="0" fillId="0" borderId="264" xfId="0" applyBorder="1" applyAlignment="1">
      <alignment horizontal="center" vertical="center" wrapText="1"/>
    </xf>
    <xf numFmtId="3" fontId="25" fillId="63" borderId="0" xfId="0" applyNumberFormat="1" applyFont="1" applyFill="1" applyAlignment="1">
      <alignment horizontal="center"/>
    </xf>
    <xf numFmtId="0" fontId="0" fillId="64" borderId="9" xfId="0" applyFill="1" applyBorder="1" applyAlignment="1">
      <alignment horizontal="center"/>
    </xf>
    <xf numFmtId="2" fontId="30" fillId="48" borderId="73" xfId="0" applyNumberFormat="1" applyFont="1" applyFill="1" applyBorder="1" applyAlignment="1">
      <alignment horizontal="center"/>
    </xf>
    <xf numFmtId="2" fontId="30" fillId="48" borderId="8" xfId="0" applyNumberFormat="1" applyFont="1" applyFill="1" applyBorder="1" applyAlignment="1">
      <alignment horizontal="center"/>
    </xf>
    <xf numFmtId="2" fontId="30" fillId="48" borderId="51" xfId="0" applyNumberFormat="1" applyFont="1" applyFill="1" applyBorder="1" applyAlignment="1">
      <alignment horizontal="center"/>
    </xf>
    <xf numFmtId="2" fontId="30" fillId="48" borderId="16" xfId="0" applyNumberFormat="1" applyFont="1" applyFill="1" applyBorder="1" applyAlignment="1">
      <alignment horizontal="center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17" xfId="0" applyBorder="1" applyAlignment="1">
      <alignment horizontal="center"/>
    </xf>
    <xf numFmtId="0" fontId="0" fillId="0" borderId="111" xfId="0" applyBorder="1" applyAlignment="1">
      <alignment horizontal="center" vertical="center" wrapText="1"/>
    </xf>
    <xf numFmtId="0" fontId="0" fillId="0" borderId="164" xfId="0" applyBorder="1" applyAlignment="1">
      <alignment horizontal="center" vertical="center"/>
    </xf>
    <xf numFmtId="0" fontId="0" fillId="0" borderId="212" xfId="0" applyBorder="1" applyAlignment="1">
      <alignment horizontal="center" vertical="center" wrapText="1"/>
    </xf>
    <xf numFmtId="164" fontId="29" fillId="0" borderId="140" xfId="37" applyNumberFormat="1" applyFont="1" applyBorder="1" applyAlignment="1">
      <alignment horizontal="center"/>
    </xf>
    <xf numFmtId="164" fontId="29" fillId="0" borderId="73" xfId="37" applyNumberFormat="1" applyFont="1" applyBorder="1" applyAlignment="1">
      <alignment horizontal="center"/>
    </xf>
    <xf numFmtId="164" fontId="29" fillId="0" borderId="141" xfId="37" applyNumberFormat="1" applyFont="1" applyBorder="1" applyAlignment="1">
      <alignment horizontal="center"/>
    </xf>
    <xf numFmtId="164" fontId="29" fillId="0" borderId="21" xfId="37" applyNumberFormat="1" applyFont="1" applyBorder="1" applyAlignment="1">
      <alignment horizontal="center"/>
    </xf>
    <xf numFmtId="164" fontId="29" fillId="0" borderId="8" xfId="37" applyNumberFormat="1" applyFont="1" applyBorder="1" applyAlignment="1">
      <alignment horizontal="center"/>
    </xf>
    <xf numFmtId="164" fontId="29" fillId="0" borderId="61" xfId="37" applyNumberFormat="1" applyFont="1" applyBorder="1" applyAlignment="1">
      <alignment horizontal="center"/>
    </xf>
    <xf numFmtId="0" fontId="25" fillId="0" borderId="138" xfId="0" applyFont="1" applyBorder="1" applyAlignment="1">
      <alignment horizontal="center"/>
    </xf>
    <xf numFmtId="0" fontId="25" fillId="0" borderId="51" xfId="0" applyFont="1" applyBorder="1" applyAlignment="1">
      <alignment horizontal="center"/>
    </xf>
    <xf numFmtId="0" fontId="25" fillId="0" borderId="139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63" xfId="0" applyFont="1" applyBorder="1" applyAlignment="1">
      <alignment horizontal="center"/>
    </xf>
    <xf numFmtId="0" fontId="47" fillId="0" borderId="0" xfId="0" applyFont="1"/>
    <xf numFmtId="0" fontId="0" fillId="0" borderId="192" xfId="0" applyBorder="1" applyAlignment="1">
      <alignment horizontal="center" vertical="center"/>
    </xf>
    <xf numFmtId="3" fontId="31" fillId="0" borderId="95" xfId="0" applyNumberFormat="1" applyFont="1" applyBorder="1" applyAlignment="1">
      <alignment horizontal="right"/>
    </xf>
    <xf numFmtId="3" fontId="31" fillId="0" borderId="77" xfId="0" applyNumberFormat="1" applyFont="1" applyBorder="1" applyAlignment="1">
      <alignment horizontal="right"/>
    </xf>
    <xf numFmtId="3" fontId="31" fillId="0" borderId="185" xfId="0" applyNumberFormat="1" applyFont="1" applyBorder="1" applyAlignment="1">
      <alignment horizontal="right"/>
    </xf>
    <xf numFmtId="3" fontId="31" fillId="0" borderId="186" xfId="0" applyNumberFormat="1" applyFont="1" applyBorder="1" applyAlignment="1">
      <alignment horizontal="right"/>
    </xf>
    <xf numFmtId="0" fontId="0" fillId="0" borderId="84" xfId="0" applyBorder="1"/>
    <xf numFmtId="1" fontId="0" fillId="0" borderId="84" xfId="0" applyNumberFormat="1" applyBorder="1"/>
    <xf numFmtId="0" fontId="0" fillId="0" borderId="320" xfId="0" applyBorder="1"/>
    <xf numFmtId="0" fontId="0" fillId="0" borderId="252" xfId="0" applyBorder="1"/>
    <xf numFmtId="0" fontId="0" fillId="0" borderId="321" xfId="0" applyBorder="1" applyAlignment="1">
      <alignment horizontal="center" vertical="center"/>
    </xf>
    <xf numFmtId="0" fontId="0" fillId="0" borderId="322" xfId="0" applyBorder="1" applyAlignment="1">
      <alignment horizontal="center" vertical="center"/>
    </xf>
    <xf numFmtId="0" fontId="0" fillId="0" borderId="323" xfId="0" applyBorder="1" applyAlignment="1">
      <alignment horizontal="center" vertical="center"/>
    </xf>
    <xf numFmtId="0" fontId="0" fillId="0" borderId="324" xfId="0" applyBorder="1" applyAlignment="1">
      <alignment horizontal="center" vertical="center" wrapText="1"/>
    </xf>
    <xf numFmtId="0" fontId="0" fillId="0" borderId="217" xfId="0" applyBorder="1" applyAlignment="1">
      <alignment horizontal="center" vertical="center" wrapText="1"/>
    </xf>
    <xf numFmtId="0" fontId="0" fillId="0" borderId="213" xfId="0" applyBorder="1" applyAlignment="1">
      <alignment horizontal="center"/>
    </xf>
    <xf numFmtId="0" fontId="0" fillId="0" borderId="210" xfId="0" applyBorder="1" applyAlignment="1">
      <alignment horizontal="center"/>
    </xf>
    <xf numFmtId="0" fontId="0" fillId="0" borderId="325" xfId="0" applyBorder="1" applyAlignment="1">
      <alignment horizontal="center" vertical="center"/>
    </xf>
    <xf numFmtId="0" fontId="0" fillId="0" borderId="326" xfId="0" applyBorder="1" applyAlignment="1">
      <alignment horizontal="center"/>
    </xf>
    <xf numFmtId="0" fontId="47" fillId="0" borderId="329" xfId="0" applyFont="1" applyBorder="1"/>
    <xf numFmtId="0" fontId="0" fillId="0" borderId="314" xfId="0" applyBorder="1" applyAlignment="1">
      <alignment horizontal="center" wrapText="1"/>
    </xf>
    <xf numFmtId="164" fontId="31" fillId="0" borderId="318" xfId="0" applyNumberFormat="1" applyFont="1" applyBorder="1"/>
    <xf numFmtId="3" fontId="31" fillId="0" borderId="95" xfId="0" applyNumberFormat="1" applyFont="1" applyBorder="1"/>
    <xf numFmtId="3" fontId="31" fillId="0" borderId="187" xfId="0" applyNumberFormat="1" applyFont="1" applyBorder="1"/>
    <xf numFmtId="3" fontId="31" fillId="0" borderId="165" xfId="0" applyNumberFormat="1" applyFont="1" applyBorder="1"/>
    <xf numFmtId="3" fontId="31" fillId="0" borderId="327" xfId="0" applyNumberFormat="1" applyFont="1" applyBorder="1"/>
    <xf numFmtId="3" fontId="31" fillId="0" borderId="315" xfId="0" applyNumberFormat="1" applyFont="1" applyBorder="1"/>
    <xf numFmtId="164" fontId="31" fillId="0" borderId="319" xfId="0" applyNumberFormat="1" applyFont="1" applyBorder="1"/>
    <xf numFmtId="3" fontId="31" fillId="0" borderId="77" xfId="0" applyNumberFormat="1" applyFont="1" applyBorder="1"/>
    <xf numFmtId="3" fontId="31" fillId="0" borderId="96" xfId="0" applyNumberFormat="1" applyFont="1" applyBorder="1"/>
    <xf numFmtId="3" fontId="31" fillId="0" borderId="78" xfId="0" applyNumberFormat="1" applyFont="1" applyBorder="1"/>
    <xf numFmtId="3" fontId="31" fillId="0" borderId="328" xfId="0" applyNumberFormat="1" applyFont="1" applyBorder="1"/>
    <xf numFmtId="3" fontId="31" fillId="0" borderId="316" xfId="0" applyNumberFormat="1" applyFont="1" applyBorder="1"/>
    <xf numFmtId="10" fontId="31" fillId="0" borderId="312" xfId="0" applyNumberFormat="1" applyFont="1" applyBorder="1"/>
    <xf numFmtId="10" fontId="31" fillId="0" borderId="313" xfId="0" applyNumberFormat="1" applyFont="1" applyBorder="1"/>
    <xf numFmtId="164" fontId="31" fillId="0" borderId="165" xfId="0" applyNumberFormat="1" applyFont="1" applyBorder="1"/>
    <xf numFmtId="164" fontId="31" fillId="0" borderId="327" xfId="0" applyNumberFormat="1" applyFont="1" applyBorder="1"/>
    <xf numFmtId="164" fontId="31" fillId="0" borderId="78" xfId="0" applyNumberFormat="1" applyFont="1" applyBorder="1"/>
    <xf numFmtId="164" fontId="31" fillId="0" borderId="328" xfId="0" applyNumberFormat="1" applyFont="1" applyBorder="1"/>
    <xf numFmtId="3" fontId="25" fillId="0" borderId="330" xfId="0" applyNumberFormat="1" applyFont="1" applyBorder="1" applyAlignment="1">
      <alignment horizontal="center" vertical="center"/>
    </xf>
    <xf numFmtId="3" fontId="25" fillId="0" borderId="331" xfId="0" applyNumberFormat="1" applyFont="1" applyBorder="1" applyAlignment="1">
      <alignment horizontal="center" vertical="center"/>
    </xf>
    <xf numFmtId="3" fontId="25" fillId="0" borderId="332" xfId="0" applyNumberFormat="1" applyFont="1" applyBorder="1" applyAlignment="1">
      <alignment horizontal="center" vertical="center"/>
    </xf>
    <xf numFmtId="3" fontId="25" fillId="0" borderId="333" xfId="0" applyNumberFormat="1" applyFont="1" applyBorder="1" applyAlignment="1">
      <alignment horizontal="center" vertical="center"/>
    </xf>
    <xf numFmtId="3" fontId="25" fillId="0" borderId="334" xfId="0" applyNumberFormat="1" applyFont="1" applyBorder="1" applyAlignment="1">
      <alignment horizontal="center" vertical="center"/>
    </xf>
    <xf numFmtId="3" fontId="25" fillId="0" borderId="335" xfId="0" applyNumberFormat="1" applyFont="1" applyBorder="1" applyAlignment="1">
      <alignment horizontal="center" vertical="center"/>
    </xf>
    <xf numFmtId="0" fontId="0" fillId="0" borderId="319" xfId="0" applyBorder="1" applyAlignment="1">
      <alignment horizontal="center" vertical="center" wrapText="1"/>
    </xf>
    <xf numFmtId="164" fontId="3" fillId="0" borderId="78" xfId="37" applyNumberFormat="1" applyBorder="1" applyAlignment="1">
      <alignment horizontal="center" vertical="center"/>
    </xf>
    <xf numFmtId="0" fontId="0" fillId="0" borderId="310" xfId="0" applyBorder="1" applyAlignment="1">
      <alignment horizontal="center" vertical="center" wrapText="1"/>
    </xf>
    <xf numFmtId="164" fontId="3" fillId="0" borderId="309" xfId="37" applyNumberFormat="1" applyBorder="1" applyAlignment="1">
      <alignment horizontal="center" vertical="center"/>
    </xf>
    <xf numFmtId="0" fontId="3" fillId="0" borderId="336" xfId="37" applyBorder="1" applyAlignment="1">
      <alignment horizontal="center" vertical="center"/>
    </xf>
    <xf numFmtId="0" fontId="3" fillId="0" borderId="337" xfId="37" applyBorder="1" applyAlignment="1">
      <alignment horizontal="center" vertical="center"/>
    </xf>
    <xf numFmtId="3" fontId="25" fillId="0" borderId="339" xfId="0" applyNumberFormat="1" applyFont="1" applyBorder="1" applyAlignment="1">
      <alignment horizontal="center" vertical="center"/>
    </xf>
    <xf numFmtId="3" fontId="25" fillId="0" borderId="340" xfId="0" applyNumberFormat="1" applyFont="1" applyBorder="1" applyAlignment="1">
      <alignment horizontal="center" vertical="center"/>
    </xf>
    <xf numFmtId="0" fontId="0" fillId="0" borderId="341" xfId="0" applyBorder="1" applyAlignment="1">
      <alignment horizontal="center" vertical="center"/>
    </xf>
    <xf numFmtId="0" fontId="0" fillId="0" borderId="215" xfId="0" applyBorder="1" applyAlignment="1">
      <alignment horizontal="center"/>
    </xf>
    <xf numFmtId="0" fontId="0" fillId="0" borderId="176" xfId="0" applyBorder="1" applyAlignment="1">
      <alignment horizontal="center"/>
    </xf>
    <xf numFmtId="0" fontId="0" fillId="0" borderId="345" xfId="0" applyBorder="1" applyAlignment="1">
      <alignment horizontal="center" vertical="center" wrapText="1"/>
    </xf>
    <xf numFmtId="0" fontId="0" fillId="0" borderId="272" xfId="0" applyBorder="1"/>
    <xf numFmtId="0" fontId="0" fillId="0" borderId="346" xfId="0" applyBorder="1"/>
    <xf numFmtId="0" fontId="0" fillId="0" borderId="348" xfId="0" applyBorder="1" applyAlignment="1">
      <alignment horizontal="center" vertical="center"/>
    </xf>
    <xf numFmtId="0" fontId="0" fillId="0" borderId="347" xfId="0" applyBorder="1" applyAlignment="1">
      <alignment horizontal="center" vertical="center" wrapText="1"/>
    </xf>
    <xf numFmtId="0" fontId="0" fillId="0" borderId="349" xfId="0" applyBorder="1" applyAlignment="1">
      <alignment horizontal="center" vertical="center" wrapText="1"/>
    </xf>
    <xf numFmtId="0" fontId="0" fillId="0" borderId="351" xfId="0" applyBorder="1" applyAlignment="1">
      <alignment horizontal="center" vertical="center" wrapText="1"/>
    </xf>
    <xf numFmtId="0" fontId="0" fillId="0" borderId="353" xfId="0" applyBorder="1" applyAlignment="1">
      <alignment horizontal="center" vertical="center" wrapText="1"/>
    </xf>
    <xf numFmtId="0" fontId="0" fillId="0" borderId="356" xfId="0" applyBorder="1" applyAlignment="1">
      <alignment horizontal="center" vertical="center" wrapText="1"/>
    </xf>
    <xf numFmtId="172" fontId="31" fillId="0" borderId="354" xfId="0" applyNumberFormat="1" applyFont="1" applyBorder="1"/>
    <xf numFmtId="172" fontId="31" fillId="0" borderId="95" xfId="0" applyNumberFormat="1" applyFont="1" applyBorder="1"/>
    <xf numFmtId="172" fontId="31" fillId="0" borderId="357" xfId="0" applyNumberFormat="1" applyFont="1" applyBorder="1"/>
    <xf numFmtId="172" fontId="31" fillId="0" borderId="352" xfId="0" applyNumberFormat="1" applyFont="1" applyBorder="1"/>
    <xf numFmtId="172" fontId="31" fillId="0" borderId="101" xfId="0" applyNumberFormat="1" applyFont="1" applyBorder="1"/>
    <xf numFmtId="172" fontId="31" fillId="0" borderId="343" xfId="0" applyNumberFormat="1" applyFont="1" applyBorder="1"/>
    <xf numFmtId="172" fontId="31" fillId="0" borderId="348" xfId="0" applyNumberFormat="1" applyFont="1" applyBorder="1"/>
    <xf numFmtId="172" fontId="31" fillId="0" borderId="77" xfId="0" applyNumberFormat="1" applyFont="1" applyBorder="1"/>
    <xf numFmtId="172" fontId="31" fillId="0" borderId="355" xfId="0" applyNumberFormat="1" applyFont="1" applyBorder="1"/>
    <xf numFmtId="172" fontId="31" fillId="0" borderId="350" xfId="0" applyNumberFormat="1" applyFont="1" applyBorder="1"/>
    <xf numFmtId="172" fontId="31" fillId="0" borderId="344" xfId="0" applyNumberFormat="1" applyFont="1" applyBorder="1"/>
    <xf numFmtId="0" fontId="0" fillId="0" borderId="77" xfId="0" applyBorder="1" applyAlignment="1">
      <alignment horizontal="center" vertical="center" wrapText="1"/>
    </xf>
    <xf numFmtId="0" fontId="23" fillId="0" borderId="179" xfId="0" applyFont="1" applyBorder="1" applyAlignment="1">
      <alignment horizontal="center"/>
    </xf>
    <xf numFmtId="0" fontId="23" fillId="0" borderId="180" xfId="0" applyFont="1" applyBorder="1" applyAlignment="1">
      <alignment horizontal="center"/>
    </xf>
    <xf numFmtId="49" fontId="25" fillId="0" borderId="0" xfId="0" applyNumberFormat="1" applyFont="1" applyAlignment="1">
      <alignment horizontal="center"/>
    </xf>
    <xf numFmtId="166" fontId="25" fillId="0" borderId="73" xfId="0" applyNumberFormat="1" applyFont="1" applyBorder="1" applyAlignment="1">
      <alignment horizontal="center"/>
    </xf>
    <xf numFmtId="164" fontId="30" fillId="48" borderId="70" xfId="0" applyNumberFormat="1" applyFont="1" applyFill="1" applyBorder="1" applyAlignment="1">
      <alignment horizontal="center"/>
    </xf>
    <xf numFmtId="164" fontId="30" fillId="48" borderId="5" xfId="0" applyNumberFormat="1" applyFont="1" applyFill="1" applyBorder="1" applyAlignment="1">
      <alignment horizontal="center"/>
    </xf>
    <xf numFmtId="164" fontId="30" fillId="48" borderId="144" xfId="0" applyNumberFormat="1" applyFont="1" applyFill="1" applyBorder="1" applyAlignment="1">
      <alignment horizontal="center"/>
    </xf>
    <xf numFmtId="164" fontId="30" fillId="48" borderId="13" xfId="0" applyNumberFormat="1" applyFont="1" applyFill="1" applyBorder="1" applyAlignment="1">
      <alignment horizontal="center"/>
    </xf>
    <xf numFmtId="166" fontId="30" fillId="48" borderId="73" xfId="0" applyNumberFormat="1" applyFont="1" applyFill="1" applyBorder="1" applyAlignment="1">
      <alignment horizontal="center"/>
    </xf>
    <xf numFmtId="166" fontId="30" fillId="48" borderId="8" xfId="0" applyNumberFormat="1" applyFont="1" applyFill="1" applyBorder="1" applyAlignment="1">
      <alignment horizontal="center"/>
    </xf>
    <xf numFmtId="166" fontId="30" fillId="48" borderId="51" xfId="0" applyNumberFormat="1" applyFont="1" applyFill="1" applyBorder="1" applyAlignment="1">
      <alignment horizontal="center"/>
    </xf>
    <xf numFmtId="166" fontId="30" fillId="48" borderId="16" xfId="0" applyNumberFormat="1" applyFont="1" applyFill="1" applyBorder="1" applyAlignment="1">
      <alignment horizontal="center"/>
    </xf>
    <xf numFmtId="169" fontId="25" fillId="0" borderId="59" xfId="0" applyNumberFormat="1" applyFont="1" applyBorder="1" applyAlignment="1">
      <alignment horizontal="center"/>
    </xf>
    <xf numFmtId="169" fontId="25" fillId="0" borderId="61" xfId="0" applyNumberFormat="1" applyFont="1" applyBorder="1" applyAlignment="1">
      <alignment horizontal="center"/>
    </xf>
    <xf numFmtId="169" fontId="25" fillId="0" borderId="139" xfId="0" applyNumberFormat="1" applyFont="1" applyBorder="1" applyAlignment="1">
      <alignment horizontal="center"/>
    </xf>
    <xf numFmtId="169" fontId="25" fillId="0" borderId="63" xfId="0" applyNumberFormat="1" applyFont="1" applyBorder="1" applyAlignment="1">
      <alignment horizontal="center"/>
    </xf>
    <xf numFmtId="170" fontId="25" fillId="0" borderId="58" xfId="0" applyNumberFormat="1" applyFont="1" applyBorder="1" applyAlignment="1">
      <alignment horizontal="center"/>
    </xf>
    <xf numFmtId="170" fontId="25" fillId="0" borderId="60" xfId="0" applyNumberFormat="1" applyFont="1" applyBorder="1" applyAlignment="1">
      <alignment horizontal="center"/>
    </xf>
    <xf numFmtId="170" fontId="25" fillId="0" borderId="298" xfId="0" applyNumberFormat="1" applyFont="1" applyBorder="1" applyAlignment="1">
      <alignment horizontal="center"/>
    </xf>
    <xf numFmtId="170" fontId="25" fillId="0" borderId="62" xfId="0" applyNumberFormat="1" applyFont="1" applyBorder="1" applyAlignment="1">
      <alignment horizontal="center"/>
    </xf>
    <xf numFmtId="167" fontId="25" fillId="0" borderId="0" xfId="0" applyNumberFormat="1" applyFont="1" applyAlignment="1">
      <alignment horizontal="center"/>
    </xf>
    <xf numFmtId="0" fontId="25" fillId="0" borderId="17" xfId="0" applyFont="1" applyBorder="1" applyAlignment="1">
      <alignment horizontal="center"/>
    </xf>
    <xf numFmtId="0" fontId="0" fillId="0" borderId="75" xfId="0" applyBorder="1"/>
    <xf numFmtId="0" fontId="0" fillId="62" borderId="72" xfId="0" applyFill="1" applyBorder="1" applyAlignment="1">
      <alignment horizontal="center"/>
    </xf>
    <xf numFmtId="0" fontId="0" fillId="62" borderId="136" xfId="0" applyFill="1" applyBorder="1" applyAlignment="1">
      <alignment horizontal="center"/>
    </xf>
    <xf numFmtId="0" fontId="0" fillId="62" borderId="10" xfId="0" applyFill="1" applyBorder="1"/>
    <xf numFmtId="0" fontId="0" fillId="62" borderId="9" xfId="0" applyFill="1" applyBorder="1" applyAlignment="1">
      <alignment horizontal="center"/>
    </xf>
    <xf numFmtId="0" fontId="0" fillId="62" borderId="6" xfId="0" applyFill="1" applyBorder="1" applyAlignment="1">
      <alignment horizontal="center"/>
    </xf>
    <xf numFmtId="0" fontId="0" fillId="62" borderId="10" xfId="0" applyFill="1" applyBorder="1" applyAlignment="1">
      <alignment horizontal="center"/>
    </xf>
    <xf numFmtId="0" fontId="0" fillId="62" borderId="18" xfId="0" applyFill="1" applyBorder="1" applyAlignment="1">
      <alignment horizontal="center"/>
    </xf>
    <xf numFmtId="0" fontId="0" fillId="62" borderId="17" xfId="0" applyFill="1" applyBorder="1" applyAlignment="1">
      <alignment horizontal="center"/>
    </xf>
    <xf numFmtId="0" fontId="0" fillId="62" borderId="14" xfId="0" applyFill="1" applyBorder="1" applyAlignment="1">
      <alignment horizontal="center"/>
    </xf>
    <xf numFmtId="164" fontId="25" fillId="0" borderId="0" xfId="0" applyNumberFormat="1" applyFont="1" applyAlignment="1">
      <alignment horizontal="right"/>
    </xf>
    <xf numFmtId="0" fontId="0" fillId="49" borderId="0" xfId="0" applyFill="1"/>
    <xf numFmtId="0" fontId="0" fillId="49" borderId="0" xfId="0" applyFill="1" applyAlignment="1">
      <alignment horizontal="center"/>
    </xf>
    <xf numFmtId="0" fontId="31" fillId="49" borderId="0" xfId="0" applyFont="1" applyFill="1" applyAlignment="1">
      <alignment horizontal="left"/>
    </xf>
    <xf numFmtId="0" fontId="31" fillId="49" borderId="0" xfId="0" applyFont="1" applyFill="1"/>
    <xf numFmtId="166" fontId="30" fillId="65" borderId="222" xfId="0" applyNumberFormat="1" applyFont="1" applyFill="1" applyBorder="1" applyAlignment="1">
      <alignment horizontal="center"/>
    </xf>
    <xf numFmtId="166" fontId="30" fillId="65" borderId="53" xfId="0" applyNumberFormat="1" applyFont="1" applyFill="1" applyBorder="1" applyAlignment="1">
      <alignment horizontal="center"/>
    </xf>
    <xf numFmtId="166" fontId="30" fillId="65" borderId="103" xfId="0" applyNumberFormat="1" applyFont="1" applyFill="1" applyBorder="1" applyAlignment="1">
      <alignment horizontal="center"/>
    </xf>
    <xf numFmtId="164" fontId="23" fillId="0" borderId="32" xfId="0" applyNumberFormat="1" applyFont="1" applyBorder="1" applyAlignment="1">
      <alignment horizontal="center"/>
    </xf>
    <xf numFmtId="164" fontId="23" fillId="0" borderId="3" xfId="0" applyNumberFormat="1" applyFont="1" applyBorder="1" applyAlignment="1">
      <alignment horizontal="center"/>
    </xf>
    <xf numFmtId="164" fontId="30" fillId="65" borderId="69" xfId="0" applyNumberFormat="1" applyFont="1" applyFill="1" applyBorder="1" applyAlignment="1">
      <alignment horizontal="center"/>
    </xf>
    <xf numFmtId="164" fontId="30" fillId="65" borderId="73" xfId="0" applyNumberFormat="1" applyFont="1" applyFill="1" applyBorder="1" applyAlignment="1">
      <alignment horizontal="center"/>
    </xf>
    <xf numFmtId="164" fontId="30" fillId="65" borderId="164" xfId="0" applyNumberFormat="1" applyFont="1" applyFill="1" applyBorder="1" applyAlignment="1">
      <alignment horizontal="center"/>
    </xf>
    <xf numFmtId="164" fontId="30" fillId="65" borderId="4" xfId="0" applyNumberFormat="1" applyFont="1" applyFill="1" applyBorder="1" applyAlignment="1">
      <alignment horizontal="center"/>
    </xf>
    <xf numFmtId="164" fontId="30" fillId="65" borderId="8" xfId="0" applyNumberFormat="1" applyFont="1" applyFill="1" applyBorder="1" applyAlignment="1">
      <alignment horizontal="center"/>
    </xf>
    <xf numFmtId="164" fontId="30" fillId="65" borderId="129" xfId="0" applyNumberFormat="1" applyFont="1" applyFill="1" applyBorder="1" applyAlignment="1">
      <alignment horizontal="center"/>
    </xf>
    <xf numFmtId="164" fontId="30" fillId="65" borderId="93" xfId="0" applyNumberFormat="1" applyFont="1" applyFill="1" applyBorder="1" applyAlignment="1">
      <alignment horizontal="center"/>
    </xf>
    <xf numFmtId="164" fontId="30" fillId="65" borderId="90" xfId="0" applyNumberFormat="1" applyFont="1" applyFill="1" applyBorder="1" applyAlignment="1">
      <alignment horizontal="center"/>
    </xf>
    <xf numFmtId="164" fontId="30" fillId="65" borderId="130" xfId="0" applyNumberFormat="1" applyFont="1" applyFill="1" applyBorder="1" applyAlignment="1">
      <alignment horizontal="center"/>
    </xf>
    <xf numFmtId="175" fontId="25" fillId="0" borderId="0" xfId="0" applyNumberFormat="1" applyFont="1" applyAlignment="1">
      <alignment horizontal="center"/>
    </xf>
    <xf numFmtId="164" fontId="25" fillId="67" borderId="163" xfId="0" applyNumberFormat="1" applyFont="1" applyFill="1" applyBorder="1" applyAlignment="1">
      <alignment horizontal="center"/>
    </xf>
    <xf numFmtId="3" fontId="0" fillId="0" borderId="0" xfId="0" applyNumberFormat="1"/>
    <xf numFmtId="166" fontId="17" fillId="0" borderId="78" xfId="0" applyNumberFormat="1" applyFont="1" applyBorder="1" applyAlignment="1">
      <alignment horizontal="center"/>
    </xf>
    <xf numFmtId="176" fontId="25" fillId="0" borderId="0" xfId="0" applyNumberFormat="1" applyFont="1" applyAlignment="1">
      <alignment horizontal="center"/>
    </xf>
    <xf numFmtId="176" fontId="31" fillId="0" borderId="0" xfId="0" applyNumberFormat="1" applyFont="1" applyAlignment="1">
      <alignment horizontal="center"/>
    </xf>
    <xf numFmtId="176" fontId="25" fillId="62" borderId="202" xfId="0" applyNumberFormat="1" applyFont="1" applyFill="1" applyBorder="1" applyAlignment="1">
      <alignment horizontal="center"/>
    </xf>
    <xf numFmtId="176" fontId="25" fillId="62" borderId="54" xfId="0" applyNumberFormat="1" applyFont="1" applyFill="1" applyBorder="1" applyAlignment="1">
      <alignment horizontal="center"/>
    </xf>
    <xf numFmtId="176" fontId="25" fillId="62" borderId="359" xfId="0" applyNumberFormat="1" applyFont="1" applyFill="1" applyBorder="1" applyAlignment="1">
      <alignment horizontal="center"/>
    </xf>
    <xf numFmtId="166" fontId="25" fillId="0" borderId="0" xfId="0" applyNumberFormat="1" applyFont="1" applyAlignment="1">
      <alignment horizontal="center" vertical="center"/>
    </xf>
    <xf numFmtId="0" fontId="23" fillId="0" borderId="166" xfId="0" applyFont="1" applyBorder="1" applyAlignment="1">
      <alignment horizontal="center" vertical="center"/>
    </xf>
    <xf numFmtId="0" fontId="23" fillId="0" borderId="167" xfId="0" applyFont="1" applyBorder="1" applyAlignment="1">
      <alignment horizontal="center" vertical="center"/>
    </xf>
    <xf numFmtId="0" fontId="23" fillId="0" borderId="168" xfId="0" applyFont="1" applyBorder="1" applyAlignment="1">
      <alignment horizontal="center" vertical="center"/>
    </xf>
    <xf numFmtId="0" fontId="23" fillId="0" borderId="134" xfId="0" applyFont="1" applyBorder="1" applyAlignment="1">
      <alignment horizontal="center" vertical="center"/>
    </xf>
    <xf numFmtId="0" fontId="23" fillId="0" borderId="36" xfId="0" applyFont="1" applyBorder="1" applyAlignment="1">
      <alignment horizontal="center" vertical="center"/>
    </xf>
    <xf numFmtId="0" fontId="0" fillId="0" borderId="134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36" xfId="0" applyBorder="1" applyAlignment="1">
      <alignment horizontal="center"/>
    </xf>
    <xf numFmtId="0" fontId="23" fillId="0" borderId="186" xfId="0" applyFont="1" applyBorder="1" applyAlignment="1">
      <alignment horizontal="center"/>
    </xf>
    <xf numFmtId="0" fontId="23" fillId="0" borderId="207" xfId="0" applyFont="1" applyBorder="1" applyAlignment="1">
      <alignment horizontal="center"/>
    </xf>
    <xf numFmtId="0" fontId="41" fillId="50" borderId="288" xfId="0" applyFont="1" applyFill="1" applyBorder="1" applyAlignment="1">
      <alignment horizontal="center"/>
    </xf>
    <xf numFmtId="0" fontId="17" fillId="66" borderId="79" xfId="0" applyFont="1" applyFill="1" applyBorder="1" applyAlignment="1">
      <alignment horizontal="center"/>
    </xf>
    <xf numFmtId="0" fontId="0" fillId="0" borderId="338" xfId="0" applyBorder="1" applyAlignment="1">
      <alignment horizontal="center"/>
    </xf>
    <xf numFmtId="0" fontId="0" fillId="0" borderId="311" xfId="0" applyBorder="1" applyAlignment="1">
      <alignment horizontal="center"/>
    </xf>
    <xf numFmtId="0" fontId="0" fillId="0" borderId="317" xfId="0" applyBorder="1" applyAlignment="1">
      <alignment horizontal="center"/>
    </xf>
    <xf numFmtId="0" fontId="0" fillId="0" borderId="189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56" xfId="0" applyBorder="1" applyAlignment="1">
      <alignment horizontal="center" vertical="center"/>
    </xf>
    <xf numFmtId="0" fontId="3" fillId="0" borderId="186" xfId="37" applyBorder="1" applyAlignment="1">
      <alignment horizontal="center" vertical="center"/>
    </xf>
    <xf numFmtId="0" fontId="3" fillId="0" borderId="226" xfId="37" applyBorder="1" applyAlignment="1">
      <alignment horizontal="center" vertical="center"/>
    </xf>
    <xf numFmtId="0" fontId="0" fillId="0" borderId="166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167" fontId="31" fillId="0" borderId="216" xfId="0" applyNumberFormat="1" applyFont="1" applyBorder="1" applyAlignment="1">
      <alignment horizontal="center" vertical="center"/>
    </xf>
    <xf numFmtId="167" fontId="31" fillId="0" borderId="218" xfId="0" applyNumberFormat="1" applyFont="1" applyBorder="1" applyAlignment="1">
      <alignment horizontal="center" vertical="center"/>
    </xf>
    <xf numFmtId="167" fontId="31" fillId="0" borderId="104" xfId="0" applyNumberFormat="1" applyFont="1" applyBorder="1" applyAlignment="1">
      <alignment horizontal="center" vertical="center"/>
    </xf>
    <xf numFmtId="167" fontId="31" fillId="0" borderId="141" xfId="0" applyNumberFormat="1" applyFont="1" applyBorder="1" applyAlignment="1">
      <alignment horizontal="center" vertical="center"/>
    </xf>
    <xf numFmtId="167" fontId="31" fillId="0" borderId="229" xfId="0" applyNumberFormat="1" applyFont="1" applyBorder="1" applyAlignment="1">
      <alignment horizontal="center" vertical="center"/>
    </xf>
    <xf numFmtId="167" fontId="31" fillId="0" borderId="230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2" xfId="0" applyBorder="1" applyAlignment="1">
      <alignment horizontal="center" vertical="center" wrapText="1"/>
    </xf>
    <xf numFmtId="0" fontId="0" fillId="0" borderId="223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159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59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0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27" xfId="0" applyFill="1" applyBorder="1" applyAlignment="1">
      <alignment horizontal="center"/>
    </xf>
    <xf numFmtId="0" fontId="38" fillId="0" borderId="257" xfId="0" applyFont="1" applyBorder="1" applyAlignment="1">
      <alignment horizontal="center" vertical="center"/>
    </xf>
    <xf numFmtId="0" fontId="38" fillId="0" borderId="258" xfId="0" applyFont="1" applyBorder="1" applyAlignment="1">
      <alignment horizontal="center" vertical="center"/>
    </xf>
    <xf numFmtId="0" fontId="38" fillId="0" borderId="259" xfId="0" applyFont="1" applyBorder="1" applyAlignment="1">
      <alignment horizontal="center" vertical="center"/>
    </xf>
    <xf numFmtId="0" fontId="38" fillId="0" borderId="189" xfId="0" applyFont="1" applyBorder="1" applyAlignment="1">
      <alignment horizontal="center" vertical="center"/>
    </xf>
    <xf numFmtId="0" fontId="38" fillId="0" borderId="86" xfId="0" applyFont="1" applyBorder="1" applyAlignment="1">
      <alignment horizontal="center" vertical="center"/>
    </xf>
    <xf numFmtId="0" fontId="38" fillId="0" borderId="256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0" xfId="0" applyFill="1" applyBorder="1" applyAlignment="1">
      <alignment horizontal="center" vertical="center" wrapText="1"/>
    </xf>
    <xf numFmtId="0" fontId="0" fillId="0" borderId="20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0" borderId="191" xfId="0" applyBorder="1" applyAlignment="1">
      <alignment horizontal="center" vertical="center"/>
    </xf>
    <xf numFmtId="0" fontId="0" fillId="0" borderId="172" xfId="0" applyBorder="1" applyAlignment="1">
      <alignment horizontal="center" vertical="center"/>
    </xf>
    <xf numFmtId="0" fontId="0" fillId="0" borderId="179" xfId="0" applyBorder="1" applyAlignment="1">
      <alignment horizontal="center" vertical="center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0" fillId="0" borderId="165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254" xfId="0" applyBorder="1" applyAlignment="1">
      <alignment horizontal="center" vertical="center" wrapText="1"/>
    </xf>
    <xf numFmtId="0" fontId="0" fillId="0" borderId="176" xfId="0" applyBorder="1" applyAlignment="1">
      <alignment horizontal="center" vertical="center" wrapText="1"/>
    </xf>
    <xf numFmtId="0" fontId="0" fillId="0" borderId="308" xfId="0" applyBorder="1" applyAlignment="1">
      <alignment horizontal="center"/>
    </xf>
    <xf numFmtId="0" fontId="0" fillId="0" borderId="307" xfId="0" applyBorder="1" applyAlignment="1">
      <alignment horizontal="center"/>
    </xf>
    <xf numFmtId="0" fontId="0" fillId="0" borderId="133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64" xfId="0" applyBorder="1" applyAlignment="1">
      <alignment horizontal="center" vertical="center" wrapText="1"/>
    </xf>
    <xf numFmtId="0" fontId="0" fillId="0" borderId="166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16" xfId="0" applyBorder="1" applyAlignment="1">
      <alignment horizontal="center"/>
    </xf>
    <xf numFmtId="0" fontId="0" fillId="0" borderId="21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218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224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41" xfId="0" applyBorder="1" applyAlignment="1">
      <alignment horizontal="center" vertical="center"/>
    </xf>
    <xf numFmtId="0" fontId="0" fillId="0" borderId="228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247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67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269" xfId="0" applyBorder="1" applyAlignment="1">
      <alignment horizontal="center"/>
    </xf>
    <xf numFmtId="0" fontId="17" fillId="45" borderId="211" xfId="0" applyFont="1" applyFill="1" applyBorder="1" applyAlignment="1">
      <alignment horizontal="center"/>
    </xf>
    <xf numFmtId="0" fontId="17" fillId="45" borderId="76" xfId="0" applyFont="1" applyFill="1" applyBorder="1" applyAlignment="1">
      <alignment horizontal="center"/>
    </xf>
    <xf numFmtId="0" fontId="17" fillId="45" borderId="207" xfId="0" applyFont="1" applyFill="1" applyBorder="1" applyAlignment="1">
      <alignment horizontal="center"/>
    </xf>
    <xf numFmtId="0" fontId="23" fillId="0" borderId="104" xfId="0" applyFont="1" applyBorder="1" applyAlignment="1">
      <alignment horizontal="center" vertical="center"/>
    </xf>
    <xf numFmtId="0" fontId="23" fillId="0" borderId="214" xfId="0" applyFont="1" applyBorder="1" applyAlignment="1">
      <alignment horizontal="center" vertical="center"/>
    </xf>
    <xf numFmtId="0" fontId="23" fillId="0" borderId="215" xfId="0" applyFont="1" applyBorder="1" applyAlignment="1">
      <alignment horizontal="center" vertical="center"/>
    </xf>
    <xf numFmtId="0" fontId="0" fillId="0" borderId="228" xfId="0" applyBorder="1" applyAlignment="1">
      <alignment horizontal="center"/>
    </xf>
    <xf numFmtId="0" fontId="0" fillId="0" borderId="270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12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211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250" xfId="0" applyBorder="1" applyAlignment="1">
      <alignment horizontal="center" wrapText="1"/>
    </xf>
    <xf numFmtId="0" fontId="0" fillId="0" borderId="261" xfId="0" applyBorder="1" applyAlignment="1">
      <alignment horizontal="center" wrapText="1"/>
    </xf>
    <xf numFmtId="0" fontId="0" fillId="45" borderId="250" xfId="0" applyFill="1" applyBorder="1" applyAlignment="1">
      <alignment horizontal="center" vertical="center" wrapText="1"/>
    </xf>
    <xf numFmtId="0" fontId="0" fillId="45" borderId="174" xfId="0" applyFill="1" applyBorder="1" applyAlignment="1">
      <alignment horizontal="center" vertical="center" wrapText="1"/>
    </xf>
    <xf numFmtId="0" fontId="0" fillId="0" borderId="254" xfId="0" applyBorder="1" applyAlignment="1">
      <alignment horizontal="center" wrapText="1"/>
    </xf>
    <xf numFmtId="0" fontId="0" fillId="0" borderId="262" xfId="0" applyBorder="1" applyAlignment="1">
      <alignment horizontal="center" wrapText="1"/>
    </xf>
    <xf numFmtId="0" fontId="0" fillId="45" borderId="254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79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0" fillId="0" borderId="219" xfId="0" applyBorder="1" applyAlignment="1">
      <alignment horizontal="center" vertical="center" wrapText="1"/>
    </xf>
    <xf numFmtId="0" fontId="0" fillId="0" borderId="206" xfId="0" applyBorder="1" applyAlignment="1">
      <alignment horizontal="center"/>
    </xf>
    <xf numFmtId="0" fontId="0" fillId="0" borderId="265" xfId="0" applyBorder="1" applyAlignment="1">
      <alignment horizontal="center"/>
    </xf>
    <xf numFmtId="0" fontId="0" fillId="0" borderId="266" xfId="0" applyBorder="1" applyAlignment="1">
      <alignment horizontal="center"/>
    </xf>
    <xf numFmtId="0" fontId="0" fillId="0" borderId="262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224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76" xfId="0" applyBorder="1" applyAlignment="1">
      <alignment horizontal="center" vertical="center" wrapText="1"/>
    </xf>
    <xf numFmtId="0" fontId="0" fillId="0" borderId="226" xfId="0" applyBorder="1" applyAlignment="1">
      <alignment horizontal="center" vertical="center" wrapText="1"/>
    </xf>
    <xf numFmtId="0" fontId="0" fillId="0" borderId="307" xfId="0" applyBorder="1" applyAlignment="1">
      <alignment horizontal="center" vertical="center"/>
    </xf>
    <xf numFmtId="0" fontId="0" fillId="0" borderId="342" xfId="0" applyBorder="1" applyAlignment="1">
      <alignment horizontal="center" vertical="center"/>
    </xf>
    <xf numFmtId="0" fontId="0" fillId="0" borderId="223" xfId="0" applyBorder="1" applyAlignment="1">
      <alignment horizontal="center" wrapText="1"/>
    </xf>
    <xf numFmtId="0" fontId="0" fillId="0" borderId="121" xfId="0" applyBorder="1" applyAlignment="1">
      <alignment horizontal="center"/>
    </xf>
    <xf numFmtId="0" fontId="0" fillId="0" borderId="134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0" fillId="0" borderId="69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49" borderId="234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6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07" xfId="0" applyBorder="1" applyAlignment="1">
      <alignment horizontal="center" vertical="center"/>
    </xf>
    <xf numFmtId="0" fontId="0" fillId="0" borderId="234" xfId="0" applyBorder="1" applyAlignment="1">
      <alignment horizontal="center" vertical="center"/>
    </xf>
    <xf numFmtId="0" fontId="0" fillId="0" borderId="97" xfId="0" applyBorder="1" applyAlignment="1">
      <alignment horizontal="center" vertical="center"/>
    </xf>
    <xf numFmtId="0" fontId="0" fillId="0" borderId="260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164" xfId="0" applyBorder="1" applyAlignment="1">
      <alignment horizontal="center" vertical="center"/>
    </xf>
    <xf numFmtId="0" fontId="0" fillId="49" borderId="220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27" xfId="0" applyFill="1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67" borderId="218" xfId="0" applyFill="1" applyBorder="1" applyAlignment="1">
      <alignment horizontal="center" vertical="center"/>
    </xf>
    <xf numFmtId="0" fontId="0" fillId="67" borderId="219" xfId="0" applyFill="1" applyBorder="1" applyAlignment="1">
      <alignment horizontal="center" vertical="center"/>
    </xf>
    <xf numFmtId="0" fontId="37" fillId="0" borderId="243" xfId="0" applyFont="1" applyBorder="1" applyAlignment="1">
      <alignment horizontal="center" vertical="center"/>
    </xf>
    <xf numFmtId="0" fontId="37" fillId="0" borderId="167" xfId="0" applyFont="1" applyBorder="1" applyAlignment="1">
      <alignment horizontal="center" vertical="center"/>
    </xf>
    <xf numFmtId="0" fontId="37" fillId="0" borderId="168" xfId="0" applyFont="1" applyBorder="1" applyAlignment="1">
      <alignment horizontal="center" vertical="center"/>
    </xf>
    <xf numFmtId="0" fontId="0" fillId="0" borderId="208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1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47" borderId="211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07" xfId="0" applyFill="1" applyBorder="1" applyAlignment="1">
      <alignment horizont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188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207" xfId="0" applyBorder="1" applyAlignment="1">
      <alignment horizontal="center"/>
    </xf>
    <xf numFmtId="0" fontId="0" fillId="0" borderId="209" xfId="0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220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6" xfId="0" applyBorder="1" applyAlignment="1">
      <alignment horizontal="center"/>
    </xf>
    <xf numFmtId="0" fontId="38" fillId="0" borderId="241" xfId="0" applyFont="1" applyBorder="1" applyAlignment="1">
      <alignment horizontal="center" vertical="center"/>
    </xf>
    <xf numFmtId="0" fontId="38" fillId="0" borderId="83" xfId="0" applyFont="1" applyBorder="1" applyAlignment="1">
      <alignment horizontal="center" vertical="center"/>
    </xf>
    <xf numFmtId="0" fontId="38" fillId="0" borderId="238" xfId="0" applyFont="1" applyBorder="1" applyAlignment="1">
      <alignment horizontal="center" vertical="center"/>
    </xf>
    <xf numFmtId="0" fontId="38" fillId="0" borderId="235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14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7" fillId="0" borderId="231" xfId="0" applyFont="1" applyBorder="1" applyAlignment="1">
      <alignment horizontal="center" vertical="center"/>
    </xf>
    <xf numFmtId="0" fontId="17" fillId="0" borderId="122" xfId="0" applyFont="1" applyBorder="1" applyAlignment="1">
      <alignment horizontal="center" vertical="center"/>
    </xf>
    <xf numFmtId="0" fontId="25" fillId="0" borderId="135" xfId="0" applyFont="1" applyBorder="1" applyAlignment="1">
      <alignment horizontal="center" vertical="center"/>
    </xf>
    <xf numFmtId="0" fontId="25" fillId="0" borderId="70" xfId="0" applyFont="1" applyBorder="1" applyAlignment="1">
      <alignment horizontal="center" vertical="center"/>
    </xf>
    <xf numFmtId="0" fontId="17" fillId="0" borderId="136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103" xfId="0" applyFont="1" applyBorder="1" applyAlignment="1">
      <alignment horizontal="center" vertical="center"/>
    </xf>
    <xf numFmtId="0" fontId="17" fillId="0" borderId="127" xfId="0" applyFont="1" applyBorder="1" applyAlignment="1">
      <alignment horizontal="center" vertical="center"/>
    </xf>
    <xf numFmtId="0" fontId="17" fillId="0" borderId="131" xfId="0" applyFont="1" applyBorder="1" applyAlignment="1">
      <alignment horizontal="center" vertical="center"/>
    </xf>
    <xf numFmtId="0" fontId="3" fillId="0" borderId="166" xfId="37" applyBorder="1" applyAlignment="1">
      <alignment horizontal="center" vertical="center"/>
    </xf>
    <xf numFmtId="0" fontId="3" fillId="0" borderId="228" xfId="37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0" fillId="48" borderId="211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07" xfId="0" applyFill="1" applyBorder="1" applyAlignment="1">
      <alignment horizontal="center"/>
    </xf>
    <xf numFmtId="173" fontId="45" fillId="0" borderId="272" xfId="0" applyNumberFormat="1" applyFont="1" applyBorder="1" applyAlignment="1">
      <alignment horizontal="center" vertical="center"/>
    </xf>
    <xf numFmtId="0" fontId="17" fillId="0" borderId="253" xfId="0" applyFont="1" applyBorder="1" applyAlignment="1">
      <alignment horizontal="center" vertical="center"/>
    </xf>
    <xf numFmtId="0" fontId="39" fillId="0" borderId="84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197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35" xfId="0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23" fillId="0" borderId="83" xfId="0" applyFont="1" applyBorder="1" applyAlignment="1">
      <alignment horizontal="center" vertical="center"/>
    </xf>
    <xf numFmtId="0" fontId="23" fillId="0" borderId="238" xfId="0" applyFont="1" applyBorder="1" applyAlignment="1">
      <alignment horizontal="center" vertical="center"/>
    </xf>
    <xf numFmtId="0" fontId="23" fillId="0" borderId="8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197" xfId="0" applyFont="1" applyBorder="1" applyAlignment="1">
      <alignment horizontal="center" vertical="center"/>
    </xf>
    <xf numFmtId="0" fontId="23" fillId="0" borderId="85" xfId="0" applyFont="1" applyBorder="1" applyAlignment="1">
      <alignment horizontal="center" vertical="center"/>
    </xf>
    <xf numFmtId="0" fontId="23" fillId="0" borderId="86" xfId="0" applyFont="1" applyBorder="1" applyAlignment="1">
      <alignment horizontal="center" vertical="center"/>
    </xf>
    <xf numFmtId="0" fontId="23" fillId="0" borderId="235" xfId="0" applyFont="1" applyBorder="1" applyAlignment="1">
      <alignment horizontal="center" vertical="center"/>
    </xf>
    <xf numFmtId="0" fontId="23" fillId="0" borderId="208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 vertical="center"/>
    </xf>
    <xf numFmtId="0" fontId="23" fillId="0" borderId="82" xfId="0" applyFont="1" applyBorder="1" applyAlignment="1">
      <alignment horizontal="center" vertical="center"/>
    </xf>
    <xf numFmtId="0" fontId="23" fillId="0" borderId="221" xfId="0" applyFont="1" applyBorder="1" applyAlignment="1">
      <alignment horizontal="center" vertical="center"/>
    </xf>
    <xf numFmtId="0" fontId="23" fillId="0" borderId="244" xfId="0" applyFont="1" applyBorder="1" applyAlignment="1">
      <alignment horizontal="center" vertical="center"/>
    </xf>
    <xf numFmtId="0" fontId="17" fillId="0" borderId="248" xfId="0" applyFont="1" applyBorder="1" applyAlignment="1">
      <alignment horizontal="center" vertical="center"/>
    </xf>
    <xf numFmtId="0" fontId="23" fillId="0" borderId="69" xfId="0" applyFont="1" applyBorder="1" applyAlignment="1">
      <alignment horizontal="center" vertical="center"/>
    </xf>
    <xf numFmtId="0" fontId="23" fillId="0" borderId="70" xfId="0" applyFont="1" applyBorder="1" applyAlignment="1">
      <alignment horizontal="center" vertical="center"/>
    </xf>
    <xf numFmtId="0" fontId="23" fillId="0" borderId="71" xfId="0" applyFont="1" applyBorder="1" applyAlignment="1">
      <alignment horizontal="center" vertical="center"/>
    </xf>
    <xf numFmtId="0" fontId="23" fillId="0" borderId="72" xfId="0" applyFont="1" applyBorder="1" applyAlignment="1">
      <alignment horizontal="center" vertical="center"/>
    </xf>
    <xf numFmtId="0" fontId="23" fillId="0" borderId="73" xfId="0" applyFont="1" applyBorder="1" applyAlignment="1">
      <alignment horizontal="center" vertical="center"/>
    </xf>
    <xf numFmtId="0" fontId="17" fillId="0" borderId="254" xfId="0" applyFont="1" applyBorder="1" applyAlignment="1">
      <alignment horizontal="center" vertical="center"/>
    </xf>
    <xf numFmtId="0" fontId="17" fillId="0" borderId="176" xfId="0" applyFont="1" applyBorder="1" applyAlignment="1">
      <alignment horizontal="center" vertical="center"/>
    </xf>
    <xf numFmtId="0" fontId="17" fillId="0" borderId="209" xfId="0" applyFont="1" applyBorder="1" applyAlignment="1">
      <alignment horizontal="center" vertical="center"/>
    </xf>
    <xf numFmtId="0" fontId="17" fillId="0" borderId="191" xfId="0" applyFont="1" applyBorder="1" applyAlignment="1">
      <alignment horizontal="center" vertical="center"/>
    </xf>
    <xf numFmtId="0" fontId="17" fillId="0" borderId="255" xfId="0" applyFont="1" applyBorder="1" applyAlignment="1">
      <alignment horizontal="center" vertical="center"/>
    </xf>
    <xf numFmtId="0" fontId="23" fillId="0" borderId="136" xfId="0" applyFont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0" fillId="0" borderId="166" xfId="0" applyBorder="1" applyAlignment="1">
      <alignment horizontal="center" wrapText="1"/>
    </xf>
    <xf numFmtId="0" fontId="23" fillId="0" borderId="122" xfId="0" applyFont="1" applyBorder="1" applyAlignment="1">
      <alignment horizontal="center" vertical="center"/>
    </xf>
    <xf numFmtId="0" fontId="23" fillId="0" borderId="245" xfId="0" applyFont="1" applyBorder="1" applyAlignment="1">
      <alignment horizontal="center" vertical="center"/>
    </xf>
    <xf numFmtId="0" fontId="23" fillId="0" borderId="246" xfId="0" applyFont="1" applyBorder="1" applyAlignment="1">
      <alignment horizontal="center" vertical="center"/>
    </xf>
    <xf numFmtId="0" fontId="23" fillId="0" borderId="247" xfId="0" applyFont="1" applyBorder="1" applyAlignment="1">
      <alignment horizontal="center" vertical="center"/>
    </xf>
    <xf numFmtId="0" fontId="23" fillId="0" borderId="175" xfId="0" applyFont="1" applyBorder="1" applyAlignment="1">
      <alignment horizontal="center" vertical="center"/>
    </xf>
    <xf numFmtId="0" fontId="23" fillId="0" borderId="248" xfId="0" applyFont="1" applyBorder="1" applyAlignment="1">
      <alignment horizontal="center" vertical="center"/>
    </xf>
    <xf numFmtId="0" fontId="23" fillId="0" borderId="127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3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7" fillId="0" borderId="242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 vertical="center"/>
    </xf>
    <xf numFmtId="0" fontId="23" fillId="0" borderId="170" xfId="0" applyFont="1" applyBorder="1" applyAlignment="1">
      <alignment horizontal="center" vertical="center"/>
    </xf>
    <xf numFmtId="0" fontId="23" fillId="0" borderId="94" xfId="0" applyFont="1" applyBorder="1" applyAlignment="1">
      <alignment horizontal="center" vertical="center"/>
    </xf>
    <xf numFmtId="0" fontId="23" fillId="0" borderId="232" xfId="0" applyFont="1" applyBorder="1" applyAlignment="1">
      <alignment horizontal="center" vertical="center"/>
    </xf>
    <xf numFmtId="0" fontId="23" fillId="0" borderId="233" xfId="0" applyFont="1" applyBorder="1" applyAlignment="1">
      <alignment horizontal="center" vertical="center"/>
    </xf>
    <xf numFmtId="0" fontId="38" fillId="0" borderId="251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8" fillId="0" borderId="252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vertical="center" wrapText="1"/>
    </xf>
    <xf numFmtId="0" fontId="23" fillId="0" borderId="145" xfId="0" applyFont="1" applyBorder="1" applyAlignment="1">
      <alignment horizontal="center" vertical="center" wrapText="1"/>
    </xf>
    <xf numFmtId="0" fontId="0" fillId="0" borderId="236" xfId="0" applyBorder="1" applyAlignment="1">
      <alignment horizontal="center"/>
    </xf>
    <xf numFmtId="0" fontId="0" fillId="0" borderId="237" xfId="0" applyBorder="1" applyAlignment="1">
      <alignment horizontal="center"/>
    </xf>
    <xf numFmtId="0" fontId="0" fillId="0" borderId="238" xfId="0" applyBorder="1" applyAlignment="1">
      <alignment horizontal="center" vertical="center" wrapText="1"/>
    </xf>
    <xf numFmtId="0" fontId="0" fillId="0" borderId="204" xfId="0" applyBorder="1" applyAlignment="1">
      <alignment horizontal="center" vertical="center" wrapText="1"/>
    </xf>
    <xf numFmtId="0" fontId="0" fillId="0" borderId="239" xfId="0" applyBorder="1" applyAlignment="1">
      <alignment horizontal="center" vertical="center" wrapText="1"/>
    </xf>
    <xf numFmtId="0" fontId="0" fillId="0" borderId="240" xfId="0" applyBorder="1" applyAlignment="1">
      <alignment horizontal="center" vertical="center" wrapText="1"/>
    </xf>
    <xf numFmtId="0" fontId="17" fillId="0" borderId="249" xfId="0" applyFont="1" applyBorder="1" applyAlignment="1">
      <alignment horizontal="center" vertical="center"/>
    </xf>
    <xf numFmtId="0" fontId="17" fillId="0" borderId="158" xfId="0" applyFont="1" applyBorder="1" applyAlignment="1">
      <alignment horizontal="center" vertical="center"/>
    </xf>
    <xf numFmtId="0" fontId="17" fillId="0" borderId="250" xfId="0" applyFont="1" applyBorder="1" applyAlignment="1">
      <alignment horizontal="center" vertical="center"/>
    </xf>
    <xf numFmtId="0" fontId="17" fillId="0" borderId="174" xfId="0" applyFont="1" applyBorder="1" applyAlignment="1">
      <alignment horizontal="center" vertical="center"/>
    </xf>
    <xf numFmtId="0" fontId="17" fillId="0" borderId="247" xfId="0" applyFont="1" applyBorder="1" applyAlignment="1">
      <alignment horizontal="center" vertical="center"/>
    </xf>
    <xf numFmtId="0" fontId="17" fillId="0" borderId="175" xfId="0" applyFont="1" applyBorder="1" applyAlignment="1">
      <alignment horizontal="center" vertical="center"/>
    </xf>
    <xf numFmtId="0" fontId="17" fillId="0" borderId="130" xfId="0" applyFont="1" applyBorder="1" applyAlignment="1">
      <alignment horizontal="center" vertical="center"/>
    </xf>
    <xf numFmtId="0" fontId="17" fillId="0" borderId="224" xfId="0" applyFont="1" applyBorder="1" applyAlignment="1">
      <alignment horizontal="center" vertical="center"/>
    </xf>
    <xf numFmtId="0" fontId="17" fillId="0" borderId="223" xfId="0" applyFont="1" applyBorder="1" applyAlignment="1">
      <alignment horizontal="center" vertical="center"/>
    </xf>
    <xf numFmtId="0" fontId="17" fillId="0" borderId="121" xfId="0" applyFont="1" applyBorder="1" applyAlignment="1">
      <alignment horizontal="center" vertical="center"/>
    </xf>
    <xf numFmtId="0" fontId="38" fillId="0" borderId="197" xfId="0" applyFont="1" applyBorder="1" applyAlignment="1">
      <alignment horizontal="center" vertical="center"/>
    </xf>
    <xf numFmtId="0" fontId="35" fillId="0" borderId="209" xfId="0" applyFont="1" applyBorder="1" applyAlignment="1">
      <alignment horizontal="center" vertical="center"/>
    </xf>
    <xf numFmtId="0" fontId="35" fillId="0" borderId="231" xfId="0" applyFont="1" applyBorder="1" applyAlignment="1">
      <alignment horizontal="center" vertical="center"/>
    </xf>
    <xf numFmtId="0" fontId="35" fillId="0" borderId="122" xfId="0" applyFont="1" applyBorder="1" applyAlignment="1">
      <alignment horizontal="center" vertical="center"/>
    </xf>
    <xf numFmtId="0" fontId="23" fillId="0" borderId="242" xfId="0" applyFont="1" applyBorder="1" applyAlignment="1">
      <alignment horizontal="center" vertical="center"/>
    </xf>
    <xf numFmtId="0" fontId="23" fillId="0" borderId="131" xfId="0" applyFont="1" applyBorder="1" applyAlignment="1">
      <alignment horizontal="center" vertical="center"/>
    </xf>
    <xf numFmtId="0" fontId="38" fillId="0" borderId="82" xfId="0" applyFont="1" applyBorder="1" applyAlignment="1">
      <alignment horizontal="center" vertical="center"/>
    </xf>
    <xf numFmtId="0" fontId="38" fillId="0" borderId="85" xfId="0" applyFont="1" applyBorder="1" applyAlignment="1">
      <alignment horizontal="center" vertical="center"/>
    </xf>
    <xf numFmtId="0" fontId="40" fillId="0" borderId="308" xfId="0" applyFont="1" applyBorder="1" applyAlignment="1">
      <alignment horizontal="center" vertical="center"/>
    </xf>
    <xf numFmtId="0" fontId="40" fillId="0" borderId="307" xfId="0" applyFont="1" applyBorder="1" applyAlignment="1">
      <alignment horizontal="center" vertical="center"/>
    </xf>
    <xf numFmtId="0" fontId="40" fillId="0" borderId="358" xfId="0" applyFont="1" applyBorder="1" applyAlignment="1">
      <alignment horizontal="center" vertical="center"/>
    </xf>
    <xf numFmtId="0" fontId="40" fillId="0" borderId="211" xfId="0" applyFont="1" applyBorder="1" applyAlignment="1">
      <alignment horizontal="center" vertical="center"/>
    </xf>
    <xf numFmtId="0" fontId="40" fillId="0" borderId="76" xfId="0" applyFont="1" applyBorder="1" applyAlignment="1">
      <alignment horizontal="center" vertical="center"/>
    </xf>
    <xf numFmtId="0" fontId="40" fillId="0" borderId="207" xfId="0" applyFont="1" applyBorder="1" applyAlignment="1">
      <alignment horizontal="center" vertical="center"/>
    </xf>
    <xf numFmtId="0" fontId="39" fillId="0" borderId="211" xfId="0" applyFont="1" applyBorder="1" applyAlignment="1">
      <alignment horizontal="center" vertical="center"/>
    </xf>
    <xf numFmtId="0" fontId="39" fillId="0" borderId="76" xfId="0" applyFont="1" applyBorder="1" applyAlignment="1">
      <alignment horizontal="center" vertical="center"/>
    </xf>
    <xf numFmtId="0" fontId="39" fillId="0" borderId="207" xfId="0" applyFont="1" applyBorder="1" applyAlignment="1">
      <alignment horizontal="center" vertical="center"/>
    </xf>
    <xf numFmtId="0" fontId="23" fillId="0" borderId="171" xfId="0" applyFont="1" applyBorder="1" applyAlignment="1">
      <alignment horizontal="center" vertical="center"/>
    </xf>
    <xf numFmtId="0" fontId="23" fillId="0" borderId="178" xfId="0" applyFont="1" applyBorder="1" applyAlignment="1">
      <alignment horizontal="center" vertical="center"/>
    </xf>
    <xf numFmtId="0" fontId="23" fillId="0" borderId="103" xfId="0" applyFont="1" applyBorder="1" applyAlignment="1">
      <alignment horizontal="center" vertical="center"/>
    </xf>
    <xf numFmtId="0" fontId="23" fillId="0" borderId="231" xfId="0" applyFont="1" applyBorder="1" applyAlignment="1">
      <alignment horizontal="center"/>
    </xf>
    <xf numFmtId="0" fontId="23" fillId="0" borderId="191" xfId="0" applyFont="1" applyBorder="1" applyAlignment="1">
      <alignment horizontal="center"/>
    </xf>
    <xf numFmtId="0" fontId="23" fillId="0" borderId="234" xfId="0" applyFont="1" applyBorder="1" applyAlignment="1">
      <alignment horizontal="center"/>
    </xf>
    <xf numFmtId="0" fontId="23" fillId="0" borderId="79" xfId="0" applyFont="1" applyBorder="1" applyAlignment="1">
      <alignment horizontal="center"/>
    </xf>
    <xf numFmtId="0" fontId="23" fillId="0" borderId="97" xfId="0" applyFont="1" applyBorder="1" applyAlignment="1">
      <alignment horizontal="center"/>
    </xf>
    <xf numFmtId="0" fontId="0" fillId="0" borderId="241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1" fillId="0" borderId="135" xfId="0" applyFont="1" applyBorder="1" applyAlignment="1">
      <alignment horizontal="center"/>
    </xf>
    <xf numFmtId="0" fontId="31" fillId="0" borderId="73" xfId="0" applyFont="1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231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09" xfId="0" applyBorder="1" applyAlignment="1">
      <alignment horizontal="center" wrapText="1"/>
    </xf>
    <xf numFmtId="0" fontId="0" fillId="0" borderId="191" xfId="0" applyBorder="1" applyAlignment="1">
      <alignment horizontal="center"/>
    </xf>
    <xf numFmtId="0" fontId="0" fillId="0" borderId="69" xfId="0" applyBorder="1" applyAlignment="1">
      <alignment horizontal="center" wrapText="1"/>
    </xf>
    <xf numFmtId="0" fontId="0" fillId="0" borderId="72" xfId="0" applyBorder="1" applyAlignment="1">
      <alignment horizontal="center" wrapText="1"/>
    </xf>
    <xf numFmtId="167" fontId="31" fillId="0" borderId="220" xfId="0" applyNumberFormat="1" applyFont="1" applyBorder="1" applyAlignment="1">
      <alignment horizontal="center" vertical="center"/>
    </xf>
    <xf numFmtId="167" fontId="31" fillId="0" borderId="224" xfId="0" applyNumberFormat="1" applyFont="1" applyBorder="1" applyAlignment="1">
      <alignment horizontal="center" vertical="center"/>
    </xf>
    <xf numFmtId="0" fontId="31" fillId="0" borderId="119" xfId="0" applyFont="1" applyBorder="1" applyAlignment="1">
      <alignment horizontal="center" vertical="center"/>
    </xf>
    <xf numFmtId="0" fontId="31" fillId="0" borderId="218" xfId="0" applyFont="1" applyBorder="1" applyAlignment="1">
      <alignment horizontal="center" vertical="center"/>
    </xf>
    <xf numFmtId="0" fontId="31" fillId="0" borderId="121" xfId="0" applyFont="1" applyBorder="1" applyAlignment="1">
      <alignment horizontal="center" vertical="center"/>
    </xf>
    <xf numFmtId="0" fontId="31" fillId="0" borderId="229" xfId="0" applyFont="1" applyBorder="1" applyAlignment="1">
      <alignment horizontal="center" vertical="center"/>
    </xf>
    <xf numFmtId="0" fontId="0" fillId="0" borderId="355" xfId="0" applyBorder="1" applyAlignment="1">
      <alignment horizontal="center" vertical="center" wrapText="1"/>
    </xf>
    <xf numFmtId="0" fontId="0" fillId="0" borderId="350" xfId="0" applyBorder="1" applyAlignment="1">
      <alignment horizontal="center" vertical="center" wrapText="1"/>
    </xf>
    <xf numFmtId="0" fontId="0" fillId="0" borderId="190" xfId="0" applyBorder="1" applyAlignment="1">
      <alignment horizontal="center"/>
    </xf>
    <xf numFmtId="0" fontId="0" fillId="0" borderId="243" xfId="0" applyBorder="1" applyAlignment="1">
      <alignment horizontal="center"/>
    </xf>
    <xf numFmtId="0" fontId="31" fillId="0" borderId="0" xfId="0" applyFont="1" applyAlignment="1">
      <alignment horizontal="center" wrapText="1"/>
    </xf>
    <xf numFmtId="0" fontId="0" fillId="0" borderId="250" xfId="0" applyBorder="1" applyAlignment="1">
      <alignment horizontal="center"/>
    </xf>
    <xf numFmtId="0" fontId="0" fillId="0" borderId="173" xfId="0" applyBorder="1" applyAlignment="1">
      <alignment horizontal="center"/>
    </xf>
    <xf numFmtId="2" fontId="25" fillId="0" borderId="201" xfId="0" applyNumberFormat="1" applyFont="1" applyBorder="1" applyAlignment="1">
      <alignment horizontal="center" vertical="center"/>
    </xf>
    <xf numFmtId="2" fontId="25" fillId="0" borderId="165" xfId="0" applyNumberFormat="1" applyFont="1" applyBorder="1" applyAlignment="1">
      <alignment horizontal="center" vertical="center"/>
    </xf>
    <xf numFmtId="165" fontId="25" fillId="0" borderId="205" xfId="0" applyNumberFormat="1" applyFont="1" applyBorder="1" applyAlignment="1">
      <alignment horizontal="center" vertical="center"/>
    </xf>
    <xf numFmtId="165" fontId="25" fillId="0" borderId="206" xfId="0" applyNumberFormat="1" applyFont="1" applyBorder="1" applyAlignment="1">
      <alignment horizontal="center" vertical="center"/>
    </xf>
    <xf numFmtId="0" fontId="0" fillId="33" borderId="186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25" xfId="0" applyBorder="1" applyAlignment="1">
      <alignment horizontal="center"/>
    </xf>
    <xf numFmtId="165" fontId="25" fillId="0" borderId="201" xfId="0" applyNumberFormat="1" applyFont="1" applyBorder="1" applyAlignment="1">
      <alignment horizontal="center" vertical="center"/>
    </xf>
    <xf numFmtId="165" fontId="25" fillId="0" borderId="165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202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86" xfId="0" applyBorder="1" applyAlignment="1">
      <alignment horizontal="center"/>
    </xf>
    <xf numFmtId="0" fontId="0" fillId="0" borderId="77" xfId="0" applyBorder="1" applyAlignment="1">
      <alignment horizontal="center"/>
    </xf>
    <xf numFmtId="0" fontId="1" fillId="0" borderId="202" xfId="0" applyFont="1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00" xfId="0" applyBorder="1" applyAlignment="1">
      <alignment horizontal="center" vertical="center"/>
    </xf>
    <xf numFmtId="0" fontId="0" fillId="0" borderId="202" xfId="0" applyBorder="1" applyAlignment="1">
      <alignment horizontal="center"/>
    </xf>
    <xf numFmtId="0" fontId="0" fillId="34" borderId="75" xfId="0" applyFill="1" applyBorder="1" applyAlignment="1">
      <alignment horizontal="center"/>
    </xf>
    <xf numFmtId="0" fontId="0" fillId="34" borderId="199" xfId="0" applyFill="1" applyBorder="1" applyAlignment="1">
      <alignment horizontal="center"/>
    </xf>
    <xf numFmtId="0" fontId="23" fillId="0" borderId="0" xfId="0" applyFont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59" xfId="0" applyBorder="1" applyAlignment="1">
      <alignment horizontal="center"/>
    </xf>
    <xf numFmtId="0" fontId="0" fillId="0" borderId="201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99" xfId="0" applyBorder="1" applyAlignment="1">
      <alignment horizontal="center" vertical="center" textRotation="90"/>
    </xf>
    <xf numFmtId="0" fontId="0" fillId="0" borderId="165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203" xfId="0" applyBorder="1" applyAlignment="1">
      <alignment horizontal="center" vertical="center"/>
    </xf>
    <xf numFmtId="0" fontId="0" fillId="0" borderId="204" xfId="0" applyBorder="1" applyAlignment="1">
      <alignment horizontal="center" vertical="center"/>
    </xf>
    <xf numFmtId="0" fontId="0" fillId="34" borderId="200" xfId="0" applyFill="1" applyBorder="1" applyAlignment="1">
      <alignment horizontal="center"/>
    </xf>
    <xf numFmtId="0" fontId="0" fillId="0" borderId="210" xfId="0" applyBorder="1" applyAlignment="1">
      <alignment horizontal="center" vertical="center"/>
    </xf>
    <xf numFmtId="0" fontId="0" fillId="0" borderId="212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165" fontId="25" fillId="0" borderId="123" xfId="0" applyNumberFormat="1" applyFont="1" applyBorder="1" applyAlignment="1">
      <alignment horizontal="center" vertical="center"/>
    </xf>
    <xf numFmtId="165" fontId="25" fillId="0" borderId="54" xfId="0" applyNumberFormat="1" applyFont="1" applyBorder="1" applyAlignment="1">
      <alignment horizontal="center" vertical="center"/>
    </xf>
    <xf numFmtId="165" fontId="25" fillId="0" borderId="74" xfId="0" applyNumberFormat="1" applyFont="1" applyBorder="1" applyAlignment="1">
      <alignment horizontal="center" vertical="center"/>
    </xf>
    <xf numFmtId="165" fontId="25" fillId="0" borderId="113" xfId="0" applyNumberFormat="1" applyFont="1" applyBorder="1" applyAlignment="1">
      <alignment horizontal="center" vertical="center"/>
    </xf>
    <xf numFmtId="165" fontId="25" fillId="0" borderId="53" xfId="0" applyNumberFormat="1" applyFont="1" applyBorder="1" applyAlignment="1">
      <alignment horizontal="center" vertical="center"/>
    </xf>
    <xf numFmtId="165" fontId="25" fillId="0" borderId="103" xfId="0" applyNumberFormat="1" applyFont="1" applyBorder="1" applyAlignment="1">
      <alignment horizontal="center" vertical="center"/>
    </xf>
    <xf numFmtId="1" fontId="31" fillId="0" borderId="54" xfId="0" applyNumberFormat="1" applyFont="1" applyBorder="1" applyAlignment="1">
      <alignment horizontal="center" vertical="center"/>
    </xf>
    <xf numFmtId="1" fontId="31" fillId="0" borderId="74" xfId="0" applyNumberFormat="1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61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137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5" fillId="0" borderId="128" xfId="0" applyFont="1" applyBorder="1" applyAlignment="1">
      <alignment horizontal="center" vertical="center"/>
    </xf>
    <xf numFmtId="0" fontId="25" fillId="0" borderId="129" xfId="0" applyFont="1" applyBorder="1" applyAlignment="1">
      <alignment horizontal="center" vertical="center"/>
    </xf>
    <xf numFmtId="0" fontId="25" fillId="0" borderId="130" xfId="0" applyFont="1" applyBorder="1" applyAlignment="1">
      <alignment horizontal="center" vertical="center"/>
    </xf>
    <xf numFmtId="0" fontId="0" fillId="0" borderId="154" xfId="0" applyBorder="1"/>
    <xf numFmtId="0" fontId="0" fillId="0" borderId="217" xfId="0" applyBorder="1"/>
    <xf numFmtId="0" fontId="25" fillId="0" borderId="29" xfId="0" applyFont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3" xfId="0" applyBorder="1" applyAlignment="1">
      <alignment horizontal="center" vertical="center" wrapText="1"/>
    </xf>
    <xf numFmtId="0" fontId="25" fillId="0" borderId="112" xfId="0" applyFont="1" applyBorder="1" applyAlignment="1">
      <alignment horizontal="center" vertical="center"/>
    </xf>
    <xf numFmtId="0" fontId="25" fillId="0" borderId="60" xfId="0" applyFont="1" applyBorder="1" applyAlignment="1">
      <alignment horizontal="center" vertical="center"/>
    </xf>
    <xf numFmtId="0" fontId="25" fillId="0" borderId="107" xfId="0" applyFont="1" applyBorder="1" applyAlignment="1">
      <alignment horizontal="center" vertical="center"/>
    </xf>
    <xf numFmtId="2" fontId="25" fillId="0" borderId="123" xfId="0" applyNumberFormat="1" applyFont="1" applyBorder="1" applyAlignment="1">
      <alignment horizontal="center" vertical="center"/>
    </xf>
    <xf numFmtId="2" fontId="25" fillId="0" borderId="54" xfId="0" applyNumberFormat="1" applyFont="1" applyBorder="1" applyAlignment="1">
      <alignment horizontal="center" vertical="center"/>
    </xf>
    <xf numFmtId="2" fontId="25" fillId="0" borderId="74" xfId="0" applyNumberFormat="1" applyFont="1" applyBorder="1" applyAlignment="1">
      <alignment horizontal="center" vertical="center"/>
    </xf>
    <xf numFmtId="165" fontId="25" fillId="0" borderId="28" xfId="0" applyNumberFormat="1" applyFont="1" applyBorder="1" applyAlignment="1">
      <alignment horizontal="center" vertical="center"/>
    </xf>
    <xf numFmtId="165" fontId="25" fillId="0" borderId="9" xfId="0" applyNumberFormat="1" applyFont="1" applyBorder="1" applyAlignment="1">
      <alignment horizontal="center" vertical="center"/>
    </xf>
    <xf numFmtId="165" fontId="25" fillId="0" borderId="89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14" xfId="0" applyBorder="1" applyAlignment="1">
      <alignment horizontal="center" vertical="center" wrapText="1"/>
    </xf>
    <xf numFmtId="0" fontId="0" fillId="0" borderId="215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72" xfId="0" applyBorder="1" applyAlignment="1">
      <alignment horizontal="center" vertical="center"/>
    </xf>
    <xf numFmtId="0" fontId="0" fillId="0" borderId="0" xfId="0" applyAlignment="1">
      <alignment horizontal="left"/>
    </xf>
    <xf numFmtId="0" fontId="23" fillId="0" borderId="260" xfId="0" applyFont="1" applyBorder="1" applyAlignment="1">
      <alignment horizontal="center" vertical="center"/>
    </xf>
    <xf numFmtId="0" fontId="23" fillId="0" borderId="223" xfId="0" applyFont="1" applyBorder="1" applyAlignment="1">
      <alignment horizontal="center" vertical="center"/>
    </xf>
    <xf numFmtId="0" fontId="23" fillId="0" borderId="228" xfId="0" applyFont="1" applyBorder="1" applyAlignment="1">
      <alignment horizontal="center" wrapText="1"/>
    </xf>
    <xf numFmtId="0" fontId="23" fillId="0" borderId="145" xfId="0" applyFont="1" applyBorder="1" applyAlignment="1">
      <alignment horizontal="center" wrapText="1"/>
    </xf>
    <xf numFmtId="166" fontId="23" fillId="0" borderId="82" xfId="0" applyNumberFormat="1" applyFont="1" applyBorder="1" applyAlignment="1">
      <alignment horizontal="center" vertical="center"/>
    </xf>
    <xf numFmtId="166" fontId="23" fillId="0" borderId="84" xfId="0" applyNumberFormat="1" applyFont="1" applyBorder="1" applyAlignment="1">
      <alignment horizontal="center" vertical="center"/>
    </xf>
    <xf numFmtId="166" fontId="23" fillId="0" borderId="221" xfId="0" applyNumberFormat="1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38" xfId="0" applyFont="1" applyBorder="1" applyAlignment="1">
      <alignment horizontal="center" vertical="center"/>
    </xf>
    <xf numFmtId="0" fontId="0" fillId="0" borderId="235" xfId="0" applyBorder="1" applyAlignment="1">
      <alignment horizontal="center"/>
    </xf>
    <xf numFmtId="0" fontId="0" fillId="0" borderId="227" xfId="0" applyBorder="1" applyAlignment="1">
      <alignment horizontal="center" vertical="center" wrapText="1"/>
    </xf>
    <xf numFmtId="0" fontId="0" fillId="0" borderId="212" xfId="0" applyBorder="1" applyAlignment="1">
      <alignment horizontal="center" vertical="center" wrapText="1"/>
    </xf>
    <xf numFmtId="0" fontId="0" fillId="0" borderId="301" xfId="0" applyBorder="1" applyAlignment="1">
      <alignment horizontal="center" vertical="center" wrapText="1"/>
    </xf>
    <xf numFmtId="0" fontId="25" fillId="0" borderId="208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69" xfId="0" applyFont="1" applyBorder="1" applyAlignment="1">
      <alignment horizontal="center" vertical="center"/>
    </xf>
    <xf numFmtId="0" fontId="0" fillId="0" borderId="154" xfId="0" applyBorder="1" applyAlignment="1">
      <alignment horizontal="center"/>
    </xf>
    <xf numFmtId="0" fontId="17" fillId="0" borderId="71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/>
    </xf>
    <xf numFmtId="166" fontId="17" fillId="0" borderId="232" xfId="0" applyNumberFormat="1" applyFont="1" applyBorder="1" applyAlignment="1">
      <alignment horizontal="center" vertical="center"/>
    </xf>
    <xf numFmtId="166" fontId="17" fillId="0" borderId="233" xfId="0" applyNumberFormat="1" applyFont="1" applyBorder="1" applyAlignment="1">
      <alignment horizontal="center" vertical="center"/>
    </xf>
    <xf numFmtId="166" fontId="17" fillId="0" borderId="294" xfId="0" applyNumberFormat="1" applyFont="1" applyBorder="1" applyAlignment="1">
      <alignment horizontal="center" vertical="center"/>
    </xf>
    <xf numFmtId="0" fontId="23" fillId="0" borderId="35" xfId="0" applyFont="1" applyBorder="1" applyAlignment="1">
      <alignment horizontal="center"/>
    </xf>
    <xf numFmtId="0" fontId="23" fillId="0" borderId="167" xfId="0" applyFont="1" applyBorder="1" applyAlignment="1">
      <alignment horizontal="center"/>
    </xf>
    <xf numFmtId="0" fontId="23" fillId="0" borderId="36" xfId="0" applyFont="1" applyBorder="1" applyAlignment="1">
      <alignment horizontal="center"/>
    </xf>
    <xf numFmtId="0" fontId="23" fillId="0" borderId="134" xfId="0" applyFont="1" applyBorder="1" applyAlignment="1">
      <alignment horizontal="center"/>
    </xf>
    <xf numFmtId="0" fontId="23" fillId="0" borderId="186" xfId="0" applyFont="1" applyBorder="1" applyAlignment="1">
      <alignment horizontal="center" vertical="center"/>
    </xf>
    <xf numFmtId="0" fontId="23" fillId="0" borderId="76" xfId="0" applyFont="1" applyBorder="1" applyAlignment="1">
      <alignment horizontal="center" vertical="center"/>
    </xf>
    <xf numFmtId="0" fontId="23" fillId="0" borderId="77" xfId="0" applyFont="1" applyBorder="1" applyAlignment="1">
      <alignment horizontal="center" vertical="center"/>
    </xf>
    <xf numFmtId="0" fontId="17" fillId="0" borderId="216" xfId="0" applyFont="1" applyBorder="1" applyAlignment="1">
      <alignment horizontal="center"/>
    </xf>
    <xf numFmtId="0" fontId="17" fillId="0" borderId="154" xfId="0" applyFont="1" applyBorder="1" applyAlignment="1">
      <alignment horizontal="center"/>
    </xf>
    <xf numFmtId="0" fontId="17" fillId="0" borderId="171" xfId="0" applyFont="1" applyBorder="1" applyAlignment="1">
      <alignment horizontal="center"/>
    </xf>
    <xf numFmtId="0" fontId="17" fillId="0" borderId="273" xfId="0" applyFont="1" applyBorder="1" applyAlignment="1">
      <alignment horizontal="center"/>
    </xf>
    <xf numFmtId="0" fontId="40" fillId="0" borderId="83" xfId="0" applyFont="1" applyBorder="1" applyAlignment="1">
      <alignment horizontal="center" vertical="center"/>
    </xf>
    <xf numFmtId="0" fontId="40" fillId="0" borderId="238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35" xfId="0" applyFont="1" applyBorder="1" applyAlignment="1">
      <alignment horizontal="center" vertical="center"/>
    </xf>
    <xf numFmtId="0" fontId="17" fillId="0" borderId="76" xfId="0" applyFont="1" applyBorder="1" applyAlignment="1">
      <alignment horizontal="center" vertical="center"/>
    </xf>
    <xf numFmtId="0" fontId="17" fillId="0" borderId="207" xfId="0" applyFont="1" applyBorder="1" applyAlignment="1">
      <alignment horizontal="center" vertical="center"/>
    </xf>
    <xf numFmtId="0" fontId="23" fillId="0" borderId="224" xfId="0" applyFont="1" applyBorder="1" applyAlignment="1">
      <alignment horizontal="center" vertical="center"/>
    </xf>
    <xf numFmtId="0" fontId="23" fillId="0" borderId="121" xfId="0" applyFont="1" applyBorder="1" applyAlignment="1">
      <alignment horizontal="center" vertical="center"/>
    </xf>
    <xf numFmtId="0" fontId="0" fillId="0" borderId="239" xfId="0" applyBorder="1" applyAlignment="1">
      <alignment horizontal="center" wrapText="1"/>
    </xf>
    <xf numFmtId="0" fontId="0" fillId="0" borderId="240" xfId="0" applyBorder="1" applyAlignment="1">
      <alignment horizontal="center" wrapText="1"/>
    </xf>
    <xf numFmtId="0" fontId="23" fillId="0" borderId="111" xfId="0" applyFont="1" applyBorder="1" applyAlignment="1">
      <alignment horizontal="center"/>
    </xf>
    <xf numFmtId="0" fontId="0" fillId="0" borderId="238" xfId="0" applyBorder="1" applyAlignment="1">
      <alignment horizontal="center" wrapText="1"/>
    </xf>
    <xf numFmtId="0" fontId="0" fillId="0" borderId="204" xfId="0" applyBorder="1" applyAlignment="1">
      <alignment horizontal="center" wrapText="1"/>
    </xf>
    <xf numFmtId="0" fontId="35" fillId="0" borderId="224" xfId="0" applyFont="1" applyBorder="1" applyAlignment="1">
      <alignment horizontal="center" vertical="center"/>
    </xf>
    <xf numFmtId="0" fontId="35" fillId="0" borderId="223" xfId="0" applyFont="1" applyBorder="1" applyAlignment="1">
      <alignment horizontal="center" vertical="center"/>
    </xf>
    <xf numFmtId="0" fontId="35" fillId="0" borderId="121" xfId="0" applyFont="1" applyBorder="1" applyAlignment="1">
      <alignment horizontal="center" vertical="center"/>
    </xf>
    <xf numFmtId="0" fontId="23" fillId="0" borderId="209" xfId="0" applyFont="1" applyBorder="1" applyAlignment="1">
      <alignment horizontal="center"/>
    </xf>
    <xf numFmtId="164" fontId="23" fillId="0" borderId="166" xfId="0" applyNumberFormat="1" applyFont="1" applyBorder="1" applyAlignment="1">
      <alignment horizontal="center"/>
    </xf>
    <xf numFmtId="164" fontId="23" fillId="0" borderId="36" xfId="0" applyNumberFormat="1" applyFont="1" applyBorder="1" applyAlignment="1">
      <alignment horizontal="center"/>
    </xf>
    <xf numFmtId="166" fontId="23" fillId="0" borderId="216" xfId="0" applyNumberFormat="1" applyFont="1" applyBorder="1" applyAlignment="1">
      <alignment horizontal="center"/>
    </xf>
    <xf numFmtId="166" fontId="23" fillId="0" borderId="217" xfId="0" applyNumberFormat="1" applyFont="1" applyBorder="1" applyAlignment="1">
      <alignment horizontal="center"/>
    </xf>
    <xf numFmtId="164" fontId="23" fillId="0" borderId="75" xfId="0" applyNumberFormat="1" applyFont="1" applyBorder="1" applyAlignment="1">
      <alignment horizontal="center"/>
    </xf>
    <xf numFmtId="164" fontId="23" fillId="0" borderId="210" xfId="0" applyNumberFormat="1" applyFont="1" applyBorder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51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979"/>
      <color rgb="FF76933C"/>
      <color rgb="FF7030A0"/>
      <color rgb="FFE4DFEC"/>
      <color rgb="FFFF7D7D"/>
      <color rgb="FFFF6565"/>
      <color rgb="FFFF5353"/>
      <color rgb="FF354F6B"/>
      <color rgb="FFD9D9D9"/>
      <color rgb="FFA77D2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239</xdr:col>
      <xdr:colOff>180974</xdr:colOff>
      <xdr:row>8</xdr:row>
      <xdr:rowOff>111918</xdr:rowOff>
    </xdr:from>
    <xdr:to>
      <xdr:col>239</xdr:col>
      <xdr:colOff>2619374</xdr:colOff>
      <xdr:row>21</xdr:row>
      <xdr:rowOff>142874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4546755" y="2016918"/>
          <a:ext cx="2438400" cy="2507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57150</xdr:colOff>
          <xdr:row>156</xdr:row>
          <xdr:rowOff>66675</xdr:rowOff>
        </xdr:from>
        <xdr:to>
          <xdr:col>33</xdr:col>
          <xdr:colOff>314325</xdr:colOff>
          <xdr:row>157</xdr:row>
          <xdr:rowOff>180975</xdr:rowOff>
        </xdr:to>
        <xdr:sp macro="" textlink="">
          <xdr:nvSpPr>
            <xdr:cNvPr id="63558" name="CommandButton1" hidden="1">
              <a:extLst>
                <a:ext uri="{63B3BB69-23CF-44E3-9099-C40C66FF867C}">
                  <a14:compatExt spid="_x0000_s63558"/>
                </a:ext>
                <a:ext uri="{FF2B5EF4-FFF2-40B4-BE49-F238E27FC236}">
                  <a16:creationId xmlns:a16="http://schemas.microsoft.com/office/drawing/2014/main" id="{00000000-0008-0000-0200-00004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4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4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2"/>
  <sheetViews>
    <sheetView showGridLines="0" zoomScaleNormal="100" workbookViewId="0">
      <selection activeCell="I26" sqref="I26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6.42578125" style="31" bestFit="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2" bestFit="1" customWidth="1"/>
  </cols>
  <sheetData>
    <row r="1" spans="1:55" x14ac:dyDescent="0.25">
      <c r="C1" s="1158" t="s">
        <v>77</v>
      </c>
      <c r="D1" s="1158"/>
      <c r="E1" s="1158"/>
      <c r="F1" s="1158"/>
      <c r="G1" s="1158"/>
      <c r="H1" s="1158"/>
      <c r="I1" s="1158"/>
      <c r="J1" s="1158"/>
      <c r="K1" s="1158"/>
      <c r="BC1" s="419"/>
    </row>
    <row r="2" spans="1:55" ht="15.75" thickBot="1" x14ac:dyDescent="0.3">
      <c r="B2" s="460"/>
      <c r="C2" s="461">
        <v>1</v>
      </c>
      <c r="D2" s="462">
        <f t="shared" ref="D2:K2" si="0">C2+1</f>
        <v>2</v>
      </c>
      <c r="E2" s="462">
        <f t="shared" si="0"/>
        <v>3</v>
      </c>
      <c r="F2" s="462">
        <f t="shared" si="0"/>
        <v>4</v>
      </c>
      <c r="G2" s="462">
        <f t="shared" si="0"/>
        <v>5</v>
      </c>
      <c r="H2" s="462">
        <f t="shared" si="0"/>
        <v>6</v>
      </c>
      <c r="I2" s="462">
        <f t="shared" si="0"/>
        <v>7</v>
      </c>
      <c r="J2" s="462">
        <f t="shared" si="0"/>
        <v>8</v>
      </c>
      <c r="K2" s="462">
        <f t="shared" si="0"/>
        <v>9</v>
      </c>
      <c r="BC2" s="419"/>
    </row>
    <row r="3" spans="1:55" x14ac:dyDescent="0.25">
      <c r="B3" s="458">
        <v>0.1</v>
      </c>
      <c r="C3" s="463" t="s">
        <v>68</v>
      </c>
      <c r="D3" s="464" t="s">
        <v>69</v>
      </c>
      <c r="E3" s="465" t="s">
        <v>70</v>
      </c>
      <c r="F3" s="466" t="s">
        <v>66</v>
      </c>
      <c r="G3" s="467" t="s">
        <v>71</v>
      </c>
      <c r="H3" s="468" t="s">
        <v>72</v>
      </c>
      <c r="I3" s="469" t="s">
        <v>73</v>
      </c>
      <c r="J3" s="470" t="s">
        <v>74</v>
      </c>
      <c r="K3" s="471" t="s">
        <v>75</v>
      </c>
      <c r="BC3" s="419"/>
    </row>
    <row r="4" spans="1:55" x14ac:dyDescent="0.25">
      <c r="B4" s="459">
        <v>0.2</v>
      </c>
      <c r="C4" s="472" t="s">
        <v>298</v>
      </c>
      <c r="D4" s="473" t="s">
        <v>293</v>
      </c>
      <c r="E4" s="474" t="s">
        <v>294</v>
      </c>
      <c r="F4" s="475" t="s">
        <v>299</v>
      </c>
      <c r="G4" s="476" t="s">
        <v>300</v>
      </c>
      <c r="H4" s="477" t="s">
        <v>301</v>
      </c>
      <c r="I4" s="478" t="s">
        <v>295</v>
      </c>
      <c r="J4" s="479" t="s">
        <v>296</v>
      </c>
      <c r="K4" s="480" t="s">
        <v>297</v>
      </c>
      <c r="BC4" s="419"/>
    </row>
    <row r="5" spans="1:55" x14ac:dyDescent="0.25">
      <c r="BC5" s="419"/>
    </row>
    <row r="6" spans="1:55" x14ac:dyDescent="0.25">
      <c r="A6" s="1069" t="s">
        <v>80</v>
      </c>
      <c r="B6" s="1069"/>
      <c r="C6" s="82" t="str">
        <f>SUBSTITUTE(ADDRESS(1,COLUMN(Assy.Model!B9),4),"1","")</f>
        <v>B</v>
      </c>
      <c r="BC6" s="419"/>
    </row>
    <row r="7" spans="1:55" x14ac:dyDescent="0.25">
      <c r="Q7" s="31"/>
      <c r="R7" s="31">
        <v>10</v>
      </c>
      <c r="S7" s="82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1314" t="s">
        <v>370</v>
      </c>
      <c r="AQ7" s="1314"/>
      <c r="AR7" s="1314"/>
      <c r="BC7" s="419"/>
    </row>
    <row r="8" spans="1:55" x14ac:dyDescent="0.25">
      <c r="B8" s="31"/>
      <c r="C8" s="99"/>
      <c r="D8" s="99"/>
      <c r="E8" s="99"/>
      <c r="F8" s="99"/>
      <c r="G8" s="99"/>
      <c r="Q8" s="31"/>
      <c r="R8" s="82">
        <f>R7</f>
        <v>10</v>
      </c>
      <c r="S8" s="82">
        <f t="shared" ref="S8:AE8" si="1">R8+$S$7</f>
        <v>10.65934076923077</v>
      </c>
      <c r="T8" s="82">
        <f t="shared" si="1"/>
        <v>11.31868153846154</v>
      </c>
      <c r="U8" s="82">
        <f t="shared" si="1"/>
        <v>11.97802230769231</v>
      </c>
      <c r="V8" s="82">
        <f t="shared" si="1"/>
        <v>12.63736307692308</v>
      </c>
      <c r="W8" s="82">
        <f t="shared" si="1"/>
        <v>13.29670384615385</v>
      </c>
      <c r="X8" s="82">
        <f t="shared" si="1"/>
        <v>13.95604461538462</v>
      </c>
      <c r="Y8" s="82">
        <f t="shared" si="1"/>
        <v>14.61538538461539</v>
      </c>
      <c r="Z8" s="82">
        <f t="shared" si="1"/>
        <v>15.27472615384616</v>
      </c>
      <c r="AA8" s="82">
        <f t="shared" si="1"/>
        <v>15.93406692307693</v>
      </c>
      <c r="AB8" s="82">
        <f t="shared" si="1"/>
        <v>16.5934076923077</v>
      </c>
      <c r="AC8" s="82">
        <f t="shared" si="1"/>
        <v>17.25274846153847</v>
      </c>
      <c r="AD8" s="82">
        <f t="shared" si="1"/>
        <v>17.91208923076924</v>
      </c>
      <c r="AE8" s="82">
        <f t="shared" si="1"/>
        <v>18.57143000000001</v>
      </c>
      <c r="AO8" s="31"/>
      <c r="AP8" s="199"/>
      <c r="AQ8" s="199"/>
      <c r="AR8" s="199"/>
      <c r="AS8" s="219"/>
      <c r="AT8" s="219"/>
      <c r="AU8" s="219"/>
      <c r="AV8" s="219"/>
      <c r="BC8" s="419"/>
    </row>
    <row r="9" spans="1:55" x14ac:dyDescent="0.25">
      <c r="A9" s="67"/>
      <c r="B9" s="57" t="s">
        <v>37</v>
      </c>
      <c r="C9" s="1317">
        <v>9</v>
      </c>
      <c r="D9" s="1085"/>
      <c r="E9" s="1085"/>
      <c r="F9" s="1085"/>
      <c r="G9" s="1085"/>
      <c r="H9" s="1085"/>
      <c r="I9" s="1085"/>
      <c r="J9" s="1085"/>
      <c r="K9" s="1318"/>
      <c r="Q9" s="95">
        <v>50</v>
      </c>
      <c r="R9" s="83">
        <f>$Q$9+R8</f>
        <v>60</v>
      </c>
      <c r="S9" s="83">
        <f t="shared" ref="S9:AE9" si="2">R9+S8</f>
        <v>70.659340769230766</v>
      </c>
      <c r="T9" s="83">
        <f t="shared" si="2"/>
        <v>81.978022307692299</v>
      </c>
      <c r="U9" s="83">
        <f t="shared" si="2"/>
        <v>93.956044615384613</v>
      </c>
      <c r="V9" s="83">
        <f t="shared" si="2"/>
        <v>106.59340769230769</v>
      </c>
      <c r="W9" s="83">
        <f t="shared" si="2"/>
        <v>119.89011153846154</v>
      </c>
      <c r="X9" s="83">
        <f t="shared" si="2"/>
        <v>133.84615615384615</v>
      </c>
      <c r="Y9" s="83">
        <f t="shared" si="2"/>
        <v>148.46154153846155</v>
      </c>
      <c r="Z9" s="83">
        <f t="shared" si="2"/>
        <v>163.73626769230771</v>
      </c>
      <c r="AA9" s="83">
        <f t="shared" si="2"/>
        <v>179.67033461538463</v>
      </c>
      <c r="AB9" s="83">
        <f t="shared" si="2"/>
        <v>196.26374230769233</v>
      </c>
      <c r="AC9" s="83">
        <f t="shared" si="2"/>
        <v>213.51649076923078</v>
      </c>
      <c r="AD9" s="83">
        <f t="shared" si="2"/>
        <v>231.42858000000001</v>
      </c>
      <c r="AE9" s="83">
        <f t="shared" si="2"/>
        <v>250.00001000000003</v>
      </c>
      <c r="AO9" s="31"/>
      <c r="AP9" s="199">
        <v>3.0000000000000001E-3</v>
      </c>
      <c r="AQ9" s="199"/>
      <c r="AR9" s="199"/>
      <c r="AS9" s="219">
        <v>-1E-3</v>
      </c>
      <c r="AT9" s="219">
        <v>1E-3</v>
      </c>
      <c r="AU9" s="219">
        <v>1E-3</v>
      </c>
      <c r="AV9" s="219">
        <v>4.0000000000000001E-3</v>
      </c>
      <c r="AW9" s="219"/>
      <c r="AX9" s="219"/>
      <c r="BC9" s="419"/>
    </row>
    <row r="10" spans="1:55" ht="3.95" customHeight="1" x14ac:dyDescent="0.25">
      <c r="A10" s="62"/>
      <c r="B10" s="1309"/>
      <c r="C10" s="1310"/>
      <c r="D10" s="1310"/>
      <c r="E10" s="1310"/>
      <c r="F10" s="1310"/>
      <c r="G10" s="1310"/>
      <c r="H10" s="58"/>
      <c r="I10" s="58"/>
      <c r="J10" s="59"/>
      <c r="K10" s="60"/>
      <c r="Q10" s="31"/>
      <c r="R10" s="82"/>
      <c r="S10" s="82"/>
      <c r="T10" s="82"/>
      <c r="U10" s="82"/>
      <c r="V10" s="82"/>
      <c r="W10" s="82"/>
      <c r="X10" s="82"/>
      <c r="Y10" s="82"/>
      <c r="Z10" s="82"/>
      <c r="AA10" s="82"/>
      <c r="AB10" s="82"/>
      <c r="AC10" s="82"/>
      <c r="AD10" s="82"/>
      <c r="AE10" s="82"/>
      <c r="BC10" s="419"/>
    </row>
    <row r="11" spans="1:55" ht="18" customHeight="1" x14ac:dyDescent="0.25">
      <c r="A11" s="1323"/>
      <c r="B11" s="1315" t="s">
        <v>33</v>
      </c>
      <c r="C11" s="1322" t="s">
        <v>34</v>
      </c>
      <c r="D11" s="1322"/>
      <c r="E11" s="1319" t="s">
        <v>39</v>
      </c>
      <c r="F11" s="1315" t="s">
        <v>35</v>
      </c>
      <c r="G11" s="1315" t="s">
        <v>36</v>
      </c>
      <c r="H11" s="1315" t="s">
        <v>43</v>
      </c>
      <c r="I11" s="1320" t="s">
        <v>67</v>
      </c>
      <c r="J11" s="1322" t="s">
        <v>56</v>
      </c>
      <c r="K11" s="1322"/>
      <c r="M11" s="31"/>
      <c r="N11" s="31"/>
      <c r="P11" s="71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1300" t="s">
        <v>338</v>
      </c>
      <c r="AN11" s="1085"/>
      <c r="AO11" s="1085"/>
      <c r="AP11" s="1085"/>
      <c r="AQ11" s="1085"/>
      <c r="AR11" s="1153"/>
      <c r="AS11" s="1303" t="s">
        <v>345</v>
      </c>
      <c r="AT11" s="1067"/>
      <c r="AU11" s="1067"/>
      <c r="AV11" s="1304"/>
      <c r="BC11" s="419"/>
    </row>
    <row r="12" spans="1:55" ht="15.75" thickBot="1" x14ac:dyDescent="0.3">
      <c r="A12" s="1324"/>
      <c r="B12" s="1316"/>
      <c r="C12" s="48" t="s">
        <v>8</v>
      </c>
      <c r="D12" s="49" t="s">
        <v>10</v>
      </c>
      <c r="E12" s="1316"/>
      <c r="F12" s="1316"/>
      <c r="G12" s="1316"/>
      <c r="H12" s="1316"/>
      <c r="I12" s="1321"/>
      <c r="J12" s="52" t="s">
        <v>8</v>
      </c>
      <c r="K12" s="53" t="s">
        <v>10</v>
      </c>
      <c r="M12" s="31"/>
      <c r="N12" s="31"/>
      <c r="O12" s="1332" t="s">
        <v>46</v>
      </c>
      <c r="P12" s="1148"/>
      <c r="Q12" s="1150" t="s">
        <v>45</v>
      </c>
      <c r="R12" s="1151"/>
      <c r="S12" s="1151"/>
      <c r="T12" s="1151"/>
      <c r="U12" s="1151"/>
      <c r="V12" s="1151"/>
      <c r="W12" s="1151"/>
      <c r="X12" s="1151"/>
      <c r="Y12" s="1151"/>
      <c r="Z12" s="1151"/>
      <c r="AA12" s="1151"/>
      <c r="AB12" s="1151"/>
      <c r="AC12" s="1151"/>
      <c r="AD12" s="1151"/>
      <c r="AE12" s="1317"/>
      <c r="AF12" s="1326" t="s">
        <v>56</v>
      </c>
      <c r="AG12" s="1327"/>
      <c r="AH12" s="31"/>
      <c r="AK12" s="981" t="s">
        <v>346</v>
      </c>
      <c r="AL12" s="1311"/>
      <c r="AM12" s="1301" t="s">
        <v>343</v>
      </c>
      <c r="AN12" s="982"/>
      <c r="AO12" s="983"/>
      <c r="AP12" s="981" t="s">
        <v>371</v>
      </c>
      <c r="AQ12" s="983"/>
      <c r="AR12" s="743" t="s">
        <v>369</v>
      </c>
      <c r="AS12" s="1048" t="s">
        <v>343</v>
      </c>
      <c r="AT12" s="983"/>
      <c r="AU12" s="1049" t="s">
        <v>344</v>
      </c>
      <c r="AV12" s="1079"/>
      <c r="AW12" s="1154" t="s">
        <v>342</v>
      </c>
      <c r="AX12" s="1289"/>
      <c r="AZ12" s="981" t="s">
        <v>60</v>
      </c>
      <c r="BA12" s="983"/>
      <c r="BC12" s="1302" t="s">
        <v>374</v>
      </c>
    </row>
    <row r="13" spans="1:55" ht="15.75" thickBot="1" x14ac:dyDescent="0.3">
      <c r="A13" s="63" t="s">
        <v>57</v>
      </c>
      <c r="B13" s="1305" t="s">
        <v>97</v>
      </c>
      <c r="C13" s="1307" t="str">
        <f>SUBSTITUTE(ADDRESS(1,COLUMN(Assy.Model!X9),4),"1","")</f>
        <v>X</v>
      </c>
      <c r="D13" s="97" t="str">
        <f>SUBSTITUTE(ADDRESS(1,COLUMN(Assy.Model!Y9),4),"1","")</f>
        <v>Y</v>
      </c>
      <c r="E13" s="1312" t="str">
        <f>SUBSTITUTE(ADDRESS(1,COLUMN(Assy.Model!H9),4),"1","")</f>
        <v>H</v>
      </c>
      <c r="F13" s="1312" t="str">
        <f>SUBSTITUTE(ADDRESS(1,COLUMN(Assy.Model!AN9),4),"1","")</f>
        <v>AN</v>
      </c>
      <c r="G13" s="1312" t="str">
        <f>SUBSTITUTE(ADDRESS(1,COLUMN(Assy.Model!AO9),4),"1","")</f>
        <v>AO</v>
      </c>
      <c r="H13" s="1312" t="str">
        <f>SUBSTITUTE(ADDRESS(1,COLUMN(Assy.Model!AO9),4),"1","")</f>
        <v>AO</v>
      </c>
      <c r="I13" s="1312" t="str">
        <f>SUBSTITUTE(ADDRESS(1,COLUMN(Assy.Model!Q9),4),"1","")</f>
        <v>Q</v>
      </c>
      <c r="J13" s="85">
        <v>0</v>
      </c>
      <c r="K13" s="86">
        <v>0</v>
      </c>
      <c r="M13" s="186">
        <v>1.5</v>
      </c>
      <c r="N13" s="31"/>
      <c r="O13" s="1333"/>
      <c r="P13" s="1334"/>
      <c r="Q13" s="72">
        <v>50</v>
      </c>
      <c r="R13" s="73">
        <f>Q13+10</f>
        <v>60</v>
      </c>
      <c r="S13" s="73">
        <f>R13+10</f>
        <v>70</v>
      </c>
      <c r="T13" s="73">
        <f>S13+10</f>
        <v>80</v>
      </c>
      <c r="U13" s="73">
        <v>90</v>
      </c>
      <c r="V13" s="73">
        <f>U13+10</f>
        <v>100</v>
      </c>
      <c r="W13" s="73">
        <f t="shared" ref="W13:AB13" si="3">V13+15</f>
        <v>115</v>
      </c>
      <c r="X13" s="73">
        <f t="shared" si="3"/>
        <v>130</v>
      </c>
      <c r="Y13" s="73">
        <f t="shared" si="3"/>
        <v>145</v>
      </c>
      <c r="Z13" s="73">
        <f t="shared" si="3"/>
        <v>160</v>
      </c>
      <c r="AA13" s="73">
        <f t="shared" si="3"/>
        <v>175</v>
      </c>
      <c r="AB13" s="73">
        <f t="shared" si="3"/>
        <v>190</v>
      </c>
      <c r="AC13" s="73">
        <f>AB13+20</f>
        <v>210</v>
      </c>
      <c r="AD13" s="73">
        <f>AC13+20</f>
        <v>230</v>
      </c>
      <c r="AE13" s="89">
        <f>AD13+20</f>
        <v>250</v>
      </c>
      <c r="AF13" s="90" t="s">
        <v>8</v>
      </c>
      <c r="AG13" s="53" t="s">
        <v>10</v>
      </c>
      <c r="AH13" s="31"/>
      <c r="AI13" t="s">
        <v>375</v>
      </c>
      <c r="AJ13" s="31" t="s">
        <v>373</v>
      </c>
      <c r="AK13" s="104" t="s">
        <v>337</v>
      </c>
      <c r="AL13" s="253" t="s">
        <v>336</v>
      </c>
      <c r="AM13" s="250" t="s">
        <v>328</v>
      </c>
      <c r="AN13" s="127" t="s">
        <v>60</v>
      </c>
      <c r="AO13" s="105" t="s">
        <v>329</v>
      </c>
      <c r="AP13" s="104" t="s">
        <v>339</v>
      </c>
      <c r="AQ13" s="105" t="s">
        <v>55</v>
      </c>
      <c r="AR13" s="215" t="s">
        <v>317</v>
      </c>
      <c r="AS13" s="212" t="s">
        <v>340</v>
      </c>
      <c r="AT13" s="105" t="s">
        <v>341</v>
      </c>
      <c r="AU13" s="128" t="s">
        <v>340</v>
      </c>
      <c r="AV13" s="123" t="s">
        <v>341</v>
      </c>
      <c r="AW13" s="128" t="s">
        <v>340</v>
      </c>
      <c r="AX13" s="105" t="s">
        <v>341</v>
      </c>
      <c r="AY13" s="31"/>
      <c r="AZ13" s="52" t="s">
        <v>368</v>
      </c>
      <c r="BA13" s="53" t="s">
        <v>60</v>
      </c>
      <c r="BC13" s="1302"/>
    </row>
    <row r="14" spans="1:55" x14ac:dyDescent="0.25">
      <c r="A14" s="61" t="s">
        <v>58</v>
      </c>
      <c r="B14" s="1306"/>
      <c r="C14" s="1308"/>
      <c r="D14" s="98" t="str">
        <f>SUBSTITUTE(ADDRESS(1,COLUMN(Assy.Model!AT9),4),"1","")</f>
        <v>AT</v>
      </c>
      <c r="E14" s="1313"/>
      <c r="F14" s="1313"/>
      <c r="G14" s="1313"/>
      <c r="H14" s="1313"/>
      <c r="I14" s="1313"/>
      <c r="J14" s="87">
        <v>0</v>
      </c>
      <c r="K14" s="88">
        <v>0</v>
      </c>
      <c r="L14" s="31"/>
      <c r="M14" s="185">
        <v>6.25E-2</v>
      </c>
      <c r="N14" s="31">
        <v>32</v>
      </c>
      <c r="O14" s="1330" t="s">
        <v>47</v>
      </c>
      <c r="P14" s="182">
        <f t="shared" ref="P14:P19" si="4">ROUND(M14/(1/N14),0)/N14</f>
        <v>6.25E-2</v>
      </c>
      <c r="Q14" s="76">
        <f t="shared" ref="Q14:AE20" si="5">IF(ROUNDDOWN(((Q$13*$P14*60)/12),0)&gt;$P$11,"",(Q$13*$P14*60)/12)</f>
        <v>15.625</v>
      </c>
      <c r="R14" s="77">
        <f t="shared" si="5"/>
        <v>18.75</v>
      </c>
      <c r="S14" s="77">
        <f t="shared" si="5"/>
        <v>21.875</v>
      </c>
      <c r="T14" s="77">
        <f t="shared" si="5"/>
        <v>25</v>
      </c>
      <c r="U14" s="77">
        <f t="shared" si="5"/>
        <v>28.125</v>
      </c>
      <c r="V14" s="77">
        <f t="shared" si="5"/>
        <v>31.25</v>
      </c>
      <c r="W14" s="77">
        <f t="shared" si="5"/>
        <v>35.9375</v>
      </c>
      <c r="X14" s="77">
        <f t="shared" si="5"/>
        <v>40.625</v>
      </c>
      <c r="Y14" s="77">
        <f t="shared" si="5"/>
        <v>45.3125</v>
      </c>
      <c r="Z14" s="77">
        <f t="shared" si="5"/>
        <v>50</v>
      </c>
      <c r="AA14" s="77">
        <f t="shared" si="5"/>
        <v>54.6875</v>
      </c>
      <c r="AB14" s="77">
        <f t="shared" si="5"/>
        <v>59.375</v>
      </c>
      <c r="AC14" s="77">
        <f t="shared" si="5"/>
        <v>65.625</v>
      </c>
      <c r="AD14" s="77">
        <f t="shared" si="5"/>
        <v>71.875</v>
      </c>
      <c r="AE14" s="77">
        <f t="shared" si="5"/>
        <v>78.125</v>
      </c>
      <c r="AF14" s="91">
        <v>32</v>
      </c>
      <c r="AG14" s="86">
        <v>18</v>
      </c>
      <c r="AH14" s="139"/>
      <c r="AI14" s="783">
        <f>ROUND(((ROUND(AP14,6)*1000000)+AQ14),6)</f>
        <v>438000.315</v>
      </c>
      <c r="AJ14" s="780" t="b">
        <f>TRUE</f>
        <v>1</v>
      </c>
      <c r="AK14" s="693">
        <v>1108</v>
      </c>
      <c r="AL14" s="749">
        <f t="shared" ref="AL14:AL19" si="6">AK14</f>
        <v>1108</v>
      </c>
      <c r="AM14" s="694">
        <v>0.433</v>
      </c>
      <c r="AN14" s="191">
        <f t="shared" ref="AN14:AN27" si="7">INDEX($BA$14:$BA$18,MATCH(RIGHT($AK14,2),$AZ$14:$AZ$18,0))</f>
        <v>0.315</v>
      </c>
      <c r="AO14" s="695"/>
      <c r="AP14" s="769">
        <f>($AM14+AP$9)+0.002</f>
        <v>0.438</v>
      </c>
      <c r="AQ14" s="698">
        <f t="shared" ref="AQ14:AQ27" si="8">($AN14-($AO14/2))</f>
        <v>0.315</v>
      </c>
      <c r="AR14" s="766">
        <f t="shared" ref="AR14:AR19" si="9">IF($AO14&lt;0,$AO14/2,$AM14/2)</f>
        <v>0.2165</v>
      </c>
      <c r="AS14" s="697">
        <f>($AM14+AS$9)</f>
        <v>0.432</v>
      </c>
      <c r="AT14" s="698">
        <f>($AM14+AT$9)</f>
        <v>0.434</v>
      </c>
      <c r="AU14" s="696">
        <f>($AP14+AU$9)</f>
        <v>0.439</v>
      </c>
      <c r="AV14" s="181">
        <f>($AP14+AV$9)</f>
        <v>0.442</v>
      </c>
      <c r="AW14" s="696">
        <f t="shared" ref="AW14:AW29" si="10">($AU14-$AT14)/2</f>
        <v>2.5000000000000022E-3</v>
      </c>
      <c r="AX14" s="698">
        <f t="shared" ref="AX14:AX29" si="11">($AV14-$AS14)/2</f>
        <v>5.0000000000000044E-3</v>
      </c>
      <c r="AY14" s="219"/>
      <c r="AZ14" s="748" t="s">
        <v>363</v>
      </c>
      <c r="BA14" s="695">
        <v>0.315</v>
      </c>
      <c r="BC14" s="82" cm="1">
        <f t="array" ref="BC14:BC31">_xlfn._xlws.FILTER(IF(AJ14:AJ36,AK14:AK36,""),IF(AJ14:AJ36,AK14:AK36,"")&lt;&gt;"")</f>
        <v>1108</v>
      </c>
    </row>
    <row r="15" spans="1:55" x14ac:dyDescent="0.25">
      <c r="A15" s="64"/>
      <c r="B15" s="65"/>
      <c r="C15" s="66" t="s">
        <v>38</v>
      </c>
      <c r="D15" s="66"/>
      <c r="E15" s="66"/>
      <c r="F15" s="66" t="s">
        <v>38</v>
      </c>
      <c r="G15" s="66"/>
      <c r="H15" s="66"/>
      <c r="I15" s="66"/>
      <c r="J15" s="64"/>
      <c r="K15" s="64"/>
      <c r="M15" s="166">
        <f t="shared" ref="M15:M20" si="12">M14*$M$13</f>
        <v>9.375E-2</v>
      </c>
      <c r="N15" s="31">
        <v>32</v>
      </c>
      <c r="O15" s="1330"/>
      <c r="P15" s="183">
        <f t="shared" si="4"/>
        <v>9.375E-2</v>
      </c>
      <c r="Q15" s="78">
        <f t="shared" si="5"/>
        <v>23.4375</v>
      </c>
      <c r="R15" s="79">
        <f t="shared" si="5"/>
        <v>28.125</v>
      </c>
      <c r="S15" s="79">
        <f t="shared" si="5"/>
        <v>32.8125</v>
      </c>
      <c r="T15" s="79">
        <f t="shared" si="5"/>
        <v>37.5</v>
      </c>
      <c r="U15" s="79">
        <f t="shared" si="5"/>
        <v>42.1875</v>
      </c>
      <c r="V15" s="79">
        <f t="shared" si="5"/>
        <v>46.875</v>
      </c>
      <c r="W15" s="79">
        <f t="shared" si="5"/>
        <v>53.90625</v>
      </c>
      <c r="X15" s="79">
        <f t="shared" si="5"/>
        <v>60.9375</v>
      </c>
      <c r="Y15" s="79">
        <f t="shared" si="5"/>
        <v>67.96875</v>
      </c>
      <c r="Z15" s="79">
        <f t="shared" si="5"/>
        <v>75</v>
      </c>
      <c r="AA15" s="79">
        <f t="shared" si="5"/>
        <v>82.03125</v>
      </c>
      <c r="AB15" s="79">
        <f t="shared" si="5"/>
        <v>89.0625</v>
      </c>
      <c r="AC15" s="79">
        <f t="shared" si="5"/>
        <v>98.4375</v>
      </c>
      <c r="AD15" s="79">
        <f t="shared" si="5"/>
        <v>107.8125</v>
      </c>
      <c r="AE15" s="79">
        <f t="shared" si="5"/>
        <v>117.1875</v>
      </c>
      <c r="AF15" s="93">
        <v>28</v>
      </c>
      <c r="AG15" s="94">
        <v>18</v>
      </c>
      <c r="AH15" s="74"/>
      <c r="AI15" s="783">
        <f t="shared" ref="AI15:AI28" si="13">ROUND(((ROUND(AP15,6)*1000000)+AQ15),6)</f>
        <v>438000.39399999997</v>
      </c>
      <c r="AJ15" s="780" t="b">
        <f>TRUE</f>
        <v>1</v>
      </c>
      <c r="AK15" s="683">
        <v>1110</v>
      </c>
      <c r="AL15" s="750">
        <f t="shared" si="6"/>
        <v>1110</v>
      </c>
      <c r="AM15" s="689">
        <v>0.433</v>
      </c>
      <c r="AN15" s="5">
        <f t="shared" si="7"/>
        <v>0.39400000000000002</v>
      </c>
      <c r="AO15" s="691"/>
      <c r="AP15" s="770">
        <f>($AM15+AP$9)+0.002</f>
        <v>0.438</v>
      </c>
      <c r="AQ15" s="8">
        <f t="shared" si="8"/>
        <v>0.39400000000000002</v>
      </c>
      <c r="AR15" s="177">
        <f t="shared" si="9"/>
        <v>0.2165</v>
      </c>
      <c r="AS15" s="4">
        <f t="shared" ref="AS15:AT29" si="14">($AM15+AS$9)</f>
        <v>0.432</v>
      </c>
      <c r="AT15" s="8">
        <f t="shared" si="14"/>
        <v>0.434</v>
      </c>
      <c r="AU15" s="173">
        <f t="shared" ref="AU15:AV27" si="15">($AP15+AU$9)</f>
        <v>0.439</v>
      </c>
      <c r="AV15" s="6">
        <f t="shared" si="15"/>
        <v>0.442</v>
      </c>
      <c r="AW15" s="173">
        <f t="shared" si="10"/>
        <v>2.5000000000000022E-3</v>
      </c>
      <c r="AX15" s="8">
        <f t="shared" si="11"/>
        <v>5.0000000000000044E-3</v>
      </c>
      <c r="AY15" s="219"/>
      <c r="AZ15" s="746" t="s">
        <v>364</v>
      </c>
      <c r="BA15" s="691">
        <v>0.39400000000000002</v>
      </c>
      <c r="BC15" s="82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66">
        <f t="shared" si="12"/>
        <v>0.140625</v>
      </c>
      <c r="N16" s="31">
        <v>32</v>
      </c>
      <c r="O16" s="1330"/>
      <c r="P16" s="183">
        <f t="shared" si="4"/>
        <v>0.15625</v>
      </c>
      <c r="Q16" s="78">
        <f t="shared" si="5"/>
        <v>39.0625</v>
      </c>
      <c r="R16" s="79">
        <f t="shared" si="5"/>
        <v>46.875</v>
      </c>
      <c r="S16" s="79">
        <f t="shared" si="5"/>
        <v>54.6875</v>
      </c>
      <c r="T16" s="79">
        <f t="shared" si="5"/>
        <v>62.5</v>
      </c>
      <c r="U16" s="79">
        <f t="shared" si="5"/>
        <v>70.3125</v>
      </c>
      <c r="V16" s="79">
        <f t="shared" si="5"/>
        <v>78.125</v>
      </c>
      <c r="W16" s="79">
        <f t="shared" si="5"/>
        <v>89.84375</v>
      </c>
      <c r="X16" s="79">
        <f t="shared" si="5"/>
        <v>101.5625</v>
      </c>
      <c r="Y16" s="79">
        <f t="shared" si="5"/>
        <v>113.28125</v>
      </c>
      <c r="Z16" s="79">
        <f t="shared" si="5"/>
        <v>125</v>
      </c>
      <c r="AA16" s="79">
        <f t="shared" si="5"/>
        <v>136.71875</v>
      </c>
      <c r="AB16" s="79">
        <f t="shared" si="5"/>
        <v>148.4375</v>
      </c>
      <c r="AC16" s="79">
        <f t="shared" si="5"/>
        <v>164.0625</v>
      </c>
      <c r="AD16" s="79">
        <f t="shared" si="5"/>
        <v>179.6875</v>
      </c>
      <c r="AE16" s="79">
        <f t="shared" si="5"/>
        <v>195.3125</v>
      </c>
      <c r="AF16" s="93">
        <v>24</v>
      </c>
      <c r="AG16" s="94">
        <v>18</v>
      </c>
      <c r="AH16" s="74"/>
      <c r="AI16" s="783">
        <f t="shared" si="13"/>
        <v>438000.42</v>
      </c>
      <c r="AJ16" s="780" t="b">
        <f>TRUE</f>
        <v>1</v>
      </c>
      <c r="AK16" s="683">
        <v>1111</v>
      </c>
      <c r="AL16" s="750">
        <f t="shared" si="6"/>
        <v>1111</v>
      </c>
      <c r="AM16" s="689">
        <v>0.433</v>
      </c>
      <c r="AN16" s="5">
        <f t="shared" si="7"/>
        <v>0.42</v>
      </c>
      <c r="AO16" s="691"/>
      <c r="AP16" s="770">
        <f>($AM16+AP$9)+0.002</f>
        <v>0.438</v>
      </c>
      <c r="AQ16" s="8">
        <f t="shared" si="8"/>
        <v>0.42</v>
      </c>
      <c r="AR16" s="177">
        <f t="shared" si="9"/>
        <v>0.2165</v>
      </c>
      <c r="AS16" s="4">
        <f t="shared" si="14"/>
        <v>0.432</v>
      </c>
      <c r="AT16" s="8">
        <f t="shared" si="14"/>
        <v>0.434</v>
      </c>
      <c r="AU16" s="173">
        <f t="shared" si="15"/>
        <v>0.439</v>
      </c>
      <c r="AV16" s="6">
        <f t="shared" si="15"/>
        <v>0.442</v>
      </c>
      <c r="AW16" s="173">
        <f t="shared" si="10"/>
        <v>2.5000000000000022E-3</v>
      </c>
      <c r="AX16" s="8">
        <f t="shared" si="11"/>
        <v>5.0000000000000044E-3</v>
      </c>
      <c r="AY16" s="219"/>
      <c r="AZ16" s="746" t="s">
        <v>365</v>
      </c>
      <c r="BA16" s="691">
        <v>0.42</v>
      </c>
      <c r="BC16" s="82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66">
        <f t="shared" si="12"/>
        <v>0.2109375</v>
      </c>
      <c r="N17" s="31">
        <v>32</v>
      </c>
      <c r="O17" s="1330"/>
      <c r="P17" s="183">
        <f t="shared" si="4"/>
        <v>0.21875</v>
      </c>
      <c r="Q17" s="78">
        <f t="shared" si="5"/>
        <v>54.6875</v>
      </c>
      <c r="R17" s="79">
        <f t="shared" si="5"/>
        <v>65.625</v>
      </c>
      <c r="S17" s="79">
        <f t="shared" si="5"/>
        <v>76.5625</v>
      </c>
      <c r="T17" s="79">
        <f t="shared" si="5"/>
        <v>87.5</v>
      </c>
      <c r="U17" s="79">
        <f t="shared" si="5"/>
        <v>98.4375</v>
      </c>
      <c r="V17" s="79">
        <f t="shared" si="5"/>
        <v>109.375</v>
      </c>
      <c r="W17" s="79">
        <f t="shared" si="5"/>
        <v>125.78125</v>
      </c>
      <c r="X17" s="79">
        <f t="shared" si="5"/>
        <v>142.1875</v>
      </c>
      <c r="Y17" s="79">
        <f t="shared" si="5"/>
        <v>158.59375</v>
      </c>
      <c r="Z17" s="79">
        <f t="shared" si="5"/>
        <v>175</v>
      </c>
      <c r="AA17" s="79">
        <f t="shared" si="5"/>
        <v>191.40625</v>
      </c>
      <c r="AB17" s="79">
        <f t="shared" si="5"/>
        <v>207.8125</v>
      </c>
      <c r="AC17" s="79">
        <f t="shared" si="5"/>
        <v>229.6875</v>
      </c>
      <c r="AD17" s="79">
        <f t="shared" si="5"/>
        <v>251.5625</v>
      </c>
      <c r="AE17" s="79">
        <f t="shared" si="5"/>
        <v>273.4375</v>
      </c>
      <c r="AF17" s="93">
        <v>20</v>
      </c>
      <c r="AG17" s="94">
        <v>18</v>
      </c>
      <c r="AH17" s="74"/>
      <c r="AI17" s="783">
        <f t="shared" si="13"/>
        <v>484000.52</v>
      </c>
      <c r="AJ17" s="780" t="b">
        <f>TRUE</f>
        <v>1</v>
      </c>
      <c r="AK17" s="683">
        <v>1213</v>
      </c>
      <c r="AL17" s="750">
        <f t="shared" si="6"/>
        <v>1213</v>
      </c>
      <c r="AM17" s="689">
        <v>0.48099999999999998</v>
      </c>
      <c r="AN17" s="5">
        <f t="shared" si="7"/>
        <v>0.52</v>
      </c>
      <c r="AO17" s="691"/>
      <c r="AP17" s="9">
        <f>($AM17+AP$9)</f>
        <v>0.48399999999999999</v>
      </c>
      <c r="AQ17" s="8">
        <f t="shared" si="8"/>
        <v>0.52</v>
      </c>
      <c r="AR17" s="177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3">
        <f t="shared" si="15"/>
        <v>0.48499999999999999</v>
      </c>
      <c r="AV17" s="6">
        <f t="shared" si="15"/>
        <v>0.48799999999999999</v>
      </c>
      <c r="AW17" s="173">
        <f t="shared" si="10"/>
        <v>1.5000000000000013E-3</v>
      </c>
      <c r="AX17" s="8">
        <f t="shared" si="11"/>
        <v>4.0000000000000036E-3</v>
      </c>
      <c r="AY17" s="219"/>
      <c r="AZ17" s="746" t="s">
        <v>366</v>
      </c>
      <c r="BA17" s="691">
        <v>0.52</v>
      </c>
      <c r="BC17" s="82">
        <v>1213</v>
      </c>
    </row>
    <row r="18" spans="2:55" x14ac:dyDescent="0.25">
      <c r="B18" s="31" t="s">
        <v>65</v>
      </c>
      <c r="C18" s="82" t="str">
        <f>SUBSTITUTE(ADDRESS(1,COLUMN(Assy.Model!AS9),4),"1","")</f>
        <v>AS</v>
      </c>
      <c r="D18" s="82">
        <f>ROW(Assy.Model!AS5)</f>
        <v>5</v>
      </c>
      <c r="E18" s="31"/>
      <c r="F18" s="31"/>
      <c r="G18" s="31"/>
      <c r="H18" s="31"/>
      <c r="I18" s="31"/>
      <c r="M18" s="166">
        <f t="shared" si="12"/>
        <v>0.31640625</v>
      </c>
      <c r="N18" s="31">
        <v>32</v>
      </c>
      <c r="O18" s="1330"/>
      <c r="P18" s="183">
        <f t="shared" si="4"/>
        <v>0.3125</v>
      </c>
      <c r="Q18" s="78">
        <f t="shared" si="5"/>
        <v>78.125</v>
      </c>
      <c r="R18" s="79">
        <f t="shared" si="5"/>
        <v>93.75</v>
      </c>
      <c r="S18" s="79">
        <f t="shared" si="5"/>
        <v>109.375</v>
      </c>
      <c r="T18" s="79">
        <f t="shared" si="5"/>
        <v>125</v>
      </c>
      <c r="U18" s="79">
        <f t="shared" si="5"/>
        <v>140.625</v>
      </c>
      <c r="V18" s="79">
        <f t="shared" si="5"/>
        <v>156.25</v>
      </c>
      <c r="W18" s="79">
        <f t="shared" si="5"/>
        <v>179.6875</v>
      </c>
      <c r="X18" s="79">
        <f t="shared" si="5"/>
        <v>203.125</v>
      </c>
      <c r="Y18" s="79">
        <f t="shared" si="5"/>
        <v>226.5625</v>
      </c>
      <c r="Z18" s="79">
        <f t="shared" si="5"/>
        <v>250</v>
      </c>
      <c r="AA18" s="79">
        <f t="shared" si="5"/>
        <v>273.4375</v>
      </c>
      <c r="AB18" s="79">
        <f t="shared" si="5"/>
        <v>296.875</v>
      </c>
      <c r="AC18" s="79">
        <f t="shared" si="5"/>
        <v>328.125</v>
      </c>
      <c r="AD18" s="79" t="str">
        <f t="shared" si="5"/>
        <v/>
      </c>
      <c r="AE18" s="79" t="str">
        <f t="shared" si="5"/>
        <v/>
      </c>
      <c r="AF18" s="93">
        <v>16</v>
      </c>
      <c r="AG18" s="94">
        <v>18</v>
      </c>
      <c r="AH18" s="74"/>
      <c r="AI18" s="783">
        <f t="shared" si="13"/>
        <v>532000.31499999994</v>
      </c>
      <c r="AJ18" s="780" t="b">
        <f>TRUE</f>
        <v>1</v>
      </c>
      <c r="AK18" s="683">
        <v>1308</v>
      </c>
      <c r="AL18" s="750">
        <f t="shared" si="6"/>
        <v>1308</v>
      </c>
      <c r="AM18" s="689">
        <v>0.52900000000000003</v>
      </c>
      <c r="AN18" s="5">
        <f t="shared" si="7"/>
        <v>0.315</v>
      </c>
      <c r="AO18" s="691"/>
      <c r="AP18" s="9">
        <f t="shared" ref="AP18:AP27" si="16">($AM18+AP$9)</f>
        <v>0.53200000000000003</v>
      </c>
      <c r="AQ18" s="8">
        <f t="shared" si="8"/>
        <v>0.315</v>
      </c>
      <c r="AR18" s="177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3">
        <f t="shared" si="15"/>
        <v>0.53300000000000003</v>
      </c>
      <c r="AV18" s="6">
        <f t="shared" ref="AV18:AV27" si="17">($AP18+AV$9)</f>
        <v>0.53600000000000003</v>
      </c>
      <c r="AW18" s="173">
        <f t="shared" si="10"/>
        <v>1.5000000000000013E-3</v>
      </c>
      <c r="AX18" s="8">
        <f t="shared" si="11"/>
        <v>4.0000000000000036E-3</v>
      </c>
      <c r="AY18" s="219"/>
      <c r="AZ18" s="747" t="s">
        <v>367</v>
      </c>
      <c r="BA18" s="692">
        <v>0.63</v>
      </c>
      <c r="BC18" s="82">
        <v>1308</v>
      </c>
    </row>
    <row r="19" spans="2:55" x14ac:dyDescent="0.25">
      <c r="B19" s="31" t="s">
        <v>79</v>
      </c>
      <c r="C19" s="74">
        <v>10.625</v>
      </c>
      <c r="D19" s="31"/>
      <c r="E19" s="31"/>
      <c r="F19" s="31"/>
      <c r="G19" s="31"/>
      <c r="H19" s="31"/>
      <c r="I19" s="31"/>
      <c r="M19" s="166">
        <f t="shared" si="12"/>
        <v>0.474609375</v>
      </c>
      <c r="N19" s="31">
        <v>32</v>
      </c>
      <c r="O19" s="1330"/>
      <c r="P19" s="183">
        <f t="shared" si="4"/>
        <v>0.46875</v>
      </c>
      <c r="Q19" s="78">
        <f t="shared" si="5"/>
        <v>117.1875</v>
      </c>
      <c r="R19" s="79">
        <f t="shared" si="5"/>
        <v>140.625</v>
      </c>
      <c r="S19" s="79">
        <f t="shared" si="5"/>
        <v>164.0625</v>
      </c>
      <c r="T19" s="79">
        <f t="shared" si="5"/>
        <v>187.5</v>
      </c>
      <c r="U19" s="79">
        <f t="shared" si="5"/>
        <v>210.9375</v>
      </c>
      <c r="V19" s="79">
        <f t="shared" si="5"/>
        <v>234.375</v>
      </c>
      <c r="W19" s="79">
        <f t="shared" si="5"/>
        <v>269.53125</v>
      </c>
      <c r="X19" s="79">
        <f t="shared" si="5"/>
        <v>304.6875</v>
      </c>
      <c r="Y19" s="79">
        <f t="shared" si="5"/>
        <v>339.84375</v>
      </c>
      <c r="Z19" s="79" t="str">
        <f t="shared" si="5"/>
        <v/>
      </c>
      <c r="AA19" s="79" t="str">
        <f t="shared" si="5"/>
        <v/>
      </c>
      <c r="AB19" s="79" t="str">
        <f t="shared" si="5"/>
        <v/>
      </c>
      <c r="AC19" s="79" t="str">
        <f t="shared" si="5"/>
        <v/>
      </c>
      <c r="AD19" s="79" t="str">
        <f t="shared" si="5"/>
        <v/>
      </c>
      <c r="AE19" s="79" t="str">
        <f t="shared" si="5"/>
        <v/>
      </c>
      <c r="AF19" s="93">
        <v>8</v>
      </c>
      <c r="AG19" s="94">
        <v>18</v>
      </c>
      <c r="AH19" s="74"/>
      <c r="AI19" s="783">
        <f t="shared" si="13"/>
        <v>532000.39399999997</v>
      </c>
      <c r="AJ19" s="780" t="b">
        <f>TRUE</f>
        <v>1</v>
      </c>
      <c r="AK19" s="683">
        <v>1310</v>
      </c>
      <c r="AL19" s="750">
        <f t="shared" si="6"/>
        <v>1310</v>
      </c>
      <c r="AM19" s="689">
        <v>0.52900000000000003</v>
      </c>
      <c r="AN19" s="5">
        <f t="shared" si="7"/>
        <v>0.39400000000000002</v>
      </c>
      <c r="AO19" s="691"/>
      <c r="AP19" s="9">
        <f t="shared" si="16"/>
        <v>0.53200000000000003</v>
      </c>
      <c r="AQ19" s="8">
        <f t="shared" si="8"/>
        <v>0.39400000000000002</v>
      </c>
      <c r="AR19" s="177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3">
        <f t="shared" si="15"/>
        <v>0.53300000000000003</v>
      </c>
      <c r="AV19" s="6">
        <f t="shared" si="17"/>
        <v>0.53600000000000003</v>
      </c>
      <c r="AW19" s="173">
        <f t="shared" si="10"/>
        <v>1.5000000000000013E-3</v>
      </c>
      <c r="AX19" s="8">
        <f t="shared" si="11"/>
        <v>4.0000000000000036E-3</v>
      </c>
      <c r="BC19" s="82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66">
        <f t="shared" si="12"/>
        <v>0.7119140625</v>
      </c>
      <c r="N20" s="31">
        <v>32</v>
      </c>
      <c r="O20" s="1331"/>
      <c r="P20" s="184">
        <f>ROUND(M20/(1/N20),0)/N20</f>
        <v>0.71875</v>
      </c>
      <c r="Q20" s="80">
        <f t="shared" si="5"/>
        <v>179.6875</v>
      </c>
      <c r="R20" s="81">
        <f t="shared" si="5"/>
        <v>215.625</v>
      </c>
      <c r="S20" s="81">
        <f t="shared" si="5"/>
        <v>251.5625</v>
      </c>
      <c r="T20" s="81">
        <f t="shared" si="5"/>
        <v>287.5</v>
      </c>
      <c r="U20" s="81">
        <f t="shared" si="5"/>
        <v>323.4375</v>
      </c>
      <c r="V20" s="81" t="str">
        <f t="shared" si="5"/>
        <v/>
      </c>
      <c r="W20" s="81" t="str">
        <f t="shared" si="5"/>
        <v/>
      </c>
      <c r="X20" s="81" t="str">
        <f t="shared" si="5"/>
        <v/>
      </c>
      <c r="Y20" s="81" t="str">
        <f t="shared" si="5"/>
        <v/>
      </c>
      <c r="Z20" s="81" t="str">
        <f t="shared" si="5"/>
        <v/>
      </c>
      <c r="AA20" s="81" t="str">
        <f t="shared" si="5"/>
        <v/>
      </c>
      <c r="AB20" s="81" t="str">
        <f t="shared" si="5"/>
        <v/>
      </c>
      <c r="AC20" s="81" t="str">
        <f t="shared" si="5"/>
        <v/>
      </c>
      <c r="AD20" s="81" t="str">
        <f t="shared" si="5"/>
        <v/>
      </c>
      <c r="AE20" s="81" t="str">
        <f t="shared" si="5"/>
        <v/>
      </c>
      <c r="AF20" s="92">
        <v>4</v>
      </c>
      <c r="AG20" s="88">
        <v>18</v>
      </c>
      <c r="AH20" s="74"/>
      <c r="AI20" s="783">
        <f t="shared" si="13"/>
        <v>532000.52</v>
      </c>
      <c r="AJ20" s="780" t="b">
        <f>TRUE</f>
        <v>1</v>
      </c>
      <c r="AK20" s="683">
        <v>1313</v>
      </c>
      <c r="AL20" s="750">
        <f t="shared" ref="AL20:AL27" si="18">AK20</f>
        <v>1313</v>
      </c>
      <c r="AM20" s="689">
        <v>0.52900000000000003</v>
      </c>
      <c r="AN20" s="5">
        <f t="shared" si="7"/>
        <v>0.52</v>
      </c>
      <c r="AO20" s="691"/>
      <c r="AP20" s="9">
        <f t="shared" si="16"/>
        <v>0.53200000000000003</v>
      </c>
      <c r="AQ20" s="8">
        <f t="shared" si="8"/>
        <v>0.52</v>
      </c>
      <c r="AR20" s="177">
        <f t="shared" ref="AR20:AR29" si="19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3">
        <f t="shared" si="15"/>
        <v>0.53300000000000003</v>
      </c>
      <c r="AV20" s="6">
        <f t="shared" si="17"/>
        <v>0.53600000000000003</v>
      </c>
      <c r="AW20" s="173">
        <f t="shared" si="10"/>
        <v>1.5000000000000013E-3</v>
      </c>
      <c r="AX20" s="8">
        <f t="shared" si="11"/>
        <v>4.0000000000000036E-3</v>
      </c>
      <c r="BC20" s="82">
        <v>1313</v>
      </c>
    </row>
    <row r="21" spans="2:55" x14ac:dyDescent="0.25">
      <c r="B21" s="1317" t="s">
        <v>64</v>
      </c>
      <c r="C21" s="1085"/>
      <c r="D21" s="1085"/>
      <c r="E21" s="1085"/>
      <c r="F21" s="1318"/>
      <c r="G21" s="31"/>
      <c r="H21" s="31"/>
      <c r="I21" s="31"/>
      <c r="AI21" s="783">
        <f t="shared" si="13"/>
        <v>580000.52</v>
      </c>
      <c r="AJ21" s="780" t="b">
        <f>TRUE</f>
        <v>1</v>
      </c>
      <c r="AK21" s="683">
        <v>1513</v>
      </c>
      <c r="AL21" s="750">
        <f t="shared" si="18"/>
        <v>1513</v>
      </c>
      <c r="AM21" s="689">
        <v>0.57699999999999996</v>
      </c>
      <c r="AN21" s="5">
        <f t="shared" si="7"/>
        <v>0.52</v>
      </c>
      <c r="AO21" s="691"/>
      <c r="AP21" s="9">
        <f t="shared" si="16"/>
        <v>0.57999999999999996</v>
      </c>
      <c r="AQ21" s="8">
        <f t="shared" si="8"/>
        <v>0.52</v>
      </c>
      <c r="AR21" s="177">
        <f t="shared" si="19"/>
        <v>0.28849999999999998</v>
      </c>
      <c r="AS21" s="4">
        <f t="shared" si="14"/>
        <v>0.57599999999999996</v>
      </c>
      <c r="AT21" s="8">
        <f t="shared" si="14"/>
        <v>0.57799999999999996</v>
      </c>
      <c r="AU21" s="173">
        <f t="shared" si="15"/>
        <v>0.58099999999999996</v>
      </c>
      <c r="AV21" s="6">
        <f t="shared" si="17"/>
        <v>0.58399999999999996</v>
      </c>
      <c r="AW21" s="173">
        <f t="shared" si="10"/>
        <v>1.5000000000000013E-3</v>
      </c>
      <c r="AX21" s="8">
        <f t="shared" si="11"/>
        <v>4.0000000000000036E-3</v>
      </c>
      <c r="BC21" s="82">
        <v>1513</v>
      </c>
    </row>
    <row r="22" spans="2:55" x14ac:dyDescent="0.25">
      <c r="B22" s="1323"/>
      <c r="C22" s="1317" t="s">
        <v>63</v>
      </c>
      <c r="D22" s="1318"/>
      <c r="E22" s="1320" t="s">
        <v>60</v>
      </c>
      <c r="F22" s="1320" t="s">
        <v>61</v>
      </c>
      <c r="G22" s="31"/>
      <c r="H22" s="31"/>
      <c r="I22" s="31"/>
      <c r="AI22" s="783">
        <f t="shared" si="13"/>
        <v>628000.31499999994</v>
      </c>
      <c r="AJ22" s="780" t="b">
        <f>TRUE</f>
        <v>1</v>
      </c>
      <c r="AK22" s="683">
        <v>1608</v>
      </c>
      <c r="AL22" s="750">
        <f t="shared" si="18"/>
        <v>1608</v>
      </c>
      <c r="AM22" s="689">
        <v>0.625</v>
      </c>
      <c r="AN22" s="5">
        <f t="shared" si="7"/>
        <v>0.315</v>
      </c>
      <c r="AO22" s="691"/>
      <c r="AP22" s="9">
        <f t="shared" si="16"/>
        <v>0.628</v>
      </c>
      <c r="AQ22" s="8">
        <f t="shared" si="8"/>
        <v>0.315</v>
      </c>
      <c r="AR22" s="177">
        <f t="shared" si="19"/>
        <v>0.3125</v>
      </c>
      <c r="AS22" s="4">
        <f t="shared" si="14"/>
        <v>0.624</v>
      </c>
      <c r="AT22" s="8">
        <f t="shared" si="14"/>
        <v>0.626</v>
      </c>
      <c r="AU22" s="173">
        <f t="shared" si="15"/>
        <v>0.629</v>
      </c>
      <c r="AV22" s="6">
        <f t="shared" si="17"/>
        <v>0.63200000000000001</v>
      </c>
      <c r="AW22" s="173">
        <f t="shared" si="10"/>
        <v>1.5000000000000013E-3</v>
      </c>
      <c r="AX22" s="8">
        <f t="shared" si="11"/>
        <v>4.0000000000000036E-3</v>
      </c>
      <c r="BC22" s="82">
        <v>1608</v>
      </c>
    </row>
    <row r="23" spans="2:55" ht="15.75" thickBot="1" x14ac:dyDescent="0.3">
      <c r="B23" s="1335"/>
      <c r="C23" s="56" t="s">
        <v>8</v>
      </c>
      <c r="D23" s="56" t="s">
        <v>9</v>
      </c>
      <c r="E23" s="1321"/>
      <c r="F23" s="1321"/>
      <c r="G23" s="31"/>
      <c r="H23" s="31"/>
      <c r="I23" s="31"/>
      <c r="N23" s="31"/>
      <c r="AI23" s="783">
        <f t="shared" si="13"/>
        <v>628000.39399999997</v>
      </c>
      <c r="AJ23" s="780" t="b">
        <f>TRUE</f>
        <v>1</v>
      </c>
      <c r="AK23" s="683">
        <v>1610</v>
      </c>
      <c r="AL23" s="750">
        <f t="shared" si="18"/>
        <v>1610</v>
      </c>
      <c r="AM23" s="689">
        <v>0.625</v>
      </c>
      <c r="AN23" s="5">
        <f t="shared" si="7"/>
        <v>0.39400000000000002</v>
      </c>
      <c r="AO23" s="691"/>
      <c r="AP23" s="9">
        <f t="shared" si="16"/>
        <v>0.628</v>
      </c>
      <c r="AQ23" s="8">
        <f t="shared" si="8"/>
        <v>0.39400000000000002</v>
      </c>
      <c r="AR23" s="177">
        <f t="shared" si="19"/>
        <v>0.3125</v>
      </c>
      <c r="AS23" s="4">
        <f t="shared" si="14"/>
        <v>0.624</v>
      </c>
      <c r="AT23" s="8">
        <f t="shared" si="14"/>
        <v>0.626</v>
      </c>
      <c r="AU23" s="173">
        <f t="shared" si="15"/>
        <v>0.629</v>
      </c>
      <c r="AV23" s="6">
        <f t="shared" si="17"/>
        <v>0.63200000000000001</v>
      </c>
      <c r="AW23" s="173">
        <f t="shared" si="10"/>
        <v>1.5000000000000013E-3</v>
      </c>
      <c r="AX23" s="8">
        <f t="shared" si="11"/>
        <v>4.0000000000000036E-3</v>
      </c>
      <c r="BC23" s="82">
        <v>1610</v>
      </c>
    </row>
    <row r="24" spans="2:55" x14ac:dyDescent="0.25">
      <c r="B24" s="54" t="s">
        <v>59</v>
      </c>
      <c r="C24" s="54">
        <v>0</v>
      </c>
      <c r="D24" s="1328">
        <v>0</v>
      </c>
      <c r="E24" s="1328">
        <v>2</v>
      </c>
      <c r="F24" s="1328">
        <v>270</v>
      </c>
      <c r="G24" s="31"/>
      <c r="H24" s="31"/>
      <c r="I24" s="31"/>
      <c r="N24" s="31"/>
      <c r="AI24" s="783">
        <f t="shared" si="13"/>
        <v>628000.52</v>
      </c>
      <c r="AJ24" s="780" t="b">
        <f>TRUE</f>
        <v>1</v>
      </c>
      <c r="AK24" s="683">
        <v>1613</v>
      </c>
      <c r="AL24" s="750">
        <f t="shared" si="18"/>
        <v>1613</v>
      </c>
      <c r="AM24" s="689">
        <v>0.625</v>
      </c>
      <c r="AN24" s="5">
        <f t="shared" si="7"/>
        <v>0.52</v>
      </c>
      <c r="AO24" s="691"/>
      <c r="AP24" s="9">
        <f t="shared" si="16"/>
        <v>0.628</v>
      </c>
      <c r="AQ24" s="8">
        <f t="shared" si="8"/>
        <v>0.52</v>
      </c>
      <c r="AR24" s="177">
        <f t="shared" si="19"/>
        <v>0.3125</v>
      </c>
      <c r="AS24" s="4">
        <f t="shared" si="14"/>
        <v>0.624</v>
      </c>
      <c r="AT24" s="8">
        <f t="shared" si="14"/>
        <v>0.626</v>
      </c>
      <c r="AU24" s="173">
        <f t="shared" si="15"/>
        <v>0.629</v>
      </c>
      <c r="AV24" s="6">
        <f t="shared" si="17"/>
        <v>0.63200000000000001</v>
      </c>
      <c r="AW24" s="173">
        <f t="shared" si="10"/>
        <v>1.5000000000000013E-3</v>
      </c>
      <c r="AX24" s="8">
        <f t="shared" si="11"/>
        <v>4.0000000000000036E-3</v>
      </c>
      <c r="BC24" s="82">
        <v>1613</v>
      </c>
    </row>
    <row r="25" spans="2:55" x14ac:dyDescent="0.25">
      <c r="B25" s="55" t="s">
        <v>62</v>
      </c>
      <c r="C25" s="84">
        <f>C19/2</f>
        <v>5.3125</v>
      </c>
      <c r="D25" s="1329"/>
      <c r="E25" s="1329"/>
      <c r="F25" s="1329"/>
      <c r="G25" s="31"/>
      <c r="H25" s="31"/>
      <c r="I25" s="31"/>
      <c r="AI25" s="783">
        <f t="shared" si="13"/>
        <v>668000.52</v>
      </c>
      <c r="AJ25" s="780" t="b">
        <f>TRUE</f>
        <v>1</v>
      </c>
      <c r="AK25" s="683">
        <v>1713</v>
      </c>
      <c r="AL25" s="750">
        <f t="shared" si="18"/>
        <v>1713</v>
      </c>
      <c r="AM25" s="689">
        <v>0.66500000000000004</v>
      </c>
      <c r="AN25" s="5">
        <f t="shared" si="7"/>
        <v>0.52</v>
      </c>
      <c r="AO25" s="691"/>
      <c r="AP25" s="9">
        <f t="shared" si="16"/>
        <v>0.66800000000000004</v>
      </c>
      <c r="AQ25" s="8">
        <f t="shared" si="8"/>
        <v>0.52</v>
      </c>
      <c r="AR25" s="177">
        <f t="shared" si="19"/>
        <v>0.33250000000000002</v>
      </c>
      <c r="AS25" s="4">
        <f t="shared" si="14"/>
        <v>0.66400000000000003</v>
      </c>
      <c r="AT25" s="8">
        <f t="shared" si="14"/>
        <v>0.66600000000000004</v>
      </c>
      <c r="AU25" s="173">
        <f t="shared" si="15"/>
        <v>0.66900000000000004</v>
      </c>
      <c r="AV25" s="6">
        <f t="shared" si="17"/>
        <v>0.67200000000000004</v>
      </c>
      <c r="AW25" s="173">
        <f t="shared" si="10"/>
        <v>1.5000000000000013E-3</v>
      </c>
      <c r="AX25" s="8">
        <f t="shared" si="11"/>
        <v>4.0000000000000036E-3</v>
      </c>
      <c r="BC25" s="82">
        <v>1713</v>
      </c>
    </row>
    <row r="26" spans="2:55" x14ac:dyDescent="0.25">
      <c r="G26" s="31"/>
      <c r="H26" s="31"/>
      <c r="I26" s="31"/>
      <c r="AI26" s="783">
        <f t="shared" si="13"/>
        <v>711000.52</v>
      </c>
      <c r="AJ26" s="780" t="b">
        <f>TRUE</f>
        <v>1</v>
      </c>
      <c r="AK26" s="683">
        <v>1813</v>
      </c>
      <c r="AL26" s="750">
        <f t="shared" si="18"/>
        <v>1813</v>
      </c>
      <c r="AM26" s="689">
        <v>0.70799999999999996</v>
      </c>
      <c r="AN26" s="5">
        <f t="shared" si="7"/>
        <v>0.52</v>
      </c>
      <c r="AO26" s="691"/>
      <c r="AP26" s="9">
        <f t="shared" si="16"/>
        <v>0.71099999999999997</v>
      </c>
      <c r="AQ26" s="8">
        <f t="shared" si="8"/>
        <v>0.52</v>
      </c>
      <c r="AR26" s="177">
        <f t="shared" si="19"/>
        <v>0.35399999999999998</v>
      </c>
      <c r="AS26" s="4">
        <f t="shared" si="14"/>
        <v>0.70699999999999996</v>
      </c>
      <c r="AT26" s="8">
        <f t="shared" si="14"/>
        <v>0.70899999999999996</v>
      </c>
      <c r="AU26" s="173">
        <f t="shared" si="15"/>
        <v>0.71199999999999997</v>
      </c>
      <c r="AV26" s="6">
        <f t="shared" si="17"/>
        <v>0.71499999999999997</v>
      </c>
      <c r="AW26" s="173">
        <f t="shared" si="10"/>
        <v>1.5000000000000013E-3</v>
      </c>
      <c r="AX26" s="8">
        <f t="shared" si="11"/>
        <v>4.0000000000000036E-3</v>
      </c>
      <c r="BC26" s="82">
        <v>1813</v>
      </c>
    </row>
    <row r="27" spans="2:55" ht="15.75" thickBot="1" x14ac:dyDescent="0.3">
      <c r="B27" s="1325" t="s">
        <v>302</v>
      </c>
      <c r="C27" s="1325"/>
      <c r="D27" s="1325"/>
      <c r="E27" s="1325"/>
      <c r="F27" s="1325"/>
      <c r="G27" s="31"/>
      <c r="H27" s="31"/>
      <c r="I27" s="31"/>
      <c r="AI27" s="783">
        <f t="shared" si="13"/>
        <v>753000.52</v>
      </c>
      <c r="AJ27" s="780" t="b">
        <f>TRUE</f>
        <v>1</v>
      </c>
      <c r="AK27" s="48">
        <v>1913</v>
      </c>
      <c r="AL27" s="751">
        <f t="shared" si="18"/>
        <v>1913</v>
      </c>
      <c r="AM27" s="752">
        <v>0.75</v>
      </c>
      <c r="AN27" s="494">
        <f t="shared" si="7"/>
        <v>0.52</v>
      </c>
      <c r="AO27" s="753"/>
      <c r="AP27" s="496">
        <f t="shared" si="16"/>
        <v>0.753</v>
      </c>
      <c r="AQ27" s="499">
        <f t="shared" si="8"/>
        <v>0.52</v>
      </c>
      <c r="AR27" s="506">
        <f t="shared" si="19"/>
        <v>0.375</v>
      </c>
      <c r="AS27" s="498">
        <f t="shared" si="14"/>
        <v>0.749</v>
      </c>
      <c r="AT27" s="499">
        <f t="shared" si="14"/>
        <v>0.751</v>
      </c>
      <c r="AU27" s="502">
        <f t="shared" si="15"/>
        <v>0.754</v>
      </c>
      <c r="AV27" s="497">
        <f t="shared" si="17"/>
        <v>0.75700000000000001</v>
      </c>
      <c r="AW27" s="502">
        <f t="shared" si="10"/>
        <v>1.5000000000000013E-3</v>
      </c>
      <c r="AX27" s="499">
        <f t="shared" si="11"/>
        <v>4.0000000000000036E-3</v>
      </c>
      <c r="BC27" s="82">
        <v>1913</v>
      </c>
    </row>
    <row r="28" spans="2:55" x14ac:dyDescent="0.25">
      <c r="B28" s="1083" t="s">
        <v>421</v>
      </c>
      <c r="C28" s="1083"/>
      <c r="D28" s="1083"/>
      <c r="E28" s="1083"/>
      <c r="F28" s="1083"/>
      <c r="G28" s="31"/>
      <c r="H28" s="31"/>
      <c r="I28" s="31"/>
      <c r="AI28" s="783">
        <f t="shared" si="13"/>
        <v>390000.212</v>
      </c>
      <c r="AJ28" s="780" t="b">
        <v>1</v>
      </c>
      <c r="AK28" s="754" t="s">
        <v>330</v>
      </c>
      <c r="AL28" s="755" t="s">
        <v>332</v>
      </c>
      <c r="AM28" s="756">
        <v>0.38</v>
      </c>
      <c r="AN28" s="757">
        <v>0.438</v>
      </c>
      <c r="AO28" s="758">
        <f>0.225*2</f>
        <v>0.45</v>
      </c>
      <c r="AP28" s="772">
        <f t="shared" ref="AP28:AP33" si="20">($AM28+AP$9)+0.007</f>
        <v>0.39</v>
      </c>
      <c r="AQ28" s="771">
        <f>($AN28-($AO28/2))-0.001</f>
        <v>0.21199999999999999</v>
      </c>
      <c r="AR28" s="767">
        <f t="shared" si="19"/>
        <v>0.19</v>
      </c>
      <c r="AS28" s="760">
        <f t="shared" si="14"/>
        <v>0.379</v>
      </c>
      <c r="AT28" s="761">
        <f t="shared" si="14"/>
        <v>0.38100000000000001</v>
      </c>
      <c r="AU28" s="778">
        <f>($AP28+AU$9)-0.002</f>
        <v>0.38900000000000001</v>
      </c>
      <c r="AV28" s="779">
        <f>($AP28+AV$9)-0.002</f>
        <v>0.39200000000000002</v>
      </c>
      <c r="AW28" s="759">
        <f t="shared" si="10"/>
        <v>4.0000000000000036E-3</v>
      </c>
      <c r="AX28" s="761">
        <f t="shared" si="11"/>
        <v>6.5000000000000058E-3</v>
      </c>
      <c r="BC28" s="82" t="str">
        <v>CPS-31783r1</v>
      </c>
    </row>
    <row r="29" spans="2:55" x14ac:dyDescent="0.25">
      <c r="B29" s="96"/>
      <c r="D29" s="96"/>
      <c r="AI29" s="783">
        <f>ROUND(((ROUND(AP29,6)*1000000)+AQ29),6)</f>
        <v>390000.43800000002</v>
      </c>
      <c r="AJ29" s="780" t="b">
        <f>TRUE</f>
        <v>1</v>
      </c>
      <c r="AK29" s="815" t="s">
        <v>381</v>
      </c>
      <c r="AL29" s="687" t="s">
        <v>332</v>
      </c>
      <c r="AM29" s="689">
        <v>0.38</v>
      </c>
      <c r="AN29" s="684">
        <v>0.438</v>
      </c>
      <c r="AO29" s="691">
        <f>0.225*2</f>
        <v>0.45</v>
      </c>
      <c r="AP29" s="770">
        <f t="shared" si="20"/>
        <v>0.39</v>
      </c>
      <c r="AQ29" s="774">
        <f>AN29</f>
        <v>0.438</v>
      </c>
      <c r="AR29" s="177">
        <f t="shared" si="19"/>
        <v>0.19</v>
      </c>
      <c r="AS29" s="4">
        <f t="shared" si="14"/>
        <v>0.379</v>
      </c>
      <c r="AT29" s="8">
        <f t="shared" si="14"/>
        <v>0.38100000000000001</v>
      </c>
      <c r="AU29" s="762">
        <f>($AP29+AU$9)-0.002</f>
        <v>0.38900000000000001</v>
      </c>
      <c r="AV29" s="763">
        <f>($AP29+AV$9)-0.002</f>
        <v>0.39200000000000002</v>
      </c>
      <c r="AW29" s="173">
        <f t="shared" si="10"/>
        <v>4.0000000000000036E-3</v>
      </c>
      <c r="AX29" s="8">
        <f t="shared" si="11"/>
        <v>6.5000000000000058E-3</v>
      </c>
      <c r="BC29" s="82" t="str">
        <v>&lt;&gt;CS CPS-31783r1</v>
      </c>
    </row>
    <row r="30" spans="2:55" x14ac:dyDescent="0.25">
      <c r="AF30" s="96"/>
      <c r="AI30" s="783">
        <f t="shared" ref="AI30:AI36" si="21">ROUND(((ROUND(AP30,6)*1000000)+AQ30),6)</f>
        <v>514000.45500000002</v>
      </c>
      <c r="AJ30" s="780" t="b">
        <v>0</v>
      </c>
      <c r="AK30" s="683" t="s">
        <v>327</v>
      </c>
      <c r="AL30" s="687" t="s">
        <v>333</v>
      </c>
      <c r="AM30" s="689">
        <v>0.504</v>
      </c>
      <c r="AN30" s="684">
        <v>0.71</v>
      </c>
      <c r="AO30" s="691">
        <f>0.255*2</f>
        <v>0.51</v>
      </c>
      <c r="AP30" s="770">
        <f t="shared" si="20"/>
        <v>0.51400000000000001</v>
      </c>
      <c r="AQ30" s="8">
        <f>($AN30-($AO30/2))</f>
        <v>0.45499999999999996</v>
      </c>
      <c r="AR30" s="177">
        <f t="shared" ref="AR30:AR36" si="22">IF($AO30&lt;0,$AO30/2,$AM30/2)</f>
        <v>0.252</v>
      </c>
      <c r="AS30" s="4">
        <f t="shared" ref="AS30:AT33" si="23">($AM30+AS$9)</f>
        <v>0.503</v>
      </c>
      <c r="AT30" s="8">
        <f t="shared" si="23"/>
        <v>0.505</v>
      </c>
      <c r="AU30" s="762">
        <f>($AP30+AU$9)-0.003</f>
        <v>0.51200000000000001</v>
      </c>
      <c r="AV30" s="763">
        <f>($AP30+AV$9)-0.004</f>
        <v>0.51400000000000001</v>
      </c>
      <c r="AW30" s="173">
        <f t="shared" ref="AW30:AW36" si="24">($AU30-$AT30)/2</f>
        <v>3.5000000000000031E-3</v>
      </c>
      <c r="AX30" s="8">
        <f t="shared" ref="AX30:AX36" si="25">($AV30-$AS30)/2</f>
        <v>5.5000000000000049E-3</v>
      </c>
      <c r="BC30" s="82" t="str">
        <v>CPS-32193r1</v>
      </c>
    </row>
    <row r="31" spans="2:55" x14ac:dyDescent="0.25">
      <c r="AF31" s="96"/>
      <c r="AI31" s="783">
        <f t="shared" si="21"/>
        <v>514000.71</v>
      </c>
      <c r="AJ31" s="780" t="b">
        <v>0</v>
      </c>
      <c r="AK31" s="815" t="s">
        <v>383</v>
      </c>
      <c r="AL31" s="687" t="s">
        <v>333</v>
      </c>
      <c r="AM31" s="689">
        <v>0.504</v>
      </c>
      <c r="AN31" s="684">
        <v>0.71</v>
      </c>
      <c r="AO31" s="691">
        <f>0.255*2</f>
        <v>0.51</v>
      </c>
      <c r="AP31" s="770">
        <f t="shared" si="20"/>
        <v>0.51400000000000001</v>
      </c>
      <c r="AQ31" s="774">
        <f>AN31</f>
        <v>0.71</v>
      </c>
      <c r="AR31" s="177">
        <f t="shared" si="22"/>
        <v>0.252</v>
      </c>
      <c r="AS31" s="4">
        <f t="shared" si="23"/>
        <v>0.503</v>
      </c>
      <c r="AT31" s="8">
        <f t="shared" si="23"/>
        <v>0.505</v>
      </c>
      <c r="AU31" s="762">
        <f>($AP31+AU$9)-0.003</f>
        <v>0.51200000000000001</v>
      </c>
      <c r="AV31" s="763">
        <f>($AP31+AV$9)-0.004</f>
        <v>0.51400000000000001</v>
      </c>
      <c r="AW31" s="173">
        <f t="shared" si="24"/>
        <v>3.5000000000000031E-3</v>
      </c>
      <c r="AX31" s="8">
        <f t="shared" si="25"/>
        <v>5.5000000000000049E-3</v>
      </c>
      <c r="BC31" s="82" t="str">
        <v>&lt;&gt;CS CPS-32193r1</v>
      </c>
    </row>
    <row r="32" spans="2:55" x14ac:dyDescent="0.25">
      <c r="AI32" s="783">
        <f t="shared" si="21"/>
        <v>514000.41499999998</v>
      </c>
      <c r="AJ32" s="780" t="b">
        <f>TRUE</f>
        <v>1</v>
      </c>
      <c r="AK32" s="683" t="s">
        <v>325</v>
      </c>
      <c r="AL32" s="687" t="s">
        <v>333</v>
      </c>
      <c r="AM32" s="689">
        <v>0.504</v>
      </c>
      <c r="AN32" s="684">
        <v>0.67</v>
      </c>
      <c r="AO32" s="691">
        <f>0.255*2</f>
        <v>0.51</v>
      </c>
      <c r="AP32" s="770">
        <f t="shared" si="20"/>
        <v>0.51400000000000001</v>
      </c>
      <c r="AQ32" s="8">
        <f>($AN32-($AO32/2))</f>
        <v>0.41500000000000004</v>
      </c>
      <c r="AR32" s="177">
        <f t="shared" si="22"/>
        <v>0.252</v>
      </c>
      <c r="AS32" s="4">
        <f t="shared" si="23"/>
        <v>0.503</v>
      </c>
      <c r="AT32" s="8">
        <f t="shared" si="23"/>
        <v>0.505</v>
      </c>
      <c r="AU32" s="762">
        <f>($AP32+AU$9)-0.003</f>
        <v>0.51200000000000001</v>
      </c>
      <c r="AV32" s="763">
        <f>($AP32+AV$9)-0.004</f>
        <v>0.51400000000000001</v>
      </c>
      <c r="AW32" s="173">
        <f t="shared" si="24"/>
        <v>3.5000000000000031E-3</v>
      </c>
      <c r="AX32" s="8">
        <f t="shared" si="25"/>
        <v>5.5000000000000049E-3</v>
      </c>
    </row>
    <row r="33" spans="35:50" x14ac:dyDescent="0.25">
      <c r="AI33" s="783">
        <f t="shared" si="21"/>
        <v>514000.67</v>
      </c>
      <c r="AJ33" s="780" t="b">
        <f>TRUE</f>
        <v>1</v>
      </c>
      <c r="AK33" s="815" t="s">
        <v>382</v>
      </c>
      <c r="AL33" s="687" t="s">
        <v>333</v>
      </c>
      <c r="AM33" s="689">
        <v>0.504</v>
      </c>
      <c r="AN33" s="684">
        <v>0.67</v>
      </c>
      <c r="AO33" s="691">
        <f>0.255*2</f>
        <v>0.51</v>
      </c>
      <c r="AP33" s="770">
        <f t="shared" si="20"/>
        <v>0.51400000000000001</v>
      </c>
      <c r="AQ33" s="774">
        <f>AN33</f>
        <v>0.67</v>
      </c>
      <c r="AR33" s="177">
        <f t="shared" si="22"/>
        <v>0.252</v>
      </c>
      <c r="AS33" s="4">
        <f t="shared" si="23"/>
        <v>0.503</v>
      </c>
      <c r="AT33" s="8">
        <f t="shared" si="23"/>
        <v>0.505</v>
      </c>
      <c r="AU33" s="762">
        <f>($AP33+AU$9)-0.003</f>
        <v>0.51200000000000001</v>
      </c>
      <c r="AV33" s="763">
        <f>($AP33+AV$9)-0.004</f>
        <v>0.51400000000000001</v>
      </c>
      <c r="AW33" s="173">
        <f t="shared" si="24"/>
        <v>3.5000000000000031E-3</v>
      </c>
      <c r="AX33" s="8">
        <f t="shared" si="25"/>
        <v>5.5000000000000049E-3</v>
      </c>
    </row>
    <row r="34" spans="35:50" x14ac:dyDescent="0.25">
      <c r="AI34" s="783">
        <f t="shared" si="21"/>
        <v>450000.33189999999</v>
      </c>
      <c r="AJ34" s="780" t="b">
        <f>FALSE</f>
        <v>0</v>
      </c>
      <c r="AK34" s="683" t="s">
        <v>331</v>
      </c>
      <c r="AL34" s="687" t="s">
        <v>334</v>
      </c>
      <c r="AM34" s="689">
        <v>0.4415</v>
      </c>
      <c r="AN34" s="684">
        <v>0.55000000000000004</v>
      </c>
      <c r="AO34" s="691">
        <f>0.2181*2</f>
        <v>0.43619999999999998</v>
      </c>
      <c r="AP34" s="770">
        <f>($AM34+AP$9)+0.0055</f>
        <v>0.45</v>
      </c>
      <c r="AQ34" s="8">
        <f>($AN34-($AO34/2))</f>
        <v>0.33190000000000008</v>
      </c>
      <c r="AR34" s="177">
        <f t="shared" si="22"/>
        <v>0.22075</v>
      </c>
      <c r="AS34" s="775">
        <f>($AM34+AS$9)+0.0008</f>
        <v>0.44130000000000003</v>
      </c>
      <c r="AT34" s="774">
        <f>($AM34+AT$9)-0.0008</f>
        <v>0.44169999999999998</v>
      </c>
      <c r="AU34" s="762">
        <f>($AP34+AU$9)-0.005</f>
        <v>0.44600000000000001</v>
      </c>
      <c r="AV34" s="763">
        <f>($AP34+AV$9)-0.002</f>
        <v>0.45200000000000001</v>
      </c>
      <c r="AW34" s="173">
        <f t="shared" si="24"/>
        <v>2.150000000000013E-3</v>
      </c>
      <c r="AX34" s="8">
        <f t="shared" si="25"/>
        <v>5.3499999999999936E-3</v>
      </c>
    </row>
    <row r="35" spans="35:50" ht="15" customHeight="1" x14ac:dyDescent="0.25">
      <c r="AI35" s="783">
        <f t="shared" si="21"/>
        <v>450000.33199999999</v>
      </c>
      <c r="AJ35" s="780" t="b">
        <f>FALSE</f>
        <v>0</v>
      </c>
      <c r="AK35" s="683" t="s">
        <v>331</v>
      </c>
      <c r="AL35" s="687" t="s">
        <v>334</v>
      </c>
      <c r="AM35" s="689">
        <v>0.4415</v>
      </c>
      <c r="AN35" s="684">
        <v>0.55000000000000004</v>
      </c>
      <c r="AO35" s="691">
        <f>0.2181*2</f>
        <v>0.43619999999999998</v>
      </c>
      <c r="AP35" s="770">
        <f>($AM35+AP$9)+0.0055</f>
        <v>0.45</v>
      </c>
      <c r="AQ35" s="774">
        <f>($AN35-($AO35/2))+0.0001</f>
        <v>0.33200000000000007</v>
      </c>
      <c r="AR35" s="177">
        <f t="shared" si="22"/>
        <v>0.22075</v>
      </c>
      <c r="AS35" s="775">
        <f>($AM35+AS$9)+0.0008</f>
        <v>0.44130000000000003</v>
      </c>
      <c r="AT35" s="774">
        <f>($AM35+AT$9)-0.0008</f>
        <v>0.44169999999999998</v>
      </c>
      <c r="AU35" s="762">
        <f>($AP35+AU$9)-0.005</f>
        <v>0.44600000000000001</v>
      </c>
      <c r="AV35" s="763">
        <f>($AP35+AV$9)-0.002</f>
        <v>0.45200000000000001</v>
      </c>
      <c r="AW35" s="173">
        <f t="shared" si="24"/>
        <v>2.150000000000013E-3</v>
      </c>
      <c r="AX35" s="8">
        <f t="shared" si="25"/>
        <v>5.3499999999999936E-3</v>
      </c>
    </row>
    <row r="36" spans="35:50" x14ac:dyDescent="0.25">
      <c r="AI36" s="783">
        <f t="shared" si="21"/>
        <v>525000.40700000001</v>
      </c>
      <c r="AJ36" s="780" t="b">
        <f>FALSE</f>
        <v>0</v>
      </c>
      <c r="AK36" s="685" t="s">
        <v>326</v>
      </c>
      <c r="AL36" s="688" t="s">
        <v>335</v>
      </c>
      <c r="AM36" s="690">
        <v>0.51459999999999995</v>
      </c>
      <c r="AN36" s="686">
        <v>0.67</v>
      </c>
      <c r="AO36" s="692">
        <f>0.263*2</f>
        <v>0.52600000000000002</v>
      </c>
      <c r="AP36" s="773">
        <f>($AM36+AP$9)+0.0074</f>
        <v>0.52499999999999991</v>
      </c>
      <c r="AQ36" s="665">
        <f>($AN36-($AO36/2))</f>
        <v>0.40700000000000003</v>
      </c>
      <c r="AR36" s="768">
        <f t="shared" si="22"/>
        <v>0.25729999999999997</v>
      </c>
      <c r="AS36" s="776">
        <f>($AM36+AS$9)+0.0008</f>
        <v>0.51439999999999997</v>
      </c>
      <c r="AT36" s="777">
        <f>($AM36+AT$9)-0.0008</f>
        <v>0.51479999999999992</v>
      </c>
      <c r="AU36" s="764">
        <f>($AP36+AU$9)-0.005</f>
        <v>0.52099999999999991</v>
      </c>
      <c r="AV36" s="765">
        <f>($AP36+AV$9)-0.002</f>
        <v>0.52699999999999991</v>
      </c>
      <c r="AW36" s="176">
        <f t="shared" si="24"/>
        <v>3.0999999999999917E-3</v>
      </c>
      <c r="AX36" s="665">
        <f t="shared" si="25"/>
        <v>6.2999999999999723E-3</v>
      </c>
    </row>
    <row r="37" spans="35:50" x14ac:dyDescent="0.25">
      <c r="AI37" s="417"/>
      <c r="AJ37" s="417"/>
      <c r="AK37" s="417"/>
      <c r="AL37" s="417"/>
    </row>
    <row r="38" spans="35:50" x14ac:dyDescent="0.25">
      <c r="AI38" s="417"/>
      <c r="AJ38" s="417"/>
      <c r="AK38" s="417"/>
      <c r="AL38" s="417"/>
    </row>
    <row r="39" spans="35:50" x14ac:dyDescent="0.25">
      <c r="AI39" s="417"/>
      <c r="AK39" s="417"/>
      <c r="AL39" s="417"/>
    </row>
    <row r="40" spans="35:50" x14ac:dyDescent="0.25">
      <c r="AI40" s="417"/>
      <c r="AJ40" s="417"/>
      <c r="AK40" s="417"/>
      <c r="AL40" s="417"/>
    </row>
    <row r="41" spans="35:50" x14ac:dyDescent="0.25">
      <c r="AI41" s="417"/>
      <c r="AJ41" s="417"/>
      <c r="AK41" s="417"/>
      <c r="AL41" s="417"/>
    </row>
    <row r="42" spans="35:50" x14ac:dyDescent="0.25">
      <c r="AI42" s="417"/>
      <c r="AJ42" s="417"/>
      <c r="AK42" s="417"/>
      <c r="AL42" s="417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17"/>
      <c r="AJ43" s="417"/>
      <c r="AK43" s="417"/>
      <c r="AL43" s="417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x14ac:dyDescent="0.25">
      <c r="AI44" s="417"/>
      <c r="AJ44" s="417"/>
      <c r="AK44" s="417"/>
      <c r="AL44" s="417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17"/>
      <c r="AJ45" s="417"/>
      <c r="AK45" s="417"/>
      <c r="AL45" s="417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35:50" ht="15" customHeight="1" x14ac:dyDescent="0.25">
      <c r="AI46" s="417"/>
      <c r="AJ46" s="417"/>
      <c r="AK46" s="417"/>
      <c r="AL46" s="417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35:50" x14ac:dyDescent="0.25">
      <c r="AI47" s="417"/>
      <c r="AJ47" s="417"/>
      <c r="AK47" s="417"/>
      <c r="AL47" s="417"/>
    </row>
    <row r="48" spans="35:50" x14ac:dyDescent="0.25">
      <c r="AI48" s="417"/>
      <c r="AJ48" s="417"/>
      <c r="AK48" s="417"/>
      <c r="AL48" s="417"/>
      <c r="AM48" s="417"/>
      <c r="AN48" s="417"/>
      <c r="AO48" s="417"/>
      <c r="AP48" s="417"/>
      <c r="AQ48" s="417"/>
      <c r="AR48" s="417"/>
    </row>
    <row r="49" spans="2:44" x14ac:dyDescent="0.25">
      <c r="AI49" s="417"/>
      <c r="AJ49" s="417"/>
      <c r="AK49" s="417"/>
      <c r="AL49" s="417"/>
      <c r="AM49" s="417"/>
      <c r="AN49" s="417"/>
      <c r="AO49" s="417"/>
      <c r="AP49" s="417"/>
      <c r="AQ49" s="417"/>
      <c r="AR49" s="417"/>
    </row>
    <row r="50" spans="2:44" x14ac:dyDescent="0.25">
      <c r="AI50" s="417"/>
      <c r="AJ50" s="417"/>
      <c r="AK50" s="417"/>
      <c r="AL50" s="417"/>
      <c r="AM50" s="417"/>
      <c r="AN50" s="417"/>
      <c r="AO50" s="417"/>
      <c r="AP50" s="417"/>
      <c r="AQ50" s="417"/>
      <c r="AR50" s="417"/>
    </row>
    <row r="51" spans="2:44" x14ac:dyDescent="0.25">
      <c r="AI51" s="417"/>
      <c r="AJ51" s="417"/>
      <c r="AK51" s="417"/>
      <c r="AL51" s="417"/>
      <c r="AM51" s="417"/>
      <c r="AN51" s="417"/>
      <c r="AO51" s="417"/>
      <c r="AP51" s="417"/>
      <c r="AQ51" s="417"/>
      <c r="AR51" s="417"/>
    </row>
    <row r="52" spans="2:44" x14ac:dyDescent="0.25">
      <c r="AI52" s="417"/>
      <c r="AJ52" s="417"/>
      <c r="AK52" s="417"/>
      <c r="AL52" s="417"/>
      <c r="AM52" s="417"/>
      <c r="AN52" s="417"/>
      <c r="AO52" s="417"/>
      <c r="AP52" s="417"/>
      <c r="AQ52" s="417"/>
      <c r="AR52" s="417"/>
    </row>
    <row r="53" spans="2:44" x14ac:dyDescent="0.25">
      <c r="AJ53" s="417"/>
      <c r="AK53" s="417"/>
      <c r="AL53" s="417"/>
    </row>
    <row r="54" spans="2:44" x14ac:dyDescent="0.25">
      <c r="AJ54" s="417"/>
      <c r="AK54" s="417"/>
      <c r="AL54" s="417"/>
    </row>
    <row r="55" spans="2:44" x14ac:dyDescent="0.25">
      <c r="AJ55" s="417"/>
      <c r="AK55" s="417"/>
      <c r="AL55" s="417"/>
    </row>
    <row r="56" spans="2:44" x14ac:dyDescent="0.25">
      <c r="AJ56" s="417"/>
      <c r="AK56" s="417"/>
      <c r="AL56" s="417"/>
    </row>
    <row r="57" spans="2:44" x14ac:dyDescent="0.25">
      <c r="AJ57" s="417"/>
      <c r="AK57" s="417"/>
      <c r="AL57" s="417"/>
    </row>
    <row r="58" spans="2:44" x14ac:dyDescent="0.25">
      <c r="AJ58" s="417"/>
      <c r="AK58" s="417"/>
      <c r="AL58" s="417"/>
    </row>
    <row r="62" spans="2:44" x14ac:dyDescent="0.25">
      <c r="B62" s="31"/>
    </row>
    <row r="63" spans="2:44" x14ac:dyDescent="0.25">
      <c r="B63" s="31"/>
    </row>
    <row r="65" spans="2:11" x14ac:dyDescent="0.25">
      <c r="I65" s="457"/>
      <c r="K65" s="457"/>
    </row>
    <row r="66" spans="2:11" x14ac:dyDescent="0.25">
      <c r="I66" s="457"/>
      <c r="K66" s="457"/>
    </row>
    <row r="67" spans="2:11" x14ac:dyDescent="0.25">
      <c r="I67" s="457"/>
      <c r="K67" s="457"/>
    </row>
    <row r="68" spans="2:11" x14ac:dyDescent="0.25">
      <c r="I68" s="457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  <row r="131" spans="2:9" x14ac:dyDescent="0.25">
      <c r="B131" s="31"/>
      <c r="C131" s="31"/>
      <c r="D131" s="31"/>
      <c r="E131" s="31"/>
      <c r="F131" s="31"/>
      <c r="G131" s="31"/>
      <c r="H131" s="31"/>
      <c r="I131" s="31"/>
    </row>
    <row r="132" spans="2:9" x14ac:dyDescent="0.25">
      <c r="B132" s="31"/>
      <c r="C132" s="31"/>
      <c r="D132" s="31"/>
      <c r="E132" s="31"/>
      <c r="F132" s="31"/>
      <c r="G132" s="31"/>
      <c r="H132" s="31"/>
      <c r="I132" s="31"/>
    </row>
  </sheetData>
  <mergeCells count="45"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B13:B14"/>
    <mergeCell ref="C13:C14"/>
    <mergeCell ref="B10:G10"/>
    <mergeCell ref="AK12:AL12"/>
    <mergeCell ref="I13:I14"/>
    <mergeCell ref="AM11:AR11"/>
    <mergeCell ref="AM12:AO12"/>
    <mergeCell ref="AP12:AQ12"/>
    <mergeCell ref="BC12:BC13"/>
    <mergeCell ref="AS12:AT12"/>
    <mergeCell ref="AU12:AV12"/>
    <mergeCell ref="AS11:AV11"/>
    <mergeCell ref="AW12:AX12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2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5"/>
      <c r="C3" s="1085" t="s">
        <v>95</v>
      </c>
      <c r="D3" s="1085"/>
      <c r="E3" s="1085"/>
      <c r="F3" s="1085"/>
      <c r="G3" s="1085"/>
      <c r="H3" s="1085"/>
      <c r="I3" s="1085"/>
      <c r="J3" s="1085"/>
      <c r="K3" s="1153"/>
      <c r="L3" s="1084"/>
      <c r="M3" s="1085"/>
      <c r="N3" s="1085"/>
      <c r="O3" s="1085"/>
      <c r="P3" s="1085"/>
      <c r="Q3" s="1085"/>
      <c r="R3" s="1318"/>
      <c r="V3" s="31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</row>
    <row r="4" spans="2:38" ht="15" customHeight="1" x14ac:dyDescent="0.25">
      <c r="B4" s="1063" t="s">
        <v>86</v>
      </c>
      <c r="C4" s="1373" t="s">
        <v>82</v>
      </c>
      <c r="D4" s="1085" t="s">
        <v>83</v>
      </c>
      <c r="E4" s="1085"/>
      <c r="F4" s="1085"/>
      <c r="G4" s="1085"/>
      <c r="H4" s="1085"/>
      <c r="I4" s="1085"/>
      <c r="J4" s="1085"/>
      <c r="K4" s="1085"/>
      <c r="L4" s="146" t="s">
        <v>91</v>
      </c>
      <c r="M4" s="1317" t="s">
        <v>94</v>
      </c>
      <c r="N4" s="1085"/>
      <c r="O4" s="1085"/>
      <c r="P4" s="1153"/>
      <c r="Q4" s="1085" t="s">
        <v>52</v>
      </c>
      <c r="R4" s="1318"/>
      <c r="S4" s="103"/>
      <c r="T4" s="1317">
        <v>350</v>
      </c>
      <c r="U4" s="1085"/>
      <c r="V4" s="1085" t="s">
        <v>76</v>
      </c>
      <c r="W4" s="1085"/>
      <c r="X4" s="106"/>
      <c r="Y4" s="106"/>
      <c r="Z4" s="106"/>
      <c r="AA4" s="106"/>
      <c r="AB4" s="106"/>
      <c r="AC4" s="106"/>
      <c r="AD4" s="64"/>
      <c r="AE4" s="64"/>
      <c r="AF4" s="64"/>
      <c r="AG4" s="64"/>
      <c r="AH4" s="64"/>
      <c r="AI4" s="64"/>
      <c r="AJ4" s="121"/>
    </row>
    <row r="5" spans="2:38" ht="15" customHeight="1" x14ac:dyDescent="0.25">
      <c r="B5" s="1357"/>
      <c r="C5" s="1374"/>
      <c r="D5" s="1362" t="s">
        <v>85</v>
      </c>
      <c r="E5" s="1376" t="s">
        <v>89</v>
      </c>
      <c r="F5" s="1322" t="s">
        <v>34</v>
      </c>
      <c r="G5" s="1322"/>
      <c r="H5" s="1319" t="s">
        <v>39</v>
      </c>
      <c r="I5" s="1315" t="s">
        <v>35</v>
      </c>
      <c r="J5" s="1315" t="s">
        <v>36</v>
      </c>
      <c r="K5" s="1347" t="s">
        <v>67</v>
      </c>
      <c r="L5" s="147" t="s">
        <v>92</v>
      </c>
      <c r="M5" s="1320" t="s">
        <v>90</v>
      </c>
      <c r="N5" s="1320" t="s">
        <v>47</v>
      </c>
      <c r="O5" s="1138" t="s">
        <v>84</v>
      </c>
      <c r="P5" s="1139"/>
      <c r="Q5" s="1028" t="s">
        <v>84</v>
      </c>
      <c r="R5" s="1030"/>
      <c r="S5" s="103"/>
      <c r="T5" s="1332" t="s">
        <v>46</v>
      </c>
      <c r="U5" s="1125"/>
      <c r="V5" s="1289" t="s">
        <v>45</v>
      </c>
      <c r="W5" s="1327"/>
      <c r="X5" s="1327"/>
      <c r="Y5" s="1327"/>
      <c r="Z5" s="1327"/>
      <c r="AA5" s="1327"/>
      <c r="AB5" s="1327"/>
      <c r="AC5" s="1327"/>
      <c r="AD5" s="1327"/>
      <c r="AE5" s="1327"/>
      <c r="AF5" s="1327"/>
      <c r="AG5" s="1327"/>
      <c r="AH5" s="1327"/>
      <c r="AI5" s="1327"/>
      <c r="AJ5" s="1327"/>
      <c r="AK5" s="31"/>
      <c r="AL5" s="31"/>
    </row>
    <row r="6" spans="2:38" ht="15" customHeight="1" thickBot="1" x14ac:dyDescent="0.3">
      <c r="B6" s="1358"/>
      <c r="C6" s="1375"/>
      <c r="D6" s="1363"/>
      <c r="E6" s="1377"/>
      <c r="F6" s="104" t="s">
        <v>8</v>
      </c>
      <c r="G6" s="105" t="s">
        <v>10</v>
      </c>
      <c r="H6" s="1348"/>
      <c r="I6" s="1348"/>
      <c r="J6" s="1348"/>
      <c r="K6" s="1337"/>
      <c r="L6" s="148" t="s">
        <v>93</v>
      </c>
      <c r="M6" s="1336"/>
      <c r="N6" s="1336"/>
      <c r="O6" s="104" t="s">
        <v>8</v>
      </c>
      <c r="P6" s="123" t="s">
        <v>10</v>
      </c>
      <c r="Q6" s="128" t="s">
        <v>8</v>
      </c>
      <c r="R6" s="105" t="s">
        <v>10</v>
      </c>
      <c r="S6" s="31"/>
      <c r="T6" s="1337"/>
      <c r="U6" s="1338"/>
      <c r="V6" s="128">
        <v>50</v>
      </c>
      <c r="W6" s="127">
        <v>60</v>
      </c>
      <c r="X6" s="127">
        <v>70</v>
      </c>
      <c r="Y6" s="127">
        <v>80</v>
      </c>
      <c r="Z6" s="127">
        <v>90</v>
      </c>
      <c r="AA6" s="127">
        <v>100</v>
      </c>
      <c r="AB6" s="127">
        <v>115</v>
      </c>
      <c r="AC6" s="127">
        <v>130</v>
      </c>
      <c r="AD6" s="127">
        <v>145</v>
      </c>
      <c r="AE6" s="127">
        <v>160</v>
      </c>
      <c r="AF6" s="127">
        <v>175</v>
      </c>
      <c r="AG6" s="127">
        <v>190</v>
      </c>
      <c r="AH6" s="127">
        <v>210</v>
      </c>
      <c r="AI6" s="127">
        <v>230</v>
      </c>
      <c r="AJ6" s="105">
        <v>250</v>
      </c>
      <c r="AK6" s="31"/>
      <c r="AL6" s="31"/>
    </row>
    <row r="7" spans="2:38" ht="15.75" thickTop="1" x14ac:dyDescent="0.25">
      <c r="B7" s="161" t="s">
        <v>96</v>
      </c>
      <c r="C7" s="1364">
        <f>ROW(Assy.Model!B9)</f>
        <v>9</v>
      </c>
      <c r="D7" s="1354" t="str">
        <f>SUBSTITUTE(ADDRESS(1,COLUMN(Assy.Model!B9),4),"1","")</f>
        <v>B</v>
      </c>
      <c r="E7" s="1367" t="str">
        <f>SUBSTITUTE(ADDRESS(1,COLUMN(Assy.Model!M9),4),"1","")</f>
        <v>M</v>
      </c>
      <c r="F7" s="1370" t="str">
        <f>SUBSTITUTE(ADDRESS(1,COLUMN(Assy.Model!X9),4),"1","")</f>
        <v>X</v>
      </c>
      <c r="G7" s="1359" t="str">
        <f>SUBSTITUTE(ADDRESS(1,COLUMN(Assy.Model!AT9),4),"1","")</f>
        <v>AT</v>
      </c>
      <c r="H7" s="1339" t="str">
        <f>SUBSTITUTE(ADDRESS(1,COLUMN(Assy.Model!H9),4),"1","")</f>
        <v>H</v>
      </c>
      <c r="I7" s="1339" t="str">
        <f>SUBSTITUTE(ADDRESS(1,COLUMN(Assy.Model!AN9),4),"1","")</f>
        <v>AN</v>
      </c>
      <c r="J7" s="1339" t="str">
        <f>SUBSTITUTE(ADDRESS(1,COLUMN(Assy.Model!AO9),4),"1","")</f>
        <v>AO</v>
      </c>
      <c r="K7" s="1342" t="str">
        <f>SUBSTITUTE(ADDRESS(1,COLUMN(Assy.Model!Q9),4),"1","")</f>
        <v>Q</v>
      </c>
      <c r="L7" s="156" t="s">
        <v>92</v>
      </c>
      <c r="M7" s="157">
        <v>1</v>
      </c>
      <c r="N7" s="158">
        <v>0</v>
      </c>
      <c r="O7" s="159">
        <v>36</v>
      </c>
      <c r="P7" s="160">
        <v>18</v>
      </c>
      <c r="Q7" s="151"/>
      <c r="R7" s="140"/>
      <c r="S7" s="139"/>
      <c r="T7" s="1351" t="s">
        <v>47</v>
      </c>
      <c r="U7" s="136">
        <v>0</v>
      </c>
      <c r="V7" s="132">
        <f t="shared" ref="V7:AJ14" si="0">IF(ROUNDDOWN(((V$6*$U7*60)/12),0)&gt;$T$4,"",(V$6*$U7*60)/12)</f>
        <v>0</v>
      </c>
      <c r="W7" s="133">
        <f t="shared" si="0"/>
        <v>0</v>
      </c>
      <c r="X7" s="133">
        <f t="shared" si="0"/>
        <v>0</v>
      </c>
      <c r="Y7" s="133">
        <f t="shared" si="0"/>
        <v>0</v>
      </c>
      <c r="Z7" s="133">
        <f t="shared" si="0"/>
        <v>0</v>
      </c>
      <c r="AA7" s="133">
        <f t="shared" si="0"/>
        <v>0</v>
      </c>
      <c r="AB7" s="133">
        <f t="shared" si="0"/>
        <v>0</v>
      </c>
      <c r="AC7" s="133">
        <f t="shared" si="0"/>
        <v>0</v>
      </c>
      <c r="AD7" s="133">
        <f t="shared" si="0"/>
        <v>0</v>
      </c>
      <c r="AE7" s="133">
        <f t="shared" si="0"/>
        <v>0</v>
      </c>
      <c r="AF7" s="133">
        <f t="shared" si="0"/>
        <v>0</v>
      </c>
      <c r="AG7" s="133">
        <f t="shared" si="0"/>
        <v>0</v>
      </c>
      <c r="AH7" s="133">
        <f t="shared" si="0"/>
        <v>0</v>
      </c>
      <c r="AI7" s="133">
        <f t="shared" si="0"/>
        <v>0</v>
      </c>
      <c r="AJ7" s="134">
        <f t="shared" si="0"/>
        <v>0</v>
      </c>
      <c r="AK7" s="31"/>
      <c r="AL7" s="31"/>
    </row>
    <row r="8" spans="2:38" ht="15" customHeight="1" x14ac:dyDescent="0.25">
      <c r="B8" s="1349" t="s">
        <v>81</v>
      </c>
      <c r="C8" s="1365"/>
      <c r="D8" s="1355"/>
      <c r="E8" s="1368"/>
      <c r="F8" s="1371"/>
      <c r="G8" s="1360"/>
      <c r="H8" s="1340"/>
      <c r="I8" s="1340"/>
      <c r="J8" s="1340"/>
      <c r="K8" s="1343"/>
      <c r="L8" s="149" t="s">
        <v>93</v>
      </c>
      <c r="M8" s="1345">
        <v>3</v>
      </c>
      <c r="N8" s="137">
        <v>6.25E-2</v>
      </c>
      <c r="O8" s="122">
        <v>32</v>
      </c>
      <c r="P8" s="124">
        <v>18</v>
      </c>
      <c r="Q8" s="152">
        <v>32</v>
      </c>
      <c r="R8" s="129">
        <v>18</v>
      </c>
      <c r="S8" s="139"/>
      <c r="T8" s="1352"/>
      <c r="U8" s="131">
        <v>6.25E-2</v>
      </c>
      <c r="V8" s="79">
        <f t="shared" si="0"/>
        <v>15.625</v>
      </c>
      <c r="W8" s="79">
        <f t="shared" si="0"/>
        <v>18.75</v>
      </c>
      <c r="X8" s="79">
        <f t="shared" si="0"/>
        <v>21.875</v>
      </c>
      <c r="Y8" s="79">
        <f t="shared" si="0"/>
        <v>25</v>
      </c>
      <c r="Z8" s="79">
        <f t="shared" si="0"/>
        <v>28.125</v>
      </c>
      <c r="AA8" s="79">
        <f t="shared" si="0"/>
        <v>31.25</v>
      </c>
      <c r="AB8" s="79">
        <f t="shared" si="0"/>
        <v>35.9375</v>
      </c>
      <c r="AC8" s="79">
        <f t="shared" si="0"/>
        <v>40.625</v>
      </c>
      <c r="AD8" s="79">
        <f t="shared" si="0"/>
        <v>45.3125</v>
      </c>
      <c r="AE8" s="79">
        <f t="shared" si="0"/>
        <v>50</v>
      </c>
      <c r="AF8" s="79">
        <f t="shared" si="0"/>
        <v>54.6875</v>
      </c>
      <c r="AG8" s="79">
        <f t="shared" si="0"/>
        <v>59.375</v>
      </c>
      <c r="AH8" s="79">
        <f t="shared" si="0"/>
        <v>65.625</v>
      </c>
      <c r="AI8" s="79">
        <f t="shared" si="0"/>
        <v>71.875</v>
      </c>
      <c r="AJ8" s="101">
        <f t="shared" si="0"/>
        <v>78.125</v>
      </c>
      <c r="AK8" s="74"/>
      <c r="AL8" s="31"/>
    </row>
    <row r="9" spans="2:38" x14ac:dyDescent="0.25">
      <c r="B9" s="1349"/>
      <c r="C9" s="1365"/>
      <c r="D9" s="1355"/>
      <c r="E9" s="1368"/>
      <c r="F9" s="1371"/>
      <c r="G9" s="1360"/>
      <c r="H9" s="1340"/>
      <c r="I9" s="1340"/>
      <c r="J9" s="1340"/>
      <c r="K9" s="1343"/>
      <c r="L9" s="149" t="s">
        <v>92</v>
      </c>
      <c r="M9" s="1345"/>
      <c r="N9" s="137">
        <v>9.375E-2</v>
      </c>
      <c r="O9" s="100">
        <v>28</v>
      </c>
      <c r="P9" s="125">
        <v>18</v>
      </c>
      <c r="Q9" s="153">
        <v>28</v>
      </c>
      <c r="R9" s="94">
        <v>18</v>
      </c>
      <c r="S9" s="74"/>
      <c r="T9" s="1352"/>
      <c r="U9" s="129">
        <v>9.375E-2</v>
      </c>
      <c r="V9" s="79">
        <f t="shared" si="0"/>
        <v>23.4375</v>
      </c>
      <c r="W9" s="79">
        <f t="shared" si="0"/>
        <v>28.125</v>
      </c>
      <c r="X9" s="79">
        <f t="shared" si="0"/>
        <v>32.8125</v>
      </c>
      <c r="Y9" s="79">
        <f t="shared" si="0"/>
        <v>37.5</v>
      </c>
      <c r="Z9" s="79">
        <f t="shared" si="0"/>
        <v>42.1875</v>
      </c>
      <c r="AA9" s="79">
        <f t="shared" si="0"/>
        <v>46.875</v>
      </c>
      <c r="AB9" s="79">
        <f t="shared" si="0"/>
        <v>53.90625</v>
      </c>
      <c r="AC9" s="79">
        <f t="shared" si="0"/>
        <v>60.9375</v>
      </c>
      <c r="AD9" s="79">
        <f t="shared" si="0"/>
        <v>67.96875</v>
      </c>
      <c r="AE9" s="79">
        <f t="shared" si="0"/>
        <v>75</v>
      </c>
      <c r="AF9" s="79">
        <f t="shared" si="0"/>
        <v>82.03125</v>
      </c>
      <c r="AG9" s="79">
        <f t="shared" si="0"/>
        <v>89.0625</v>
      </c>
      <c r="AH9" s="79">
        <f t="shared" si="0"/>
        <v>98.4375</v>
      </c>
      <c r="AI9" s="79">
        <f t="shared" si="0"/>
        <v>107.8125</v>
      </c>
      <c r="AJ9" s="101">
        <f t="shared" si="0"/>
        <v>117.1875</v>
      </c>
      <c r="AK9" s="75"/>
      <c r="AL9" s="31"/>
    </row>
    <row r="10" spans="2:38" x14ac:dyDescent="0.25">
      <c r="B10" s="1349"/>
      <c r="C10" s="1365"/>
      <c r="D10" s="1355"/>
      <c r="E10" s="1368"/>
      <c r="F10" s="1371"/>
      <c r="G10" s="1360"/>
      <c r="H10" s="1340"/>
      <c r="I10" s="1340"/>
      <c r="J10" s="1340"/>
      <c r="K10" s="1343"/>
      <c r="L10" s="149" t="s">
        <v>92</v>
      </c>
      <c r="M10" s="1345"/>
      <c r="N10" s="137">
        <v>0.15625</v>
      </c>
      <c r="O10" s="100">
        <v>24</v>
      </c>
      <c r="P10" s="125">
        <v>18</v>
      </c>
      <c r="Q10" s="153">
        <v>24</v>
      </c>
      <c r="R10" s="94">
        <v>18</v>
      </c>
      <c r="S10" s="74"/>
      <c r="T10" s="1352"/>
      <c r="U10" s="129">
        <v>0.15625</v>
      </c>
      <c r="V10" s="79">
        <f t="shared" si="0"/>
        <v>39.0625</v>
      </c>
      <c r="W10" s="79">
        <f t="shared" si="0"/>
        <v>46.875</v>
      </c>
      <c r="X10" s="79">
        <f t="shared" si="0"/>
        <v>54.6875</v>
      </c>
      <c r="Y10" s="79">
        <f t="shared" si="0"/>
        <v>62.5</v>
      </c>
      <c r="Z10" s="79">
        <f t="shared" si="0"/>
        <v>70.3125</v>
      </c>
      <c r="AA10" s="79">
        <f t="shared" si="0"/>
        <v>78.125</v>
      </c>
      <c r="AB10" s="79">
        <f t="shared" si="0"/>
        <v>89.84375</v>
      </c>
      <c r="AC10" s="79">
        <f t="shared" si="0"/>
        <v>101.5625</v>
      </c>
      <c r="AD10" s="79">
        <f t="shared" si="0"/>
        <v>113.28125</v>
      </c>
      <c r="AE10" s="79">
        <f t="shared" si="0"/>
        <v>125</v>
      </c>
      <c r="AF10" s="79">
        <f t="shared" si="0"/>
        <v>136.71875</v>
      </c>
      <c r="AG10" s="79">
        <f t="shared" si="0"/>
        <v>148.4375</v>
      </c>
      <c r="AH10" s="79">
        <f t="shared" si="0"/>
        <v>164.0625</v>
      </c>
      <c r="AI10" s="79">
        <f t="shared" si="0"/>
        <v>179.6875</v>
      </c>
      <c r="AJ10" s="101">
        <f t="shared" si="0"/>
        <v>195.3125</v>
      </c>
      <c r="AK10" s="75"/>
      <c r="AL10" s="31"/>
    </row>
    <row r="11" spans="2:38" x14ac:dyDescent="0.25">
      <c r="B11" s="1349"/>
      <c r="C11" s="1365"/>
      <c r="D11" s="1355"/>
      <c r="E11" s="1368"/>
      <c r="F11" s="1371"/>
      <c r="G11" s="1360"/>
      <c r="H11" s="1340"/>
      <c r="I11" s="1340"/>
      <c r="J11" s="1340"/>
      <c r="K11" s="1343"/>
      <c r="L11" s="149" t="s">
        <v>92</v>
      </c>
      <c r="M11" s="1345"/>
      <c r="N11" s="137">
        <v>0.21875</v>
      </c>
      <c r="O11" s="100">
        <v>20</v>
      </c>
      <c r="P11" s="125">
        <v>18</v>
      </c>
      <c r="Q11" s="153">
        <v>20</v>
      </c>
      <c r="R11" s="94">
        <v>18</v>
      </c>
      <c r="S11" s="74"/>
      <c r="T11" s="1352"/>
      <c r="U11" s="129">
        <v>0.21875</v>
      </c>
      <c r="V11" s="79">
        <f t="shared" si="0"/>
        <v>54.6875</v>
      </c>
      <c r="W11" s="79">
        <f t="shared" si="0"/>
        <v>65.625</v>
      </c>
      <c r="X11" s="79">
        <f t="shared" si="0"/>
        <v>76.5625</v>
      </c>
      <c r="Y11" s="79">
        <f t="shared" si="0"/>
        <v>87.5</v>
      </c>
      <c r="Z11" s="79">
        <f t="shared" si="0"/>
        <v>98.4375</v>
      </c>
      <c r="AA11" s="79">
        <f t="shared" si="0"/>
        <v>109.375</v>
      </c>
      <c r="AB11" s="79">
        <f t="shared" si="0"/>
        <v>125.78125</v>
      </c>
      <c r="AC11" s="79">
        <f t="shared" si="0"/>
        <v>142.1875</v>
      </c>
      <c r="AD11" s="79">
        <f t="shared" si="0"/>
        <v>158.59375</v>
      </c>
      <c r="AE11" s="79">
        <f t="shared" si="0"/>
        <v>175</v>
      </c>
      <c r="AF11" s="79">
        <f t="shared" si="0"/>
        <v>191.40625</v>
      </c>
      <c r="AG11" s="79">
        <f t="shared" si="0"/>
        <v>207.8125</v>
      </c>
      <c r="AH11" s="79">
        <f t="shared" si="0"/>
        <v>229.6875</v>
      </c>
      <c r="AI11" s="79">
        <f t="shared" si="0"/>
        <v>251.5625</v>
      </c>
      <c r="AJ11" s="101">
        <f t="shared" si="0"/>
        <v>273.4375</v>
      </c>
      <c r="AK11" s="75"/>
      <c r="AL11" s="31"/>
    </row>
    <row r="12" spans="2:38" x14ac:dyDescent="0.25">
      <c r="B12" s="1349"/>
      <c r="C12" s="1365"/>
      <c r="D12" s="1355"/>
      <c r="E12" s="1368"/>
      <c r="F12" s="1371"/>
      <c r="G12" s="1360"/>
      <c r="H12" s="1340"/>
      <c r="I12" s="1340"/>
      <c r="J12" s="1340"/>
      <c r="K12" s="1343"/>
      <c r="L12" s="149" t="s">
        <v>92</v>
      </c>
      <c r="M12" s="1345"/>
      <c r="N12" s="137">
        <v>0.3125</v>
      </c>
      <c r="O12" s="100">
        <v>16</v>
      </c>
      <c r="P12" s="125">
        <v>18</v>
      </c>
      <c r="Q12" s="153">
        <v>16</v>
      </c>
      <c r="R12" s="94">
        <v>18</v>
      </c>
      <c r="S12" s="74"/>
      <c r="T12" s="1352"/>
      <c r="U12" s="129">
        <v>0.3125</v>
      </c>
      <c r="V12" s="79">
        <f t="shared" si="0"/>
        <v>78.125</v>
      </c>
      <c r="W12" s="79">
        <f t="shared" si="0"/>
        <v>93.75</v>
      </c>
      <c r="X12" s="79">
        <f t="shared" si="0"/>
        <v>109.375</v>
      </c>
      <c r="Y12" s="79">
        <f t="shared" si="0"/>
        <v>125</v>
      </c>
      <c r="Z12" s="79">
        <f t="shared" si="0"/>
        <v>140.625</v>
      </c>
      <c r="AA12" s="79">
        <f t="shared" si="0"/>
        <v>156.25</v>
      </c>
      <c r="AB12" s="79">
        <f t="shared" si="0"/>
        <v>179.6875</v>
      </c>
      <c r="AC12" s="79">
        <f t="shared" si="0"/>
        <v>203.125</v>
      </c>
      <c r="AD12" s="79">
        <f t="shared" si="0"/>
        <v>226.5625</v>
      </c>
      <c r="AE12" s="79">
        <f t="shared" si="0"/>
        <v>250</v>
      </c>
      <c r="AF12" s="79">
        <f t="shared" si="0"/>
        <v>273.4375</v>
      </c>
      <c r="AG12" s="79">
        <f t="shared" si="0"/>
        <v>296.875</v>
      </c>
      <c r="AH12" s="79">
        <f t="shared" si="0"/>
        <v>328.125</v>
      </c>
      <c r="AI12" s="79" t="str">
        <f t="shared" si="0"/>
        <v/>
      </c>
      <c r="AJ12" s="101" t="str">
        <f t="shared" si="0"/>
        <v/>
      </c>
      <c r="AK12" s="75"/>
      <c r="AL12" s="31"/>
    </row>
    <row r="13" spans="2:38" x14ac:dyDescent="0.25">
      <c r="B13" s="1349"/>
      <c r="C13" s="1365"/>
      <c r="D13" s="1355"/>
      <c r="E13" s="1368"/>
      <c r="F13" s="1371"/>
      <c r="G13" s="1360"/>
      <c r="H13" s="1340"/>
      <c r="I13" s="1340"/>
      <c r="J13" s="1340"/>
      <c r="K13" s="1343"/>
      <c r="L13" s="149" t="s">
        <v>92</v>
      </c>
      <c r="M13" s="1345"/>
      <c r="N13" s="137">
        <v>0.46875</v>
      </c>
      <c r="O13" s="100">
        <v>8</v>
      </c>
      <c r="P13" s="125">
        <v>18</v>
      </c>
      <c r="Q13" s="153">
        <v>8</v>
      </c>
      <c r="R13" s="94">
        <v>18</v>
      </c>
      <c r="S13" s="74"/>
      <c r="T13" s="1352"/>
      <c r="U13" s="129">
        <v>0.46875</v>
      </c>
      <c r="V13" s="79">
        <f t="shared" si="0"/>
        <v>117.1875</v>
      </c>
      <c r="W13" s="79">
        <f t="shared" si="0"/>
        <v>140.625</v>
      </c>
      <c r="X13" s="79">
        <f t="shared" si="0"/>
        <v>164.0625</v>
      </c>
      <c r="Y13" s="79">
        <f t="shared" si="0"/>
        <v>187.5</v>
      </c>
      <c r="Z13" s="79">
        <f t="shared" si="0"/>
        <v>210.9375</v>
      </c>
      <c r="AA13" s="79">
        <f t="shared" si="0"/>
        <v>234.375</v>
      </c>
      <c r="AB13" s="79">
        <f t="shared" si="0"/>
        <v>269.53125</v>
      </c>
      <c r="AC13" s="79">
        <f t="shared" si="0"/>
        <v>304.6875</v>
      </c>
      <c r="AD13" s="79">
        <f t="shared" si="0"/>
        <v>339.84375</v>
      </c>
      <c r="AE13" s="79" t="str">
        <f t="shared" si="0"/>
        <v/>
      </c>
      <c r="AF13" s="79" t="str">
        <f t="shared" si="0"/>
        <v/>
      </c>
      <c r="AG13" s="79" t="str">
        <f t="shared" si="0"/>
        <v/>
      </c>
      <c r="AH13" s="79" t="str">
        <f t="shared" si="0"/>
        <v/>
      </c>
      <c r="AI13" s="79" t="str">
        <f t="shared" si="0"/>
        <v/>
      </c>
      <c r="AJ13" s="101" t="str">
        <f t="shared" si="0"/>
        <v/>
      </c>
      <c r="AK13" s="75"/>
      <c r="AL13" s="31"/>
    </row>
    <row r="14" spans="2:38" x14ac:dyDescent="0.25">
      <c r="B14" s="1350"/>
      <c r="C14" s="1366"/>
      <c r="D14" s="1356"/>
      <c r="E14" s="1369"/>
      <c r="F14" s="1372"/>
      <c r="G14" s="1361"/>
      <c r="H14" s="1341"/>
      <c r="I14" s="1341"/>
      <c r="J14" s="1341"/>
      <c r="K14" s="1344"/>
      <c r="L14" s="150" t="s">
        <v>93</v>
      </c>
      <c r="M14" s="1346"/>
      <c r="N14" s="138">
        <v>0.71875</v>
      </c>
      <c r="O14" s="87">
        <v>4</v>
      </c>
      <c r="P14" s="126">
        <v>18</v>
      </c>
      <c r="Q14" s="154">
        <v>4</v>
      </c>
      <c r="R14" s="88">
        <v>18</v>
      </c>
      <c r="S14" s="74"/>
      <c r="T14" s="1353"/>
      <c r="U14" s="130">
        <v>0.71875</v>
      </c>
      <c r="V14" s="81">
        <f t="shared" si="0"/>
        <v>179.6875</v>
      </c>
      <c r="W14" s="81">
        <f t="shared" si="0"/>
        <v>215.625</v>
      </c>
      <c r="X14" s="81">
        <f t="shared" si="0"/>
        <v>251.5625</v>
      </c>
      <c r="Y14" s="81">
        <f t="shared" si="0"/>
        <v>287.5</v>
      </c>
      <c r="Z14" s="81">
        <f t="shared" si="0"/>
        <v>323.4375</v>
      </c>
      <c r="AA14" s="81" t="str">
        <f t="shared" si="0"/>
        <v/>
      </c>
      <c r="AB14" s="81" t="str">
        <f t="shared" si="0"/>
        <v/>
      </c>
      <c r="AC14" s="81" t="str">
        <f t="shared" si="0"/>
        <v/>
      </c>
      <c r="AD14" s="81" t="str">
        <f t="shared" si="0"/>
        <v/>
      </c>
      <c r="AE14" s="81" t="str">
        <f t="shared" si="0"/>
        <v/>
      </c>
      <c r="AF14" s="81" t="str">
        <f t="shared" si="0"/>
        <v/>
      </c>
      <c r="AG14" s="81" t="str">
        <f t="shared" si="0"/>
        <v/>
      </c>
      <c r="AH14" s="81" t="str">
        <f t="shared" si="0"/>
        <v/>
      </c>
      <c r="AI14" s="81" t="str">
        <f t="shared" si="0"/>
        <v/>
      </c>
      <c r="AJ14" s="102" t="str">
        <f t="shared" si="0"/>
        <v/>
      </c>
      <c r="AK14" s="75"/>
      <c r="AL14" s="31"/>
    </row>
    <row r="15" spans="2:38" x14ac:dyDescent="0.25">
      <c r="B15" s="103"/>
      <c r="C15" s="141"/>
      <c r="D15" s="141"/>
      <c r="E15" s="142"/>
      <c r="F15" s="143"/>
      <c r="G15" s="141"/>
      <c r="H15" s="143"/>
      <c r="I15" s="143"/>
      <c r="J15" s="143"/>
      <c r="K15" s="143"/>
      <c r="L15" s="143"/>
      <c r="M15" s="144"/>
      <c r="N15" s="139"/>
      <c r="O15" s="74"/>
      <c r="P15" s="74"/>
      <c r="Q15" s="74"/>
      <c r="R15" s="74"/>
      <c r="S15" s="74"/>
      <c r="T15" s="145"/>
      <c r="U15" s="13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5"/>
      <c r="AL15" s="31"/>
    </row>
    <row r="16" spans="2:38" x14ac:dyDescent="0.25">
      <c r="B16" s="111" t="s">
        <v>87</v>
      </c>
      <c r="C16" s="109">
        <v>1</v>
      </c>
      <c r="D16" s="110">
        <f t="shared" ref="D16:J16" si="1">C16+1</f>
        <v>2</v>
      </c>
      <c r="E16" s="110">
        <f t="shared" si="1"/>
        <v>3</v>
      </c>
      <c r="F16" s="110">
        <f t="shared" si="1"/>
        <v>4</v>
      </c>
      <c r="G16" s="110">
        <f t="shared" si="1"/>
        <v>5</v>
      </c>
      <c r="H16" s="110">
        <f t="shared" si="1"/>
        <v>6</v>
      </c>
      <c r="I16" s="110">
        <f t="shared" si="1"/>
        <v>7</v>
      </c>
      <c r="J16" s="110">
        <f t="shared" si="1"/>
        <v>8</v>
      </c>
      <c r="K16" s="110">
        <f>J16+1</f>
        <v>9</v>
      </c>
      <c r="L16" s="135"/>
      <c r="M16" s="135"/>
      <c r="N16" s="135"/>
    </row>
    <row r="17" spans="2:19" x14ac:dyDescent="0.25">
      <c r="B17" s="111" t="s">
        <v>78</v>
      </c>
      <c r="C17" s="112" t="s">
        <v>68</v>
      </c>
      <c r="D17" s="113" t="s">
        <v>69</v>
      </c>
      <c r="E17" s="114" t="s">
        <v>70</v>
      </c>
      <c r="F17" s="115" t="s">
        <v>66</v>
      </c>
      <c r="G17" s="116" t="s">
        <v>71</v>
      </c>
      <c r="H17" s="117" t="s">
        <v>72</v>
      </c>
      <c r="I17" s="118" t="s">
        <v>73</v>
      </c>
      <c r="J17" s="119" t="s">
        <v>74</v>
      </c>
      <c r="K17" s="120" t="s">
        <v>75</v>
      </c>
      <c r="L17" s="31"/>
      <c r="M17" s="31"/>
      <c r="N17" s="31"/>
    </row>
    <row r="18" spans="2:19" x14ac:dyDescent="0.25">
      <c r="E18" s="107"/>
      <c r="F18" s="108"/>
      <c r="G18" s="108"/>
      <c r="H18" s="108"/>
      <c r="I18" s="108"/>
      <c r="J18" s="108"/>
      <c r="K18" s="108"/>
      <c r="L18" s="108"/>
      <c r="M18" s="108"/>
      <c r="N18" s="108"/>
    </row>
    <row r="19" spans="2:19" x14ac:dyDescent="0.25">
      <c r="B19" s="31" t="s">
        <v>88</v>
      </c>
      <c r="C19" s="74">
        <v>6.375</v>
      </c>
    </row>
    <row r="20" spans="2:19" x14ac:dyDescent="0.25">
      <c r="D20" s="107"/>
      <c r="E20" s="108"/>
      <c r="F20" s="108"/>
    </row>
    <row r="26" spans="2:19" x14ac:dyDescent="0.25">
      <c r="E26" s="31"/>
      <c r="F26" s="74"/>
      <c r="G26" s="107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</row>
    <row r="27" spans="2:19" ht="15" customHeight="1" x14ac:dyDescent="0.25"/>
    <row r="29" spans="2:19" x14ac:dyDescent="0.25">
      <c r="J29" s="108"/>
      <c r="K29" s="108"/>
      <c r="L29" s="108"/>
      <c r="M29" s="108"/>
      <c r="N29" s="108"/>
      <c r="O29" s="108"/>
      <c r="P29" s="108"/>
      <c r="Q29" s="108"/>
      <c r="R29" s="108"/>
      <c r="S29" s="108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  <mergeCell ref="J7:J14"/>
    <mergeCell ref="K7:K14"/>
    <mergeCell ref="M8:M14"/>
    <mergeCell ref="M5:M6"/>
    <mergeCell ref="K5:K6"/>
    <mergeCell ref="J5:J6"/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Y1048576"/>
  <sheetViews>
    <sheetView showGridLines="0" tabSelected="1" zoomScaleNormal="10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7.7109375" customWidth="1"/>
    <col min="12" max="12" width="13.855468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17" customWidth="1"/>
    <col min="49" max="51" width="9.140625" style="31"/>
    <col min="53" max="53" width="11" bestFit="1" customWidth="1"/>
    <col min="54" max="54" width="11" style="31" customWidth="1"/>
    <col min="55" max="95" width="10.7109375" customWidth="1"/>
    <col min="96" max="96" width="11.85546875" bestFit="1" customWidth="1"/>
    <col min="97" max="131" width="10.7109375" customWidth="1"/>
    <col min="132" max="132" width="13.140625" bestFit="1" customWidth="1"/>
    <col min="133" max="166" width="10.7109375" customWidth="1"/>
    <col min="167" max="168" width="11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1" max="225" width="11.7109375" customWidth="1"/>
    <col min="226" max="226" width="12.5703125" customWidth="1"/>
    <col min="227" max="227" width="10.7109375" bestFit="1" customWidth="1"/>
    <col min="228" max="230" width="7.7109375" customWidth="1"/>
    <col min="231" max="235" width="11.7109375" customWidth="1"/>
    <col min="236" max="236" width="12.7109375" customWidth="1"/>
    <col min="237" max="237" width="10.7109375" customWidth="1"/>
    <col min="238" max="238" width="11.7109375" customWidth="1"/>
    <col min="239" max="239" width="10.7109375" customWidth="1"/>
    <col min="240" max="240" width="41.7109375" customWidth="1"/>
    <col min="242" max="242" width="9.140625" style="31"/>
    <col min="243" max="243" width="9.140625" style="31" customWidth="1"/>
    <col min="244" max="245" width="9.140625" customWidth="1"/>
    <col min="246" max="247" width="12.7109375" customWidth="1"/>
    <col min="263" max="263" width="12.7109375" customWidth="1"/>
  </cols>
  <sheetData>
    <row r="1" spans="1:285" ht="45" customHeight="1" thickBot="1" x14ac:dyDescent="0.3">
      <c r="A1" s="699"/>
      <c r="B1" s="31"/>
      <c r="C1" s="1181" t="str">
        <f>CONCATENATE(Settings!$C$19," ",Settings!$B$28)</f>
        <v>10.625 2746r00</v>
      </c>
      <c r="D1" s="1181"/>
      <c r="E1" s="1181"/>
      <c r="F1" s="1181"/>
      <c r="G1" s="1181"/>
      <c r="H1" s="1181"/>
      <c r="I1" s="1181"/>
      <c r="J1" s="1181"/>
      <c r="K1" s="1181"/>
      <c r="L1" s="709"/>
      <c r="M1" s="975">
        <f>LARGE(M9:M150,1)</f>
        <v>6.2539999999999996</v>
      </c>
      <c r="N1" s="419"/>
      <c r="O1" s="419"/>
      <c r="P1" s="935"/>
      <c r="Q1" s="966"/>
      <c r="R1" s="935"/>
      <c r="S1" s="166"/>
      <c r="T1" s="166"/>
      <c r="U1" s="82"/>
      <c r="V1" s="162">
        <f>Q1-W1</f>
        <v>-0.56923119401000122</v>
      </c>
      <c r="W1" s="162">
        <f>360-W14</f>
        <v>0.56923119401000122</v>
      </c>
      <c r="X1" s="162">
        <f>V1+W1</f>
        <v>0</v>
      </c>
      <c r="Y1" s="16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135"/>
      <c r="AL1" s="82"/>
      <c r="AM1" s="82"/>
      <c r="AN1" s="82"/>
      <c r="AO1" s="82"/>
      <c r="AP1" s="82"/>
      <c r="AQ1" s="82"/>
      <c r="AR1" s="82"/>
      <c r="AS1" s="82"/>
      <c r="AT1" s="82"/>
      <c r="AU1" s="419"/>
      <c r="AV1" s="82"/>
      <c r="AW1" s="82"/>
      <c r="AX1" s="82"/>
      <c r="AY1" s="82"/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2"/>
      <c r="BL1" s="82"/>
      <c r="BM1" s="82"/>
      <c r="BN1" s="82"/>
      <c r="BO1" s="82"/>
      <c r="BP1" s="82"/>
      <c r="BQ1" s="82"/>
      <c r="BR1" s="82"/>
      <c r="BS1" s="82"/>
      <c r="BT1" s="82"/>
      <c r="BU1" s="82"/>
      <c r="BV1" s="82"/>
      <c r="BW1" s="82"/>
      <c r="BX1" s="82"/>
      <c r="BY1" s="82"/>
      <c r="BZ1" s="82"/>
      <c r="CA1" s="82"/>
      <c r="CB1" s="82"/>
      <c r="CC1" s="82"/>
      <c r="CD1" s="82"/>
      <c r="CE1" s="82"/>
      <c r="CF1" s="82"/>
      <c r="CG1" s="82"/>
      <c r="CH1" s="82"/>
      <c r="CI1" s="82"/>
      <c r="CJ1" s="82"/>
      <c r="CK1" s="82"/>
      <c r="CL1" s="82"/>
      <c r="CM1" s="82"/>
      <c r="CN1" s="82"/>
      <c r="CO1" s="82"/>
      <c r="CP1" s="82"/>
      <c r="CQ1" s="82"/>
      <c r="CR1" s="82"/>
      <c r="CS1" s="82"/>
      <c r="CT1" s="82"/>
      <c r="CU1" s="82"/>
      <c r="CV1" s="82"/>
      <c r="CW1" s="82"/>
      <c r="CX1" s="82"/>
      <c r="CY1" s="82"/>
      <c r="CZ1" s="82"/>
      <c r="DA1" s="82"/>
      <c r="DB1" s="82"/>
      <c r="DC1" s="82"/>
      <c r="DD1" s="82"/>
      <c r="DE1" s="82"/>
      <c r="DF1" s="82"/>
      <c r="DG1" s="82"/>
      <c r="DH1" s="82"/>
      <c r="DI1" s="82"/>
      <c r="DJ1" s="82"/>
      <c r="DK1" s="82"/>
      <c r="DL1" s="82"/>
      <c r="DM1" s="82"/>
      <c r="DN1" s="82"/>
      <c r="DO1" s="82"/>
      <c r="DP1" s="82"/>
      <c r="DQ1" s="82"/>
      <c r="DR1" s="82"/>
      <c r="DS1" s="82"/>
      <c r="DT1" s="82"/>
      <c r="DU1" s="82"/>
      <c r="DV1" s="82"/>
      <c r="DW1" s="82"/>
      <c r="DX1" s="82"/>
      <c r="DY1" s="82"/>
      <c r="DZ1" s="82"/>
      <c r="EA1" s="82"/>
      <c r="EB1" s="82"/>
      <c r="EC1" s="82"/>
      <c r="ED1" s="82"/>
      <c r="EE1" s="82"/>
      <c r="EF1" s="82"/>
      <c r="EG1" s="82"/>
      <c r="EH1" s="162"/>
      <c r="EI1" s="82"/>
      <c r="EJ1" s="82"/>
      <c r="EK1" s="82"/>
      <c r="EL1" s="82"/>
      <c r="EM1" s="82"/>
      <c r="EN1" s="82"/>
      <c r="EO1" s="82"/>
      <c r="ES1" s="82"/>
      <c r="ET1" s="82"/>
      <c r="EU1" s="71" t="s">
        <v>219</v>
      </c>
      <c r="EV1" s="31">
        <v>90</v>
      </c>
      <c r="EW1" s="82">
        <v>0.91236023973856395</v>
      </c>
      <c r="EX1" s="82">
        <v>0.24177896483129099</v>
      </c>
      <c r="EY1" s="82">
        <v>-0.33036604714967344</v>
      </c>
      <c r="EZ1" s="82"/>
      <c r="FA1" s="82"/>
      <c r="FB1" s="82"/>
      <c r="FC1" s="82"/>
      <c r="FD1" s="82">
        <v>0.95284226176036202</v>
      </c>
      <c r="FE1" s="82">
        <v>2.7755575615628914E-17</v>
      </c>
      <c r="FF1" s="82">
        <v>-0.30346601820203545</v>
      </c>
      <c r="FG1" s="82"/>
      <c r="FH1" s="82"/>
      <c r="FI1" s="82" t="e">
        <f>SQRT((EW14-FD14)^2+(EX14-FE14)^2+(EY14-FF14)^2)</f>
        <v>#VALUE!</v>
      </c>
      <c r="FJ1" s="219" t="e">
        <f>DEGREES(ACOS((2-SQRT((EW14-FD14)^2+(EX14-FE14)^2+(EY14-FF14)^2)^2)/2))</f>
        <v>#VALUE!</v>
      </c>
      <c r="FK1" s="82"/>
      <c r="FL1" s="82"/>
      <c r="FM1" s="82"/>
      <c r="FN1" s="82"/>
      <c r="FO1" s="82"/>
      <c r="FP1" s="82"/>
      <c r="FQ1" s="82"/>
      <c r="FR1" s="82"/>
      <c r="FS1" s="82"/>
      <c r="FT1" s="82"/>
      <c r="FU1" s="82"/>
      <c r="FV1" s="82"/>
      <c r="FW1" s="82"/>
      <c r="FX1" s="82"/>
      <c r="FY1" s="82"/>
      <c r="FZ1" s="82"/>
      <c r="GA1" s="82"/>
      <c r="GB1" s="82"/>
      <c r="GC1" s="82"/>
      <c r="GD1" s="82"/>
      <c r="GE1" s="82"/>
      <c r="GF1" s="82"/>
      <c r="GG1" s="82"/>
      <c r="GH1" s="82"/>
      <c r="GI1" s="82"/>
      <c r="GJ1" s="31"/>
      <c r="GK1" s="82"/>
      <c r="GL1" s="82"/>
      <c r="GM1" s="82"/>
      <c r="GN1" s="82"/>
      <c r="GO1" s="82"/>
      <c r="GP1" s="82"/>
      <c r="GQ1" s="82"/>
      <c r="GR1" s="82"/>
      <c r="GS1" s="82"/>
      <c r="GT1" s="82"/>
      <c r="GU1" s="82"/>
      <c r="GV1" s="82"/>
      <c r="GW1" s="82"/>
      <c r="GX1" s="82"/>
      <c r="GY1" s="82"/>
      <c r="GZ1" s="82"/>
      <c r="HA1" s="82"/>
      <c r="HB1" s="82"/>
      <c r="HC1" s="82"/>
      <c r="HD1" s="82"/>
      <c r="HE1" s="82"/>
      <c r="HF1" s="82"/>
      <c r="HG1" s="82"/>
      <c r="HH1" s="82"/>
      <c r="HI1" s="82"/>
      <c r="HL1" s="141"/>
      <c r="HM1" s="141"/>
      <c r="HN1" s="141"/>
      <c r="HO1" s="141"/>
      <c r="HP1" s="141"/>
      <c r="HQ1" s="141"/>
      <c r="HR1" s="141"/>
      <c r="HS1" s="141"/>
      <c r="HT1" s="141"/>
      <c r="HU1" s="141"/>
      <c r="HV1" s="141"/>
      <c r="HW1" s="141"/>
      <c r="HX1" s="141"/>
      <c r="HY1" s="141"/>
      <c r="HZ1" s="141"/>
      <c r="IA1" s="141"/>
      <c r="IB1" s="141"/>
      <c r="IC1" s="141"/>
      <c r="ID1" s="141"/>
      <c r="IE1" s="141"/>
      <c r="IN1" s="31"/>
      <c r="IO1" s="323"/>
      <c r="JC1" s="82"/>
      <c r="JD1" s="82"/>
      <c r="JE1" s="82"/>
    </row>
    <row r="2" spans="1:285" ht="15" customHeight="1" thickTop="1" thickBot="1" x14ac:dyDescent="0.3">
      <c r="B2" s="1189" t="s">
        <v>306</v>
      </c>
      <c r="C2" s="1190"/>
      <c r="D2" s="1190"/>
      <c r="E2" s="1190"/>
      <c r="F2" s="1190"/>
      <c r="G2" s="1190"/>
      <c r="H2" s="1190"/>
      <c r="I2" s="1190"/>
      <c r="J2" s="1190"/>
      <c r="K2" s="1191"/>
      <c r="L2" s="1047" t="str" cm="1">
        <f t="array" ref="L2">IF(OR($K$9:$K$150="Undefined"),"Undefined Element","")</f>
        <v/>
      </c>
      <c r="M2" s="1200" t="s">
        <v>0</v>
      </c>
      <c r="N2" s="1159" t="s">
        <v>1</v>
      </c>
      <c r="O2" s="1160"/>
      <c r="P2" s="1160"/>
      <c r="Q2" s="1160"/>
      <c r="R2" s="1160"/>
      <c r="S2" s="1160"/>
      <c r="T2" s="1160"/>
      <c r="U2" s="1160"/>
      <c r="V2" s="1160"/>
      <c r="W2" s="1160"/>
      <c r="X2" s="1160"/>
      <c r="Y2" s="1234"/>
      <c r="Z2" s="1159" t="s">
        <v>2</v>
      </c>
      <c r="AA2" s="1160"/>
      <c r="AB2" s="1160"/>
      <c r="AC2" s="1160"/>
      <c r="AD2" s="1160"/>
      <c r="AE2" s="1160"/>
      <c r="AF2" s="1160"/>
      <c r="AG2" s="1160"/>
      <c r="AH2" s="1160"/>
      <c r="AI2" s="1160"/>
      <c r="AJ2" s="1160"/>
      <c r="AK2" s="1160"/>
      <c r="AL2" s="1160"/>
      <c r="AM2" s="1160"/>
      <c r="AN2" s="1160"/>
      <c r="AO2" s="1160"/>
      <c r="AP2" s="1160"/>
      <c r="AQ2" s="1161"/>
      <c r="AS2" s="1240" t="s">
        <v>44</v>
      </c>
      <c r="AT2" s="1241"/>
      <c r="AV2" s="1232" t="s">
        <v>0</v>
      </c>
      <c r="AW2" s="1159" t="s">
        <v>109</v>
      </c>
      <c r="AX2" s="1160"/>
      <c r="AY2" s="1160"/>
      <c r="AZ2" s="1160"/>
      <c r="BA2" s="1160"/>
      <c r="BB2" s="1160"/>
      <c r="BC2" s="1160"/>
      <c r="BD2" s="1160"/>
      <c r="BE2" s="1161"/>
      <c r="BF2" s="1262" t="s">
        <v>115</v>
      </c>
      <c r="BG2" s="1160"/>
      <c r="BH2" s="1160"/>
      <c r="BI2" s="1160"/>
      <c r="BJ2" s="1160"/>
      <c r="BK2" s="1160"/>
      <c r="BL2" s="1160"/>
      <c r="BM2" s="1160"/>
      <c r="BN2" s="1160"/>
      <c r="BO2" s="1160"/>
      <c r="BP2" s="1160"/>
      <c r="BQ2" s="1160"/>
      <c r="BR2" s="1160"/>
      <c r="BS2" s="1160"/>
      <c r="BT2" s="1160"/>
      <c r="BU2" s="1160"/>
      <c r="BV2" s="1160"/>
      <c r="BW2" s="1160"/>
      <c r="BX2" s="1160"/>
      <c r="BY2" s="1160"/>
      <c r="BZ2" s="1160"/>
      <c r="CA2" s="1160"/>
      <c r="CB2" s="1160"/>
      <c r="CC2" s="1160"/>
      <c r="CD2" s="1160"/>
      <c r="CE2" s="1160"/>
      <c r="CF2" s="1160"/>
      <c r="CG2" s="1160"/>
      <c r="CH2" s="1160"/>
      <c r="CI2" s="1160"/>
      <c r="CJ2" s="1160"/>
      <c r="CK2" s="1160"/>
      <c r="CL2" s="1160"/>
      <c r="CM2" s="1160"/>
      <c r="CN2" s="1160"/>
      <c r="CO2" s="1160"/>
      <c r="CP2" s="1160"/>
      <c r="CQ2" s="1160"/>
      <c r="CR2" s="1160"/>
      <c r="CS2" s="1160"/>
      <c r="CT2" s="1160"/>
      <c r="CU2" s="1160"/>
      <c r="CV2" s="1160"/>
      <c r="CW2" s="1160"/>
      <c r="CX2" s="1160"/>
      <c r="CY2" s="1160"/>
      <c r="CZ2" s="1160"/>
      <c r="DA2" s="1160"/>
      <c r="DB2" s="1160"/>
      <c r="DC2" s="1160"/>
      <c r="DD2" s="1160"/>
      <c r="DE2" s="1160"/>
      <c r="DF2" s="1160"/>
      <c r="DG2" s="1160"/>
      <c r="DH2" s="1160"/>
      <c r="DI2" s="1160"/>
      <c r="DJ2" s="1160"/>
      <c r="DK2" s="1160"/>
      <c r="DL2" s="1160"/>
      <c r="DM2" s="1160"/>
      <c r="DN2" s="1160"/>
      <c r="DO2" s="1160"/>
      <c r="DP2" s="1160"/>
      <c r="DQ2" s="1160"/>
      <c r="DR2" s="1160"/>
      <c r="DS2" s="1160"/>
      <c r="DT2" s="1160"/>
      <c r="DU2" s="1160"/>
      <c r="DV2" s="1160"/>
      <c r="DW2" s="1160"/>
      <c r="DX2" s="1160"/>
      <c r="DY2" s="1160"/>
      <c r="DZ2" s="1160"/>
      <c r="EA2" s="1160"/>
      <c r="EB2" s="1160"/>
      <c r="EC2" s="1160"/>
      <c r="ED2" s="1160"/>
      <c r="EE2" s="1160"/>
      <c r="EF2" s="1160"/>
      <c r="EG2" s="1160"/>
      <c r="EH2" s="1160"/>
      <c r="EI2" s="1160"/>
      <c r="EJ2" s="1160"/>
      <c r="EK2" s="1160"/>
      <c r="EL2" s="1160"/>
      <c r="EM2" s="1160"/>
      <c r="EN2" s="1160"/>
      <c r="EO2" s="1160"/>
      <c r="EP2" s="1160"/>
      <c r="EQ2" s="1160"/>
      <c r="ER2" s="1234"/>
      <c r="ES2" s="1020" t="s">
        <v>196</v>
      </c>
      <c r="ET2" s="1021"/>
      <c r="EU2" s="1021"/>
      <c r="EV2" s="1021"/>
      <c r="EW2" s="1021"/>
      <c r="EX2" s="1021"/>
      <c r="EY2" s="1021"/>
      <c r="EZ2" s="1021"/>
      <c r="FA2" s="1021"/>
      <c r="FB2" s="1021"/>
      <c r="FC2" s="1021"/>
      <c r="FD2" s="1021"/>
      <c r="FE2" s="1021"/>
      <c r="FF2" s="1022"/>
      <c r="FH2" s="780"/>
      <c r="FL2" s="780"/>
      <c r="FM2" s="780"/>
      <c r="FP2" t="s">
        <v>204</v>
      </c>
      <c r="GB2" s="1"/>
      <c r="GE2" s="302"/>
      <c r="GF2" s="302"/>
      <c r="GI2" s="302"/>
      <c r="GL2" s="322">
        <f>SUM(GL9:GL150)</f>
        <v>0</v>
      </c>
      <c r="GM2" s="322">
        <f>SUM(GM9:GM150)</f>
        <v>0</v>
      </c>
      <c r="GR2" s="309">
        <f>SUM(GR9:GR150)</f>
        <v>0</v>
      </c>
      <c r="GS2" s="309">
        <f>SUM(GS9:GS150)</f>
        <v>0</v>
      </c>
      <c r="GT2" s="309"/>
      <c r="GU2" s="309">
        <f>SUM(GU9:GU150)</f>
        <v>0</v>
      </c>
      <c r="GV2" s="309"/>
      <c r="GW2" s="369">
        <v>29500</v>
      </c>
      <c r="GX2" s="309">
        <f>SUM(GX9:GX150)</f>
        <v>0</v>
      </c>
      <c r="GY2" s="309">
        <f>SUM(GY9:GY150)</f>
        <v>0</v>
      </c>
      <c r="GZ2" s="309"/>
      <c r="HE2" s="309"/>
      <c r="HF2" s="309"/>
      <c r="HG2" s="309"/>
      <c r="HH2" s="309"/>
      <c r="HM2" t="s">
        <v>396</v>
      </c>
      <c r="HU2" s="838"/>
      <c r="HV2" s="857"/>
      <c r="HW2" s="986" t="str">
        <f>IFERROR(CONCATENATE("Sum of Lateral Forces = ",ROUND(HE3,0)," lbs @ ",ROUND(HF3,1),"° Relative to Blade 1"),"")</f>
        <v/>
      </c>
      <c r="HX2" s="986"/>
      <c r="HY2" s="986"/>
      <c r="HZ2" s="986"/>
      <c r="IA2" s="986"/>
      <c r="IB2" s="986"/>
      <c r="IC2" s="986"/>
      <c r="ID2" s="986"/>
      <c r="IE2" s="986"/>
      <c r="IF2" s="846"/>
      <c r="IN2" s="31"/>
      <c r="IO2" s="323"/>
      <c r="JC2" s="82"/>
      <c r="JD2" s="82"/>
      <c r="JE2" s="82"/>
    </row>
    <row r="3" spans="1:285" ht="15" customHeight="1" x14ac:dyDescent="0.25">
      <c r="B3" s="1192"/>
      <c r="C3" s="1193"/>
      <c r="D3" s="1193"/>
      <c r="E3" s="1193"/>
      <c r="F3" s="1193"/>
      <c r="G3" s="1193"/>
      <c r="H3" s="1193"/>
      <c r="I3" s="1193"/>
      <c r="J3" s="1193"/>
      <c r="K3" s="1194"/>
      <c r="L3" s="1047"/>
      <c r="M3" s="1192"/>
      <c r="N3" s="1235"/>
      <c r="O3" s="1236"/>
      <c r="P3" s="1236"/>
      <c r="Q3" s="1236"/>
      <c r="R3" s="1236"/>
      <c r="S3" s="1236"/>
      <c r="T3" s="1236"/>
      <c r="U3" s="1236"/>
      <c r="V3" s="1236"/>
      <c r="W3" s="1236"/>
      <c r="X3" s="1236"/>
      <c r="Y3" s="1237"/>
      <c r="Z3" s="1235"/>
      <c r="AA3" s="1236"/>
      <c r="AB3" s="1236"/>
      <c r="AC3" s="1236"/>
      <c r="AD3" s="1236"/>
      <c r="AE3" s="1236"/>
      <c r="AF3" s="1236"/>
      <c r="AG3" s="1236"/>
      <c r="AH3" s="1236"/>
      <c r="AI3" s="1236"/>
      <c r="AJ3" s="1236"/>
      <c r="AK3" s="1236"/>
      <c r="AL3" s="1236"/>
      <c r="AM3" s="1236"/>
      <c r="AN3" s="1236"/>
      <c r="AO3" s="1236"/>
      <c r="AP3" s="1236"/>
      <c r="AQ3" s="1256"/>
      <c r="AS3" s="415">
        <v>100</v>
      </c>
      <c r="AT3" s="412" t="s">
        <v>45</v>
      </c>
      <c r="AV3" s="1233"/>
      <c r="AW3" s="1023"/>
      <c r="AX3" s="1024"/>
      <c r="AY3" s="1024"/>
      <c r="AZ3" s="1024"/>
      <c r="BA3" s="1024"/>
      <c r="BB3" s="1024"/>
      <c r="BC3" s="1024"/>
      <c r="BD3" s="1024"/>
      <c r="BE3" s="1162"/>
      <c r="BF3" s="1263"/>
      <c r="BG3" s="1024"/>
      <c r="BH3" s="1024"/>
      <c r="BI3" s="1024"/>
      <c r="BJ3" s="1024"/>
      <c r="BK3" s="1024"/>
      <c r="BL3" s="1024"/>
      <c r="BM3" s="1024"/>
      <c r="BN3" s="1024"/>
      <c r="BO3" s="1024"/>
      <c r="BP3" s="1024"/>
      <c r="BQ3" s="1024"/>
      <c r="BR3" s="1024"/>
      <c r="BS3" s="1024"/>
      <c r="BT3" s="1024"/>
      <c r="BU3" s="1024"/>
      <c r="BV3" s="1024"/>
      <c r="BW3" s="1024"/>
      <c r="BX3" s="1024"/>
      <c r="BY3" s="1024"/>
      <c r="BZ3" s="1024"/>
      <c r="CA3" s="1024"/>
      <c r="CB3" s="1024"/>
      <c r="CC3" s="1024"/>
      <c r="CD3" s="1024"/>
      <c r="CE3" s="1024"/>
      <c r="CF3" s="1024"/>
      <c r="CG3" s="1024"/>
      <c r="CH3" s="1024"/>
      <c r="CI3" s="1024"/>
      <c r="CJ3" s="1024"/>
      <c r="CK3" s="1024"/>
      <c r="CL3" s="1024"/>
      <c r="CM3" s="1024"/>
      <c r="CN3" s="1024"/>
      <c r="CO3" s="1024"/>
      <c r="CP3" s="1024"/>
      <c r="CQ3" s="1024"/>
      <c r="CR3" s="1024"/>
      <c r="CS3" s="1024"/>
      <c r="CT3" s="1024"/>
      <c r="CU3" s="1024"/>
      <c r="CV3" s="1024"/>
      <c r="CW3" s="1024"/>
      <c r="CX3" s="1024"/>
      <c r="CY3" s="1024"/>
      <c r="CZ3" s="1024"/>
      <c r="DA3" s="1024"/>
      <c r="DB3" s="1024"/>
      <c r="DC3" s="1024"/>
      <c r="DD3" s="1024"/>
      <c r="DE3" s="1024"/>
      <c r="DF3" s="1024"/>
      <c r="DG3" s="1024"/>
      <c r="DH3" s="1024"/>
      <c r="DI3" s="1024"/>
      <c r="DJ3" s="1024"/>
      <c r="DK3" s="1024"/>
      <c r="DL3" s="1024"/>
      <c r="DM3" s="1024"/>
      <c r="DN3" s="1024"/>
      <c r="DO3" s="1024"/>
      <c r="DP3" s="1024"/>
      <c r="DQ3" s="1024"/>
      <c r="DR3" s="1024"/>
      <c r="DS3" s="1024"/>
      <c r="DT3" s="1024"/>
      <c r="DU3" s="1024"/>
      <c r="DV3" s="1024"/>
      <c r="DW3" s="1024"/>
      <c r="DX3" s="1024"/>
      <c r="DY3" s="1024"/>
      <c r="DZ3" s="1024"/>
      <c r="EA3" s="1024"/>
      <c r="EB3" s="1024"/>
      <c r="EC3" s="1024"/>
      <c r="ED3" s="1024"/>
      <c r="EE3" s="1024"/>
      <c r="EF3" s="1024"/>
      <c r="EG3" s="1024"/>
      <c r="EH3" s="1024"/>
      <c r="EI3" s="1024"/>
      <c r="EJ3" s="1024"/>
      <c r="EK3" s="1024"/>
      <c r="EL3" s="1024"/>
      <c r="EM3" s="1024"/>
      <c r="EN3" s="1024"/>
      <c r="EO3" s="1024"/>
      <c r="EP3" s="1024"/>
      <c r="EQ3" s="1024"/>
      <c r="ER3" s="1025"/>
      <c r="ES3" s="1023"/>
      <c r="ET3" s="1024"/>
      <c r="EU3" s="1024"/>
      <c r="EV3" s="1024"/>
      <c r="EW3" s="1024"/>
      <c r="EX3" s="1024"/>
      <c r="EY3" s="1024"/>
      <c r="EZ3" s="1024"/>
      <c r="FA3" s="1024"/>
      <c r="FB3" s="1024"/>
      <c r="FC3" s="1024"/>
      <c r="FD3" s="1024"/>
      <c r="FE3" s="1024"/>
      <c r="FF3" s="1025"/>
      <c r="FI3" s="1"/>
      <c r="FP3" t="s">
        <v>205</v>
      </c>
      <c r="GA3" s="299"/>
      <c r="GB3" s="1"/>
      <c r="GE3" s="302"/>
      <c r="GF3" s="302"/>
      <c r="GG3" s="299"/>
      <c r="GH3" s="299"/>
      <c r="GI3" s="299"/>
      <c r="GJ3" s="31"/>
      <c r="GK3" s="31"/>
      <c r="GL3" s="31"/>
      <c r="GM3" s="31"/>
      <c r="GN3" s="31"/>
      <c r="GO3" s="31"/>
      <c r="GP3" s="31"/>
      <c r="GQ3" s="31"/>
      <c r="GR3" s="323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09">
        <f>SQRT(HG3^2+HH3^2)</f>
        <v>0</v>
      </c>
      <c r="HF3" s="162" t="str">
        <f>IFERROR(IF((DEGREES(ATAN2(HG3,HH3)))&lt;0,(360+(DEGREES(ATAN2(HG3,HH3)))),(DEGREES(ATAN2(HG3,HH3)))),"")</f>
        <v/>
      </c>
      <c r="HG3" s="309">
        <f>HC8+HG8</f>
        <v>0</v>
      </c>
      <c r="HH3" s="309">
        <f>HD8+HH8</f>
        <v>0</v>
      </c>
      <c r="HI3" s="103"/>
      <c r="HJ3" s="31"/>
      <c r="HX3" s="968">
        <f>($HX$6*$AS$3)/5252.113112</f>
        <v>0</v>
      </c>
      <c r="HZ3" s="968">
        <f>($HZ$6*$AS$3)/5252.113112</f>
        <v>0</v>
      </c>
      <c r="IN3" s="31"/>
      <c r="IO3" s="710"/>
      <c r="JC3" s="82"/>
      <c r="JD3" s="82"/>
      <c r="JE3" s="82"/>
    </row>
    <row r="4" spans="1:285" ht="15" customHeight="1" x14ac:dyDescent="0.25">
      <c r="A4" s="31" t="s">
        <v>399</v>
      </c>
      <c r="B4" s="1195"/>
      <c r="C4" s="1196"/>
      <c r="D4" s="1196"/>
      <c r="E4" s="1196"/>
      <c r="F4" s="1196"/>
      <c r="G4" s="1196"/>
      <c r="H4" s="1196"/>
      <c r="I4" s="1196"/>
      <c r="J4" s="1196"/>
      <c r="K4" s="1197"/>
      <c r="L4" s="1047"/>
      <c r="M4" s="1192"/>
      <c r="N4" s="1202" t="s">
        <v>3</v>
      </c>
      <c r="O4" s="1199"/>
      <c r="P4" s="1199"/>
      <c r="Q4" s="1198" t="s">
        <v>4</v>
      </c>
      <c r="R4" s="1199"/>
      <c r="S4" s="1217"/>
      <c r="T4" s="1211" t="str">
        <f>N4</f>
        <v>Cartesian Coordinates</v>
      </c>
      <c r="U4" s="1166"/>
      <c r="V4" s="1212"/>
      <c r="W4" s="1166" t="str">
        <f>$Q$4</f>
        <v>Polar XY; Cartesian Z</v>
      </c>
      <c r="X4" s="1166"/>
      <c r="Y4" s="1182"/>
      <c r="Z4" s="1202" t="s">
        <v>3</v>
      </c>
      <c r="AA4" s="1199"/>
      <c r="AB4" s="1199"/>
      <c r="AC4" s="1199"/>
      <c r="AD4" s="1199"/>
      <c r="AE4" s="1199"/>
      <c r="AF4" s="1199"/>
      <c r="AG4" s="1229" t="s">
        <v>31</v>
      </c>
      <c r="AH4" s="1199"/>
      <c r="AI4" s="1199"/>
      <c r="AJ4" s="1217"/>
      <c r="AK4" s="1257" t="s">
        <v>32</v>
      </c>
      <c r="AL4" s="1258"/>
      <c r="AM4" s="1258"/>
      <c r="AN4" s="1258"/>
      <c r="AO4" s="1258"/>
      <c r="AP4" s="1258"/>
      <c r="AQ4" s="1259"/>
      <c r="AS4" s="416">
        <v>250</v>
      </c>
      <c r="AT4" s="413" t="s">
        <v>46</v>
      </c>
      <c r="AV4" s="1233"/>
      <c r="AW4" s="1124" t="s">
        <v>112</v>
      </c>
      <c r="AX4" s="1094"/>
      <c r="AY4" s="1148"/>
      <c r="AZ4" s="1156"/>
      <c r="BA4" s="1157"/>
      <c r="BB4" s="1163" t="s">
        <v>113</v>
      </c>
      <c r="BC4" s="1166" t="str">
        <f>$Q$4</f>
        <v>Polar XY; Cartesian Z</v>
      </c>
      <c r="BD4" s="1166"/>
      <c r="BE4" s="1167"/>
      <c r="BF4" s="1178" t="s">
        <v>129</v>
      </c>
      <c r="BG4" s="1179"/>
      <c r="BH4" s="1179"/>
      <c r="BI4" s="1179"/>
      <c r="BJ4" s="1179"/>
      <c r="BK4" s="1179"/>
      <c r="BL4" s="1179"/>
      <c r="BM4" s="1179"/>
      <c r="BN4" s="1179"/>
      <c r="BO4" s="1179"/>
      <c r="BP4" s="1179"/>
      <c r="BQ4" s="1179"/>
      <c r="BR4" s="1179"/>
      <c r="BS4" s="1179"/>
      <c r="BT4" s="1179"/>
      <c r="BU4" s="1179"/>
      <c r="BV4" s="1179"/>
      <c r="BW4" s="1179"/>
      <c r="BX4" s="1179"/>
      <c r="BY4" s="1179"/>
      <c r="BZ4" s="1179"/>
      <c r="CA4" s="1179"/>
      <c r="CB4" s="1179"/>
      <c r="CC4" s="1179"/>
      <c r="CD4" s="1179"/>
      <c r="CE4" s="1179"/>
      <c r="CF4" s="1179"/>
      <c r="CG4" s="1179"/>
      <c r="CH4" s="1179"/>
      <c r="CI4" s="1179"/>
      <c r="CJ4" s="1179"/>
      <c r="CK4" s="1179"/>
      <c r="CL4" s="1179"/>
      <c r="CM4" s="1179"/>
      <c r="CN4" s="1180"/>
      <c r="CO4" s="1145" t="s">
        <v>192</v>
      </c>
      <c r="CP4" s="1146"/>
      <c r="CQ4" s="1146"/>
      <c r="CR4" s="1146"/>
      <c r="CS4" s="1146"/>
      <c r="CT4" s="1146"/>
      <c r="CU4" s="1146"/>
      <c r="CV4" s="1146"/>
      <c r="CW4" s="1146"/>
      <c r="CX4" s="1146"/>
      <c r="CY4" s="1146"/>
      <c r="CZ4" s="1146"/>
      <c r="DA4" s="1147"/>
      <c r="DB4" s="1017" t="s">
        <v>389</v>
      </c>
      <c r="DC4" s="1018"/>
      <c r="DD4" s="1018"/>
      <c r="DE4" s="1018"/>
      <c r="DF4" s="1018"/>
      <c r="DG4" s="1018"/>
      <c r="DH4" s="1018"/>
      <c r="DI4" s="1018"/>
      <c r="DJ4" s="1018"/>
      <c r="DK4" s="1018"/>
      <c r="DL4" s="1018"/>
      <c r="DM4" s="1018"/>
      <c r="DN4" s="1018"/>
      <c r="DO4" s="1018"/>
      <c r="DP4" s="1018"/>
      <c r="DQ4" s="1018"/>
      <c r="DR4" s="1018"/>
      <c r="DS4" s="1018"/>
      <c r="DT4" s="1018"/>
      <c r="DU4" s="1018"/>
      <c r="DV4" s="1018"/>
      <c r="DW4" s="1018"/>
      <c r="DX4" s="1018"/>
      <c r="DY4" s="1018"/>
      <c r="DZ4" s="1018"/>
      <c r="EA4" s="1018"/>
      <c r="EB4" s="1018"/>
      <c r="EC4" s="1018"/>
      <c r="ED4" s="1018"/>
      <c r="EE4" s="1018"/>
      <c r="EF4" s="1018"/>
      <c r="EG4" s="1018"/>
      <c r="EH4" s="1018"/>
      <c r="EI4" s="1018"/>
      <c r="EJ4" s="1018"/>
      <c r="EK4" s="1018"/>
      <c r="EL4" s="1018"/>
      <c r="EM4" s="1018"/>
      <c r="EN4" s="1018"/>
      <c r="EO4" s="1018"/>
      <c r="EP4" s="1018"/>
      <c r="EQ4" s="1018"/>
      <c r="ER4" s="1019"/>
      <c r="ES4" s="1118" t="s">
        <v>195</v>
      </c>
      <c r="ET4" s="1119"/>
      <c r="EU4" s="1119"/>
      <c r="EV4" s="1119"/>
      <c r="EW4" s="1119"/>
      <c r="EX4" s="1119"/>
      <c r="EY4" s="1120"/>
      <c r="EZ4" s="1129" t="s">
        <v>200</v>
      </c>
      <c r="FA4" s="1130"/>
      <c r="FB4" s="1130"/>
      <c r="FC4" s="1130"/>
      <c r="FD4" s="1130"/>
      <c r="FE4" s="1130"/>
      <c r="FF4" s="1131"/>
      <c r="FG4" s="325"/>
      <c r="FP4" s="1035" t="s">
        <v>228</v>
      </c>
      <c r="FZ4" s="1035" t="s">
        <v>227</v>
      </c>
      <c r="GA4" s="299"/>
      <c r="GB4" s="299"/>
      <c r="GC4" s="299"/>
      <c r="GD4" s="299"/>
      <c r="GE4" s="299"/>
      <c r="GF4" s="299"/>
      <c r="GG4" s="299"/>
      <c r="GH4" s="299"/>
      <c r="GI4" s="299"/>
      <c r="GJ4" s="1150" t="s">
        <v>235</v>
      </c>
      <c r="GK4" s="1151"/>
      <c r="GL4" s="1151"/>
      <c r="GM4" s="1151"/>
      <c r="GN4" s="1152"/>
      <c r="GO4" s="1086" t="s">
        <v>228</v>
      </c>
      <c r="GP4" s="1090" t="s">
        <v>227</v>
      </c>
      <c r="GR4" s="1055" t="s">
        <v>257</v>
      </c>
      <c r="GS4" s="1084" t="s">
        <v>255</v>
      </c>
      <c r="GT4" s="1085"/>
      <c r="GU4" s="1085"/>
      <c r="GV4" s="1085"/>
      <c r="GW4" s="1085"/>
      <c r="GX4" s="1085"/>
      <c r="GY4" s="1085"/>
      <c r="GZ4" s="1085"/>
      <c r="HA4" s="1073" t="str">
        <f>IFERROR(CONCATENATE("Lateral Forces = ",ROUND(HE3,0)," lbs @ ",ROUND(HF3,1),"° Relative to Blade 1"),"")</f>
        <v/>
      </c>
      <c r="HB4" s="1074"/>
      <c r="HC4" s="1074"/>
      <c r="HD4" s="1074"/>
      <c r="HE4" s="1074"/>
      <c r="HF4" s="1074"/>
      <c r="HG4" s="1074"/>
      <c r="HH4" s="1075"/>
      <c r="HI4" s="1076" t="s">
        <v>0</v>
      </c>
      <c r="HV4" s="847"/>
      <c r="HW4" s="987" t="e">
        <f>CONCATENATE("Yeield Strength of Rock = ",IF(HW6&gt;1000,(ROUNDDOWN(HW6,-3)/1000),""), IF(HW6&gt;1000,",",""),RIGHT(HW6,3)," psi (Tangential Force)")</f>
        <v>#DIV/0!</v>
      </c>
      <c r="HX4" s="987"/>
      <c r="HY4" s="987"/>
      <c r="HZ4" s="987"/>
      <c r="IA4" s="987"/>
      <c r="IB4" s="987"/>
      <c r="IC4" s="987"/>
      <c r="ID4" s="987"/>
      <c r="IE4" s="987"/>
      <c r="IF4" s="844"/>
      <c r="IG4" s="1069" t="s">
        <v>372</v>
      </c>
      <c r="IH4" s="1069"/>
      <c r="II4" s="710" cm="1">
        <f t="array" ref="II4">MAX(MOD(IF($II$9:$II$150="",0,($II$9:$II$150*1000)),100))</f>
        <v>55</v>
      </c>
      <c r="IN4" s="31"/>
      <c r="IO4" s="710"/>
    </row>
    <row r="5" spans="1:285" ht="15" customHeight="1" thickBot="1" x14ac:dyDescent="0.3">
      <c r="A5" s="139">
        <v>0.02</v>
      </c>
      <c r="B5" s="1183" t="str">
        <f>CONCATENATE(B7," ; ",E7," ; ",H7)</f>
        <v>Absolute-Point ; Incremental-Vector Point ; Pocket Info.</v>
      </c>
      <c r="C5" s="1184"/>
      <c r="D5" s="1184"/>
      <c r="E5" s="1184"/>
      <c r="F5" s="1184"/>
      <c r="G5" s="1184"/>
      <c r="H5" s="1184"/>
      <c r="I5" s="1184"/>
      <c r="J5" s="1184"/>
      <c r="K5" s="1185"/>
      <c r="L5" s="813" t="str" cm="1">
        <f t="array" ref="L5">IF(OR(IF(LEFT($K$9:$K$150,4)="&lt;&gt;CS",TRUE,FALSE)),"Wrong CS","")</f>
        <v/>
      </c>
      <c r="M5" s="1192"/>
      <c r="N5" s="1222" t="s">
        <v>5</v>
      </c>
      <c r="O5" s="1223"/>
      <c r="P5" s="1223"/>
      <c r="Q5" s="1275" t="s">
        <v>6</v>
      </c>
      <c r="R5" s="1223"/>
      <c r="S5" s="1261"/>
      <c r="T5" s="1228" t="str">
        <f>CONCATENATE("Relative to ",M8,"'s θ about Z Axis")</f>
        <v>Relative to 1.111's θ about Z Axis</v>
      </c>
      <c r="U5" s="1173"/>
      <c r="V5" s="1252"/>
      <c r="W5" s="1173" t="str">
        <f>CONCATENATE("Relative to ",M8,"'s θ about Z Axis")</f>
        <v>Relative to 1.111's θ about Z Axis</v>
      </c>
      <c r="X5" s="1173"/>
      <c r="Y5" s="1213"/>
      <c r="Z5" s="1203" t="str">
        <f>N5</f>
        <v>Relative to World_CS</v>
      </c>
      <c r="AA5" s="1173"/>
      <c r="AB5" s="1173"/>
      <c r="AC5" s="1173"/>
      <c r="AD5" s="1173"/>
      <c r="AE5" s="1173"/>
      <c r="AF5" s="1173"/>
      <c r="AG5" s="1228" t="str">
        <f>N5</f>
        <v>Relative to World_CS</v>
      </c>
      <c r="AH5" s="1173"/>
      <c r="AI5" s="1173"/>
      <c r="AJ5" s="1174"/>
      <c r="AK5" s="1260" t="s">
        <v>7</v>
      </c>
      <c r="AL5" s="1223"/>
      <c r="AM5" s="1223"/>
      <c r="AN5" s="1223"/>
      <c r="AO5" s="1223"/>
      <c r="AP5" s="1223"/>
      <c r="AQ5" s="1261"/>
      <c r="AS5" s="167">
        <f>(((AS4*12)/60)/AS3)</f>
        <v>0.5</v>
      </c>
      <c r="AT5" s="413" t="s">
        <v>47</v>
      </c>
      <c r="AV5" s="1233"/>
      <c r="AW5" s="991"/>
      <c r="AX5" s="992"/>
      <c r="AY5" s="1177"/>
      <c r="AZ5" s="1101"/>
      <c r="BA5" s="1158"/>
      <c r="BB5" s="1164"/>
      <c r="BC5" s="1172" t="str">
        <f>$W$5</f>
        <v>Relative to 1.111's θ about Z Axis</v>
      </c>
      <c r="BD5" s="1173"/>
      <c r="BE5" s="1174"/>
      <c r="BF5" s="1084" t="s">
        <v>128</v>
      </c>
      <c r="BG5" s="1085"/>
      <c r="BH5" s="1085"/>
      <c r="BI5" s="1085"/>
      <c r="BJ5" s="1085"/>
      <c r="BK5" s="1085"/>
      <c r="BL5" s="1085"/>
      <c r="BM5" s="1085"/>
      <c r="BN5" s="1085"/>
      <c r="BO5" s="1085"/>
      <c r="BP5" s="1085"/>
      <c r="BQ5" s="1085"/>
      <c r="BR5" s="1153"/>
      <c r="BS5" s="1084" t="s">
        <v>130</v>
      </c>
      <c r="BT5" s="1085"/>
      <c r="BU5" s="1085"/>
      <c r="BV5" s="1085"/>
      <c r="BW5" s="1085"/>
      <c r="BX5" s="1085"/>
      <c r="BY5" s="1085"/>
      <c r="BZ5" s="1085"/>
      <c r="CA5" s="1085"/>
      <c r="CB5" s="1085"/>
      <c r="CC5" s="1085"/>
      <c r="CD5" s="1085"/>
      <c r="CE5" s="1153"/>
      <c r="CF5" s="1084" t="s">
        <v>138</v>
      </c>
      <c r="CG5" s="1085"/>
      <c r="CH5" s="1153"/>
      <c r="CI5" s="1084" t="s">
        <v>139</v>
      </c>
      <c r="CJ5" s="1085"/>
      <c r="CK5" s="1085"/>
      <c r="CL5" s="1085"/>
      <c r="CM5" s="1085"/>
      <c r="CN5" s="1153"/>
      <c r="CO5" s="1060" t="s">
        <v>266</v>
      </c>
      <c r="CP5" s="1060" t="s">
        <v>149</v>
      </c>
      <c r="CQ5" s="1094"/>
      <c r="CR5" s="1094"/>
      <c r="CS5" s="1125"/>
      <c r="CT5" s="1094" t="s">
        <v>150</v>
      </c>
      <c r="CU5" s="1148"/>
      <c r="CV5" s="1084" t="s">
        <v>161</v>
      </c>
      <c r="CW5" s="1085"/>
      <c r="CX5" s="1085"/>
      <c r="CY5" s="1085"/>
      <c r="CZ5" s="1085"/>
      <c r="DA5" s="1153"/>
      <c r="DB5" s="1084" t="s">
        <v>162</v>
      </c>
      <c r="DC5" s="1085"/>
      <c r="DD5" s="1085"/>
      <c r="DE5" s="1085"/>
      <c r="DF5" s="1085"/>
      <c r="DG5" s="1085"/>
      <c r="DH5" s="1153"/>
      <c r="DI5" s="1000" t="s">
        <v>172</v>
      </c>
      <c r="DJ5" s="1000"/>
      <c r="DK5" s="1292"/>
      <c r="DL5" s="999" t="s">
        <v>173</v>
      </c>
      <c r="DM5" s="1000"/>
      <c r="DN5" s="1001"/>
      <c r="DO5" s="1294" t="s">
        <v>174</v>
      </c>
      <c r="DP5" s="1295"/>
      <c r="DQ5" s="1295"/>
      <c r="DR5" s="1059" t="s">
        <v>186</v>
      </c>
      <c r="DS5" s="1059"/>
      <c r="DT5" s="1059"/>
      <c r="DU5" s="1059"/>
      <c r="DV5" s="1059"/>
      <c r="DW5" s="1059"/>
      <c r="DX5" s="1060" t="s">
        <v>189</v>
      </c>
      <c r="DY5" s="1063" t="s">
        <v>149</v>
      </c>
      <c r="DZ5" s="1059"/>
      <c r="EA5" s="1059"/>
      <c r="EB5" s="1059"/>
      <c r="EC5" s="1059" t="s">
        <v>150</v>
      </c>
      <c r="ED5" s="1059"/>
      <c r="EE5" s="1055" t="s">
        <v>193</v>
      </c>
      <c r="EF5" s="1055"/>
      <c r="EG5" s="1056"/>
      <c r="EH5" s="1005" t="s">
        <v>194</v>
      </c>
      <c r="EI5" s="1006"/>
      <c r="EJ5" s="1007"/>
      <c r="EK5" s="1059" t="s">
        <v>187</v>
      </c>
      <c r="EL5" s="1060"/>
      <c r="EM5" s="1084" t="s">
        <v>188</v>
      </c>
      <c r="EN5" s="1085"/>
      <c r="EO5" s="1085"/>
      <c r="EP5" s="1085"/>
      <c r="EQ5" s="1085"/>
      <c r="ER5" s="1285"/>
      <c r="ES5" s="1124" t="s">
        <v>201</v>
      </c>
      <c r="ET5" s="1094"/>
      <c r="EU5" s="1125"/>
      <c r="EV5" s="1121" t="s">
        <v>221</v>
      </c>
      <c r="EW5" s="1122"/>
      <c r="EX5" s="1122"/>
      <c r="EY5" s="1123"/>
      <c r="EZ5" s="1037" t="s">
        <v>199</v>
      </c>
      <c r="FA5" s="1138" t="s">
        <v>201</v>
      </c>
      <c r="FB5" s="1029"/>
      <c r="FC5" s="1139"/>
      <c r="FD5" s="1143" t="s">
        <v>221</v>
      </c>
      <c r="FE5" s="1107"/>
      <c r="FF5" s="1108"/>
      <c r="FJ5" s="31" t="s">
        <v>390</v>
      </c>
      <c r="FP5" s="1036"/>
      <c r="FQ5" s="31"/>
      <c r="FR5" s="31"/>
      <c r="FS5" s="31"/>
      <c r="FT5" s="31"/>
      <c r="FZ5" s="1036"/>
      <c r="GJ5" s="1053" t="s">
        <v>262</v>
      </c>
      <c r="GK5" s="1011" t="s">
        <v>260</v>
      </c>
      <c r="GL5" s="1013" t="s">
        <v>110</v>
      </c>
      <c r="GM5" s="1013" t="s">
        <v>111</v>
      </c>
      <c r="GN5" s="1014"/>
      <c r="GO5" s="1087"/>
      <c r="GP5" s="1091"/>
      <c r="GQ5" s="31"/>
      <c r="GR5" s="1047"/>
      <c r="GS5" s="1101" t="s">
        <v>244</v>
      </c>
      <c r="GT5" s="1102"/>
      <c r="GU5" s="1097" t="s">
        <v>245</v>
      </c>
      <c r="GV5" s="1098"/>
      <c r="GW5" s="1099"/>
      <c r="GX5" s="1100"/>
      <c r="GY5" s="1082" t="s">
        <v>107</v>
      </c>
      <c r="GZ5" s="1083"/>
      <c r="HA5" s="1070" t="s">
        <v>244</v>
      </c>
      <c r="HB5" s="1071"/>
      <c r="HC5" s="1071"/>
      <c r="HD5" s="1072"/>
      <c r="HE5" s="1080" t="s">
        <v>245</v>
      </c>
      <c r="HF5" s="1071"/>
      <c r="HG5" s="1071"/>
      <c r="HH5" s="1081"/>
      <c r="HI5" s="1077"/>
      <c r="HM5" s="895"/>
      <c r="HS5" s="895"/>
      <c r="HT5" s="895"/>
      <c r="HU5" s="895"/>
      <c r="HV5" s="896"/>
      <c r="HW5" s="989" t="s">
        <v>245</v>
      </c>
      <c r="HX5" s="990"/>
      <c r="HY5" s="988" t="s">
        <v>388</v>
      </c>
      <c r="HZ5" s="989"/>
      <c r="IA5" s="989"/>
      <c r="IB5" s="990"/>
      <c r="IC5" s="988" t="s">
        <v>254</v>
      </c>
      <c r="ID5" s="989"/>
      <c r="IE5" s="990"/>
      <c r="IF5" s="844"/>
    </row>
    <row r="6" spans="1:285" ht="15" customHeight="1" thickBot="1" x14ac:dyDescent="0.4">
      <c r="B6" s="1186"/>
      <c r="C6" s="1187"/>
      <c r="D6" s="1187"/>
      <c r="E6" s="1187"/>
      <c r="F6" s="1187"/>
      <c r="G6" s="1187"/>
      <c r="H6" s="1187"/>
      <c r="I6" s="1187"/>
      <c r="J6" s="1187"/>
      <c r="K6" s="1188"/>
      <c r="L6" s="1047" t="str" cm="1">
        <f t="array" ref="L6">IF(OR($K$9:$K$150="Inactive"),"Inactive Element","")</f>
        <v/>
      </c>
      <c r="M6" s="1192"/>
      <c r="N6" s="1218" t="s">
        <v>8</v>
      </c>
      <c r="O6" s="1220" t="s">
        <v>9</v>
      </c>
      <c r="P6" s="1273" t="s">
        <v>10</v>
      </c>
      <c r="Q6" s="1224" t="s">
        <v>11</v>
      </c>
      <c r="R6" s="1225"/>
      <c r="S6" s="1214" t="s">
        <v>10</v>
      </c>
      <c r="T6" s="1248" t="str">
        <f>N6</f>
        <v>X</v>
      </c>
      <c r="U6" s="1250" t="str">
        <f>O6</f>
        <v>Y</v>
      </c>
      <c r="V6" s="1209" t="str">
        <f>P6</f>
        <v>Z</v>
      </c>
      <c r="W6" s="1168" t="str">
        <f>$Q$6</f>
        <v>Projected XY</v>
      </c>
      <c r="X6" s="1169"/>
      <c r="Y6" s="1246" t="str">
        <f>$S$6</f>
        <v>Z</v>
      </c>
      <c r="Z6" s="1230" t="s">
        <v>12</v>
      </c>
      <c r="AA6" s="1193"/>
      <c r="AB6" s="1193"/>
      <c r="AC6" s="1231"/>
      <c r="AD6" s="1198" t="s">
        <v>13</v>
      </c>
      <c r="AE6" s="1199"/>
      <c r="AF6" s="1199"/>
      <c r="AG6" s="1229" t="s">
        <v>7</v>
      </c>
      <c r="AH6" s="1199"/>
      <c r="AI6" s="1198" t="s">
        <v>14</v>
      </c>
      <c r="AJ6" s="1217"/>
      <c r="AK6" s="1253" t="str">
        <f>AD6</f>
        <v>Unit Vector</v>
      </c>
      <c r="AL6" s="1254"/>
      <c r="AM6" s="1255"/>
      <c r="AN6" s="34" t="s">
        <v>15</v>
      </c>
      <c r="AO6" s="35" t="s">
        <v>16</v>
      </c>
      <c r="AP6" s="680" t="s">
        <v>17</v>
      </c>
      <c r="AQ6" s="1238" t="s">
        <v>108</v>
      </c>
      <c r="AS6" s="168">
        <f>(AS5/360)</f>
        <v>1.3888888888888889E-3</v>
      </c>
      <c r="AT6" s="414" t="s">
        <v>48</v>
      </c>
      <c r="AV6" s="1233"/>
      <c r="AW6" s="1226" t="s">
        <v>105</v>
      </c>
      <c r="AX6" s="1227"/>
      <c r="AY6" s="188" t="s">
        <v>110</v>
      </c>
      <c r="AZ6" s="1175" t="s">
        <v>111</v>
      </c>
      <c r="BA6" s="1176"/>
      <c r="BB6" s="1165"/>
      <c r="BC6" s="1168" t="str">
        <f>$Q$6</f>
        <v>Projected XY</v>
      </c>
      <c r="BD6" s="1169"/>
      <c r="BE6" s="1170" t="str">
        <f>$S$6</f>
        <v>Z</v>
      </c>
      <c r="BF6" s="1048" t="s">
        <v>125</v>
      </c>
      <c r="BG6" s="982"/>
      <c r="BH6" s="1052"/>
      <c r="BI6" s="981" t="s">
        <v>126</v>
      </c>
      <c r="BJ6" s="982"/>
      <c r="BK6" s="983"/>
      <c r="BL6" s="1049" t="s">
        <v>127</v>
      </c>
      <c r="BM6" s="982"/>
      <c r="BN6" s="1079"/>
      <c r="BO6" s="1048" t="s">
        <v>135</v>
      </c>
      <c r="BP6" s="982"/>
      <c r="BQ6" s="982"/>
      <c r="BR6" s="1079"/>
      <c r="BS6" s="1048" t="s">
        <v>125</v>
      </c>
      <c r="BT6" s="982"/>
      <c r="BU6" s="1052"/>
      <c r="BV6" s="981" t="s">
        <v>126</v>
      </c>
      <c r="BW6" s="982"/>
      <c r="BX6" s="983"/>
      <c r="BY6" s="1049" t="s">
        <v>127</v>
      </c>
      <c r="BZ6" s="982"/>
      <c r="CA6" s="1079"/>
      <c r="CB6" s="1048" t="s">
        <v>135</v>
      </c>
      <c r="CC6" s="982"/>
      <c r="CD6" s="982"/>
      <c r="CE6" s="1079"/>
      <c r="CF6" s="1154" t="s">
        <v>136</v>
      </c>
      <c r="CG6" s="1155"/>
      <c r="CH6" s="1155"/>
      <c r="CI6" s="1288" t="s">
        <v>137</v>
      </c>
      <c r="CJ6" s="1155"/>
      <c r="CK6" s="1289"/>
      <c r="CL6" s="1286" t="s">
        <v>140</v>
      </c>
      <c r="CM6" s="1155"/>
      <c r="CN6" s="1287"/>
      <c r="CO6" s="1062"/>
      <c r="CP6" s="1062"/>
      <c r="CQ6" s="1127"/>
      <c r="CR6" s="1127"/>
      <c r="CS6" s="1128"/>
      <c r="CT6" s="1127"/>
      <c r="CU6" s="1149"/>
      <c r="CV6" s="1216" t="s">
        <v>147</v>
      </c>
      <c r="CW6" s="982"/>
      <c r="CX6" s="983"/>
      <c r="CY6" s="1111" t="s">
        <v>148</v>
      </c>
      <c r="CZ6" s="1104"/>
      <c r="DA6" s="1112"/>
      <c r="DB6" s="1290" t="s">
        <v>175</v>
      </c>
      <c r="DC6" s="1116"/>
      <c r="DD6" s="1117"/>
      <c r="DE6" s="1291" t="s">
        <v>176</v>
      </c>
      <c r="DF6" s="1116"/>
      <c r="DG6" s="1117"/>
      <c r="DH6" s="242" t="s">
        <v>29</v>
      </c>
      <c r="DI6" s="1003"/>
      <c r="DJ6" s="1003"/>
      <c r="DK6" s="1293"/>
      <c r="DL6" s="1002"/>
      <c r="DM6" s="1003"/>
      <c r="DN6" s="1004"/>
      <c r="DO6" s="1296"/>
      <c r="DP6" s="1297"/>
      <c r="DQ6" s="1297"/>
      <c r="DR6" s="1061"/>
      <c r="DS6" s="1061"/>
      <c r="DT6" s="1061"/>
      <c r="DU6" s="1061"/>
      <c r="DV6" s="1061"/>
      <c r="DW6" s="1061"/>
      <c r="DX6" s="1062"/>
      <c r="DY6" s="1064"/>
      <c r="DZ6" s="1061"/>
      <c r="EA6" s="1061"/>
      <c r="EB6" s="1061"/>
      <c r="EC6" s="1061"/>
      <c r="ED6" s="1061"/>
      <c r="EE6" s="1057"/>
      <c r="EF6" s="1057"/>
      <c r="EG6" s="1058"/>
      <c r="EH6" s="1008"/>
      <c r="EI6" s="1009"/>
      <c r="EJ6" s="1010"/>
      <c r="EK6" s="1061"/>
      <c r="EL6" s="1062"/>
      <c r="EM6" s="996" t="s">
        <v>198</v>
      </c>
      <c r="EN6" s="997"/>
      <c r="EO6" s="998"/>
      <c r="EP6" s="1113" t="s">
        <v>197</v>
      </c>
      <c r="EQ6" s="997"/>
      <c r="ER6" s="1114"/>
      <c r="ES6" s="1126"/>
      <c r="ET6" s="1127"/>
      <c r="EU6" s="1128"/>
      <c r="EV6" s="263" t="s">
        <v>220</v>
      </c>
      <c r="EW6" s="1113" t="s">
        <v>201</v>
      </c>
      <c r="EX6" s="997"/>
      <c r="EY6" s="1132"/>
      <c r="EZ6" s="1038"/>
      <c r="FA6" s="1140"/>
      <c r="FB6" s="1141"/>
      <c r="FC6" s="1142"/>
      <c r="FD6" s="996" t="s">
        <v>201</v>
      </c>
      <c r="FE6" s="997"/>
      <c r="FF6" s="1114"/>
      <c r="FG6" s="1135" t="s">
        <v>223</v>
      </c>
      <c r="FH6" s="1136"/>
      <c r="FI6" s="1137"/>
      <c r="FJ6" s="1133" t="s">
        <v>202</v>
      </c>
      <c r="FK6" s="1060" t="s">
        <v>213</v>
      </c>
      <c r="FL6" s="1094"/>
      <c r="FM6" s="1125"/>
      <c r="FN6" s="1031" t="s">
        <v>203</v>
      </c>
      <c r="FO6" s="1040" t="s">
        <v>226</v>
      </c>
      <c r="FP6" s="1026" t="s">
        <v>236</v>
      </c>
      <c r="FQ6" s="321" t="s">
        <v>206</v>
      </c>
      <c r="FR6" s="326" t="s">
        <v>106</v>
      </c>
      <c r="FS6" s="327" t="s">
        <v>206</v>
      </c>
      <c r="FT6" s="328" t="s">
        <v>106</v>
      </c>
      <c r="FU6" s="1028" t="s">
        <v>217</v>
      </c>
      <c r="FV6" s="1029"/>
      <c r="FW6" s="1030"/>
      <c r="FX6" s="1031" t="s">
        <v>218</v>
      </c>
      <c r="FY6" s="1040" t="s">
        <v>226</v>
      </c>
      <c r="FZ6" s="1026" t="s">
        <v>224</v>
      </c>
      <c r="GA6" s="1033" t="s">
        <v>237</v>
      </c>
      <c r="GB6" s="318" t="s">
        <v>206</v>
      </c>
      <c r="GC6" s="319" t="s">
        <v>238</v>
      </c>
      <c r="GD6" s="320" t="s">
        <v>225</v>
      </c>
      <c r="GE6" s="1050"/>
      <c r="GF6" s="1056" t="s">
        <v>256</v>
      </c>
      <c r="GG6" s="318" t="s">
        <v>206</v>
      </c>
      <c r="GH6" s="319" t="s">
        <v>238</v>
      </c>
      <c r="GI6" s="320" t="s">
        <v>225</v>
      </c>
      <c r="GJ6" s="1054"/>
      <c r="GK6" s="1012"/>
      <c r="GL6" s="1015"/>
      <c r="GM6" s="1015"/>
      <c r="GN6" s="1016"/>
      <c r="GO6" s="1088" t="s">
        <v>236</v>
      </c>
      <c r="GP6" s="1092" t="s">
        <v>224</v>
      </c>
      <c r="GQ6" s="1094" t="s">
        <v>202</v>
      </c>
      <c r="GR6" s="1047"/>
      <c r="GS6" s="1105" t="s">
        <v>248</v>
      </c>
      <c r="GT6" s="1106"/>
      <c r="GU6" s="1103" t="s">
        <v>247</v>
      </c>
      <c r="GV6" s="1104"/>
      <c r="GW6" s="1104"/>
      <c r="GX6" s="340" t="s">
        <v>106</v>
      </c>
      <c r="GY6" s="981" t="s">
        <v>246</v>
      </c>
      <c r="GZ6" s="1052"/>
      <c r="HA6" s="1115" t="s">
        <v>248</v>
      </c>
      <c r="HB6" s="1116"/>
      <c r="HC6" s="1116"/>
      <c r="HD6" s="1117"/>
      <c r="HE6" s="981" t="s">
        <v>247</v>
      </c>
      <c r="HF6" s="982"/>
      <c r="HG6" s="982"/>
      <c r="HH6" s="1079"/>
      <c r="HI6" s="1077"/>
      <c r="HM6" s="901" t="s">
        <v>392</v>
      </c>
      <c r="HN6" s="1109" t="s">
        <v>393</v>
      </c>
      <c r="HO6" s="1109"/>
      <c r="HP6" s="1109"/>
      <c r="HQ6" s="1109"/>
      <c r="HR6" s="1110"/>
      <c r="HS6" s="991" t="s">
        <v>105</v>
      </c>
      <c r="HT6" s="992"/>
      <c r="HU6" s="992"/>
      <c r="HV6" s="993"/>
      <c r="HW6" s="877" t="e">
        <f>AVERAGE(HW$9:HW$150)</f>
        <v>#DIV/0!</v>
      </c>
      <c r="HX6" s="878">
        <f t="shared" ref="HX6:IE6" si="0">SUM(HX$9:HX$150)</f>
        <v>0</v>
      </c>
      <c r="HY6" s="879">
        <f t="shared" si="0"/>
        <v>0</v>
      </c>
      <c r="HZ6" s="880">
        <f t="shared" si="0"/>
        <v>0</v>
      </c>
      <c r="IA6" s="881">
        <f t="shared" si="0"/>
        <v>0</v>
      </c>
      <c r="IB6" s="882">
        <f t="shared" si="0"/>
        <v>0</v>
      </c>
      <c r="IC6" s="889">
        <f t="shared" si="0"/>
        <v>0</v>
      </c>
      <c r="ID6" s="890">
        <f t="shared" si="0"/>
        <v>0</v>
      </c>
      <c r="IE6" s="890">
        <f t="shared" si="0"/>
        <v>0</v>
      </c>
      <c r="IF6" s="844"/>
      <c r="IG6" s="794"/>
      <c r="IH6" s="794"/>
    </row>
    <row r="7" spans="1:285" ht="15" customHeight="1" thickTop="1" thickBot="1" x14ac:dyDescent="0.4">
      <c r="A7" s="139" t="s">
        <v>400</v>
      </c>
      <c r="B7" s="1204" t="s">
        <v>40</v>
      </c>
      <c r="C7" s="1205"/>
      <c r="D7" s="1206"/>
      <c r="E7" s="1207" t="s">
        <v>41</v>
      </c>
      <c r="F7" s="1205"/>
      <c r="G7" s="1208"/>
      <c r="H7" s="979" t="s">
        <v>98</v>
      </c>
      <c r="I7" s="977"/>
      <c r="J7" s="980"/>
      <c r="K7" s="169"/>
      <c r="L7" s="1047"/>
      <c r="M7" s="1201"/>
      <c r="N7" s="1219"/>
      <c r="O7" s="1221"/>
      <c r="P7" s="1274"/>
      <c r="Q7" s="36" t="s">
        <v>18</v>
      </c>
      <c r="R7" s="2" t="s">
        <v>19</v>
      </c>
      <c r="S7" s="1215"/>
      <c r="T7" s="1249"/>
      <c r="U7" s="1251"/>
      <c r="V7" s="1210"/>
      <c r="W7" s="37" t="str">
        <f>$Q$7</f>
        <v>&lt; θ°</v>
      </c>
      <c r="X7" s="27" t="str">
        <f>$R$7</f>
        <v>r</v>
      </c>
      <c r="Y7" s="124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239"/>
      <c r="AS7" s="1244" t="s">
        <v>54</v>
      </c>
      <c r="AT7" s="1242" t="s">
        <v>53</v>
      </c>
      <c r="AV7" s="1233"/>
      <c r="AW7" s="192" t="s">
        <v>114</v>
      </c>
      <c r="AX7" s="193" t="s">
        <v>10</v>
      </c>
      <c r="AY7" s="194" t="s">
        <v>49</v>
      </c>
      <c r="AZ7" s="292" t="s">
        <v>50</v>
      </c>
      <c r="BA7" s="293" t="s">
        <v>51</v>
      </c>
      <c r="BB7" s="1165"/>
      <c r="BC7" s="37" t="str">
        <f>$Q$7</f>
        <v>&lt; θ°</v>
      </c>
      <c r="BD7" s="27" t="str">
        <f>$R$7</f>
        <v>r</v>
      </c>
      <c r="BE7" s="1171"/>
      <c r="BF7" s="212" t="s">
        <v>119</v>
      </c>
      <c r="BG7" s="127" t="s">
        <v>120</v>
      </c>
      <c r="BH7" s="213" t="s">
        <v>121</v>
      </c>
      <c r="BI7" s="104" t="s">
        <v>116</v>
      </c>
      <c r="BJ7" s="127" t="s">
        <v>118</v>
      </c>
      <c r="BK7" s="105" t="s">
        <v>117</v>
      </c>
      <c r="BL7" s="128" t="s">
        <v>122</v>
      </c>
      <c r="BM7" s="127" t="s">
        <v>123</v>
      </c>
      <c r="BN7" s="123" t="s">
        <v>124</v>
      </c>
      <c r="BO7" s="212" t="s">
        <v>131</v>
      </c>
      <c r="BP7" s="127" t="s">
        <v>132</v>
      </c>
      <c r="BQ7" s="127" t="s">
        <v>133</v>
      </c>
      <c r="BR7" s="123" t="s">
        <v>134</v>
      </c>
      <c r="BS7" s="212" t="s">
        <v>119</v>
      </c>
      <c r="BT7" s="127" t="s">
        <v>120</v>
      </c>
      <c r="BU7" s="213" t="s">
        <v>121</v>
      </c>
      <c r="BV7" s="104" t="s">
        <v>116</v>
      </c>
      <c r="BW7" s="127" t="s">
        <v>118</v>
      </c>
      <c r="BX7" s="105" t="s">
        <v>117</v>
      </c>
      <c r="BY7" s="128" t="s">
        <v>122</v>
      </c>
      <c r="BZ7" s="127" t="s">
        <v>123</v>
      </c>
      <c r="CA7" s="123" t="s">
        <v>124</v>
      </c>
      <c r="CB7" s="212" t="s">
        <v>131</v>
      </c>
      <c r="CC7" s="127" t="s">
        <v>132</v>
      </c>
      <c r="CD7" s="127" t="s">
        <v>133</v>
      </c>
      <c r="CE7" s="123" t="s">
        <v>134</v>
      </c>
      <c r="CF7" s="212" t="s">
        <v>131</v>
      </c>
      <c r="CG7" s="127" t="s">
        <v>132</v>
      </c>
      <c r="CH7" s="127" t="s">
        <v>133</v>
      </c>
      <c r="CI7" s="212" t="s">
        <v>8</v>
      </c>
      <c r="CJ7" s="127" t="s">
        <v>9</v>
      </c>
      <c r="CK7" s="105" t="s">
        <v>10</v>
      </c>
      <c r="CL7" s="128" t="s">
        <v>8</v>
      </c>
      <c r="CM7" s="127" t="s">
        <v>9</v>
      </c>
      <c r="CN7" s="123" t="s">
        <v>10</v>
      </c>
      <c r="CO7" s="215" t="s">
        <v>19</v>
      </c>
      <c r="CP7" s="220" t="s">
        <v>141</v>
      </c>
      <c r="CQ7" s="240" t="s">
        <v>142</v>
      </c>
      <c r="CR7" s="240" t="s">
        <v>143</v>
      </c>
      <c r="CS7" s="241" t="s">
        <v>144</v>
      </c>
      <c r="CT7" s="229" t="s">
        <v>145</v>
      </c>
      <c r="CU7" s="221" t="s">
        <v>146</v>
      </c>
      <c r="CV7" s="200" t="s">
        <v>8</v>
      </c>
      <c r="CW7" s="201" t="s">
        <v>9</v>
      </c>
      <c r="CX7" s="49" t="s">
        <v>10</v>
      </c>
      <c r="CY7" s="48" t="s">
        <v>8</v>
      </c>
      <c r="CZ7" s="201" t="s">
        <v>9</v>
      </c>
      <c r="DA7" s="202" t="s">
        <v>10</v>
      </c>
      <c r="DB7" s="200" t="s">
        <v>8</v>
      </c>
      <c r="DC7" s="201" t="s">
        <v>9</v>
      </c>
      <c r="DD7" s="207" t="s">
        <v>10</v>
      </c>
      <c r="DE7" s="48" t="s">
        <v>8</v>
      </c>
      <c r="DF7" s="201" t="s">
        <v>9</v>
      </c>
      <c r="DG7" s="207" t="s">
        <v>10</v>
      </c>
      <c r="DH7" s="231" t="s">
        <v>19</v>
      </c>
      <c r="DI7" s="220" t="s">
        <v>177</v>
      </c>
      <c r="DJ7" s="240" t="s">
        <v>178</v>
      </c>
      <c r="DK7" s="235" t="s">
        <v>179</v>
      </c>
      <c r="DL7" s="239" t="s">
        <v>180</v>
      </c>
      <c r="DM7" s="240" t="s">
        <v>181</v>
      </c>
      <c r="DN7" s="241" t="s">
        <v>182</v>
      </c>
      <c r="DO7" s="229" t="s">
        <v>183</v>
      </c>
      <c r="DP7" s="240" t="s">
        <v>184</v>
      </c>
      <c r="DQ7" s="221" t="s">
        <v>185</v>
      </c>
      <c r="DR7" s="229" t="s">
        <v>163</v>
      </c>
      <c r="DS7" s="240" t="s">
        <v>164</v>
      </c>
      <c r="DT7" s="240" t="s">
        <v>165</v>
      </c>
      <c r="DU7" s="240" t="s">
        <v>166</v>
      </c>
      <c r="DV7" s="240" t="s">
        <v>167</v>
      </c>
      <c r="DW7" s="240" t="s">
        <v>168</v>
      </c>
      <c r="DX7" s="243" t="s">
        <v>169</v>
      </c>
      <c r="DY7" s="239" t="s">
        <v>141</v>
      </c>
      <c r="DZ7" s="240" t="s">
        <v>142</v>
      </c>
      <c r="EA7" s="235" t="s">
        <v>143</v>
      </c>
      <c r="EB7" s="221" t="s">
        <v>144</v>
      </c>
      <c r="EC7" s="229" t="s">
        <v>190</v>
      </c>
      <c r="ED7" s="240" t="s">
        <v>191</v>
      </c>
      <c r="EE7" s="212" t="s">
        <v>8</v>
      </c>
      <c r="EF7" s="127" t="s">
        <v>9</v>
      </c>
      <c r="EG7" s="213" t="s">
        <v>10</v>
      </c>
      <c r="EH7" s="104" t="s">
        <v>8</v>
      </c>
      <c r="EI7" s="127" t="s">
        <v>9</v>
      </c>
      <c r="EJ7" s="123" t="s">
        <v>10</v>
      </c>
      <c r="EK7" s="220" t="s">
        <v>170</v>
      </c>
      <c r="EL7" s="235" t="s">
        <v>171</v>
      </c>
      <c r="EM7" s="212" t="s">
        <v>8</v>
      </c>
      <c r="EN7" s="127" t="s">
        <v>9</v>
      </c>
      <c r="EO7" s="213" t="s">
        <v>10</v>
      </c>
      <c r="EP7" s="36" t="s">
        <v>18</v>
      </c>
      <c r="EQ7" s="2" t="s">
        <v>19</v>
      </c>
      <c r="ER7" s="251" t="s">
        <v>10</v>
      </c>
      <c r="ES7" s="250" t="s">
        <v>8</v>
      </c>
      <c r="ET7" s="127" t="s">
        <v>9</v>
      </c>
      <c r="EU7" s="213" t="s">
        <v>10</v>
      </c>
      <c r="EV7" s="265" t="s">
        <v>222</v>
      </c>
      <c r="EW7" s="104" t="s">
        <v>8</v>
      </c>
      <c r="EX7" s="127" t="s">
        <v>9</v>
      </c>
      <c r="EY7" s="123" t="s">
        <v>10</v>
      </c>
      <c r="EZ7" s="1039"/>
      <c r="FA7" s="104" t="s">
        <v>8</v>
      </c>
      <c r="FB7" s="127" t="s">
        <v>9</v>
      </c>
      <c r="FC7" s="123" t="s">
        <v>10</v>
      </c>
      <c r="FD7" s="104" t="s">
        <v>8</v>
      </c>
      <c r="FE7" s="127" t="s">
        <v>9</v>
      </c>
      <c r="FF7" s="253" t="s">
        <v>10</v>
      </c>
      <c r="FG7" s="329" t="s">
        <v>207</v>
      </c>
      <c r="FH7" s="330" t="s">
        <v>208</v>
      </c>
      <c r="FI7" s="331" t="s">
        <v>209</v>
      </c>
      <c r="FJ7" s="1134"/>
      <c r="FK7" s="358" t="s">
        <v>210</v>
      </c>
      <c r="FL7" s="361" t="s">
        <v>211</v>
      </c>
      <c r="FM7" s="893" t="s">
        <v>212</v>
      </c>
      <c r="FN7" s="1032"/>
      <c r="FO7" s="1041"/>
      <c r="FP7" s="1027"/>
      <c r="FQ7" s="332" t="s">
        <v>231</v>
      </c>
      <c r="FR7" s="333" t="s">
        <v>232</v>
      </c>
      <c r="FS7" s="334" t="s">
        <v>229</v>
      </c>
      <c r="FT7" s="335" t="s">
        <v>230</v>
      </c>
      <c r="FU7" s="212" t="s">
        <v>214</v>
      </c>
      <c r="FV7" s="127" t="s">
        <v>215</v>
      </c>
      <c r="FW7" s="105" t="s">
        <v>216</v>
      </c>
      <c r="FX7" s="1032"/>
      <c r="FY7" s="1041"/>
      <c r="FZ7" s="1027"/>
      <c r="GA7" s="1034"/>
      <c r="GB7" s="212" t="s">
        <v>231</v>
      </c>
      <c r="GC7" s="127" t="s">
        <v>232</v>
      </c>
      <c r="GD7" s="213" t="s">
        <v>233</v>
      </c>
      <c r="GE7" s="1051"/>
      <c r="GF7" s="1144"/>
      <c r="GG7" s="212" t="s">
        <v>229</v>
      </c>
      <c r="GH7" s="127" t="s">
        <v>230</v>
      </c>
      <c r="GI7" s="213" t="s">
        <v>234</v>
      </c>
      <c r="GJ7" s="355" t="s">
        <v>261</v>
      </c>
      <c r="GK7" s="352" t="s">
        <v>252</v>
      </c>
      <c r="GL7" s="353" t="s">
        <v>49</v>
      </c>
      <c r="GM7" s="356" t="s">
        <v>50</v>
      </c>
      <c r="GN7" s="357" t="s">
        <v>51</v>
      </c>
      <c r="GO7" s="1089"/>
      <c r="GP7" s="1093"/>
      <c r="GQ7" s="1095"/>
      <c r="GR7" s="1096"/>
      <c r="GS7" s="212" t="s">
        <v>249</v>
      </c>
      <c r="GT7" s="105" t="s">
        <v>253</v>
      </c>
      <c r="GU7" s="104" t="s">
        <v>250</v>
      </c>
      <c r="GV7" s="314" t="s">
        <v>253</v>
      </c>
      <c r="GW7" s="337" t="s">
        <v>243</v>
      </c>
      <c r="GX7" s="338" t="s">
        <v>239</v>
      </c>
      <c r="GY7" s="104" t="s">
        <v>251</v>
      </c>
      <c r="GZ7" s="213" t="s">
        <v>253</v>
      </c>
      <c r="HA7" s="358" t="s">
        <v>253</v>
      </c>
      <c r="HB7" s="361" t="s">
        <v>263</v>
      </c>
      <c r="HC7" s="361" t="s">
        <v>264</v>
      </c>
      <c r="HD7" s="333" t="s">
        <v>265</v>
      </c>
      <c r="HE7" s="334" t="s">
        <v>253</v>
      </c>
      <c r="HF7" s="361" t="s">
        <v>263</v>
      </c>
      <c r="HG7" s="361" t="s">
        <v>264</v>
      </c>
      <c r="HH7" s="335" t="s">
        <v>265</v>
      </c>
      <c r="HI7" s="1078"/>
      <c r="HJ7" s="31"/>
      <c r="HK7" s="820" t="s">
        <v>244</v>
      </c>
      <c r="HL7" s="823" t="s">
        <v>386</v>
      </c>
      <c r="HM7" s="897" t="s">
        <v>259</v>
      </c>
      <c r="HN7" s="914" t="s">
        <v>395</v>
      </c>
      <c r="HO7" s="1298" t="s">
        <v>394</v>
      </c>
      <c r="HP7" s="1299"/>
      <c r="HQ7" s="1107" t="s">
        <v>390</v>
      </c>
      <c r="HR7" s="1108"/>
      <c r="HS7" s="883" t="s">
        <v>29</v>
      </c>
      <c r="HT7" s="884" t="s">
        <v>110</v>
      </c>
      <c r="HU7" s="994" t="s">
        <v>391</v>
      </c>
      <c r="HV7" s="995"/>
      <c r="HW7" s="824" t="s">
        <v>258</v>
      </c>
      <c r="HX7" s="848" t="s">
        <v>106</v>
      </c>
      <c r="HY7" s="849" t="s">
        <v>244</v>
      </c>
      <c r="HZ7" s="850" t="s">
        <v>245</v>
      </c>
      <c r="IA7" s="855" t="s">
        <v>107</v>
      </c>
      <c r="IB7" s="851" t="s">
        <v>384</v>
      </c>
      <c r="IC7" s="891" t="s">
        <v>244</v>
      </c>
      <c r="ID7" s="850" t="s">
        <v>245</v>
      </c>
      <c r="IE7" s="848" t="s">
        <v>107</v>
      </c>
      <c r="IF7" s="844"/>
      <c r="IG7" s="785" t="s">
        <v>359</v>
      </c>
      <c r="IH7" s="319" t="s">
        <v>377</v>
      </c>
      <c r="II7" s="1067" t="s">
        <v>33</v>
      </c>
      <c r="IJ7" s="1065" t="s">
        <v>376</v>
      </c>
      <c r="IK7" s="1048" t="s">
        <v>324</v>
      </c>
      <c r="IL7" s="1049"/>
      <c r="IM7" s="1049"/>
      <c r="IN7" s="982"/>
      <c r="IO7" s="982"/>
      <c r="IP7" s="982"/>
      <c r="IQ7" s="983"/>
      <c r="IR7" s="981" t="s">
        <v>320</v>
      </c>
      <c r="IS7" s="982"/>
      <c r="IT7" s="982"/>
      <c r="IU7" s="982"/>
      <c r="IV7" s="982"/>
      <c r="IW7" s="981" t="s">
        <v>319</v>
      </c>
      <c r="IX7" s="982"/>
      <c r="IY7" s="982"/>
      <c r="IZ7" s="982"/>
      <c r="JA7" s="983"/>
      <c r="JC7" s="725"/>
      <c r="JD7" s="1276" t="s">
        <v>355</v>
      </c>
      <c r="JE7" s="1276"/>
      <c r="JF7" s="1276"/>
      <c r="JG7" s="1277"/>
      <c r="JH7" s="786"/>
      <c r="JI7" s="786"/>
    </row>
    <row r="8" spans="1:285" ht="15" customHeight="1" thickTop="1" thickBot="1" x14ac:dyDescent="0.4">
      <c r="A8" s="103" t="s">
        <v>9</v>
      </c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0" t="s">
        <v>386</v>
      </c>
      <c r="L8" s="1047"/>
      <c r="M8" s="411" cm="1">
        <f t="array" ref="M8">IF(AND(ISNUMBER('SN#.Run#'!$P$1),COUNT($M$9:$M$150)&gt;='SN#.Run#'!$P$1),INDEX($M$9:$M$150,'SN#.Run#'!$P$1),"")</f>
        <v>1.111</v>
      </c>
      <c r="N8" s="551"/>
      <c r="O8" s="552"/>
      <c r="P8" s="562"/>
      <c r="Q8" s="554">
        <f>IFERROR(INDEX(Q$9:Q$150,MATCH($M$8,$M$9:$M$150,0)),"")</f>
        <v>89.567109154129014</v>
      </c>
      <c r="R8" s="552"/>
      <c r="S8" s="565"/>
      <c r="T8" s="556"/>
      <c r="U8" s="552"/>
      <c r="V8" s="557"/>
      <c r="W8" s="558"/>
      <c r="X8" s="552"/>
      <c r="Y8" s="721">
        <f>IFERROR(INDEX(Y$9:Y$150,MATCH($M$8,$M$9:$M$150,0)),"")</f>
        <v>-9.5132361444785873E-2</v>
      </c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245"/>
      <c r="AT8" s="1243"/>
      <c r="AV8" s="195"/>
      <c r="AW8" s="196"/>
      <c r="AX8" s="197"/>
      <c r="AY8" s="198"/>
      <c r="AZ8" s="294"/>
      <c r="BA8" s="295"/>
      <c r="BB8" s="289"/>
      <c r="BC8" s="42"/>
      <c r="BD8" s="41"/>
      <c r="BE8" s="43"/>
      <c r="BF8" s="203"/>
      <c r="BG8" s="204"/>
      <c r="BH8" s="208"/>
      <c r="BI8" s="210"/>
      <c r="BJ8" s="205"/>
      <c r="BK8" s="211"/>
      <c r="BL8" s="209"/>
      <c r="BM8" s="205"/>
      <c r="BN8" s="206"/>
      <c r="BO8" s="217"/>
      <c r="BP8" s="205"/>
      <c r="BQ8" s="205"/>
      <c r="BR8" s="206"/>
      <c r="BS8" s="203"/>
      <c r="BT8" s="204"/>
      <c r="BU8" s="208"/>
      <c r="BV8" s="210"/>
      <c r="BW8" s="205"/>
      <c r="BX8" s="211"/>
      <c r="BY8" s="209"/>
      <c r="BZ8" s="205"/>
      <c r="CA8" s="206"/>
      <c r="CB8" s="217"/>
      <c r="CC8" s="205"/>
      <c r="CD8" s="205"/>
      <c r="CE8" s="206"/>
      <c r="CF8" s="217"/>
      <c r="CG8" s="205"/>
      <c r="CH8" s="205"/>
      <c r="CI8" s="217"/>
      <c r="CJ8" s="205"/>
      <c r="CK8" s="211"/>
      <c r="CL8" s="209"/>
      <c r="CM8" s="205"/>
      <c r="CN8" s="206"/>
      <c r="CO8" s="216"/>
      <c r="CP8" s="224"/>
      <c r="CQ8" s="225"/>
      <c r="CR8" s="225"/>
      <c r="CS8" s="226"/>
      <c r="CT8" s="222"/>
      <c r="CU8" s="223"/>
      <c r="CV8" s="224"/>
      <c r="CW8" s="225"/>
      <c r="CX8" s="226"/>
      <c r="CY8" s="222"/>
      <c r="CZ8" s="225"/>
      <c r="DA8" s="223"/>
      <c r="DB8" s="224"/>
      <c r="DC8" s="225"/>
      <c r="DD8" s="230"/>
      <c r="DE8" s="222"/>
      <c r="DF8" s="225"/>
      <c r="DG8" s="230"/>
      <c r="DH8" s="232"/>
      <c r="DI8" s="224"/>
      <c r="DJ8" s="225"/>
      <c r="DK8" s="230"/>
      <c r="DL8" s="222"/>
      <c r="DM8" s="234"/>
      <c r="DN8" s="233"/>
      <c r="DO8" s="234"/>
      <c r="DP8" s="234"/>
      <c r="DQ8" s="237"/>
      <c r="DR8" s="234"/>
      <c r="DS8" s="225"/>
      <c r="DT8" s="225"/>
      <c r="DU8" s="225"/>
      <c r="DV8" s="225"/>
      <c r="DW8" s="225"/>
      <c r="DX8" s="244"/>
      <c r="DY8" s="222"/>
      <c r="DZ8" s="225"/>
      <c r="EA8" s="230"/>
      <c r="EB8" s="223"/>
      <c r="EC8" s="234"/>
      <c r="ED8" s="225"/>
      <c r="EE8" s="224"/>
      <c r="EF8" s="225"/>
      <c r="EG8" s="230"/>
      <c r="EH8" s="222"/>
      <c r="EI8" s="225"/>
      <c r="EJ8" s="223"/>
      <c r="EK8" s="224"/>
      <c r="EL8" s="223"/>
      <c r="EM8" s="224"/>
      <c r="EN8" s="225"/>
      <c r="EO8" s="230"/>
      <c r="EP8" s="42"/>
      <c r="EQ8" s="41"/>
      <c r="ER8" s="44"/>
      <c r="ES8" s="248"/>
      <c r="ET8" s="225"/>
      <c r="EU8" s="230"/>
      <c r="EV8" s="264"/>
      <c r="EW8" s="222"/>
      <c r="EX8" s="225"/>
      <c r="EY8" s="223"/>
      <c r="EZ8" s="249"/>
      <c r="FA8" s="234"/>
      <c r="FB8" s="225"/>
      <c r="FC8" s="223"/>
      <c r="FD8" s="222"/>
      <c r="FE8" s="225"/>
      <c r="FF8" s="254"/>
      <c r="FG8" s="234"/>
      <c r="FH8" s="205"/>
      <c r="FI8" s="271"/>
      <c r="FJ8" s="278"/>
      <c r="FK8" s="217"/>
      <c r="FL8" s="205"/>
      <c r="FM8" s="211"/>
      <c r="FN8" s="210"/>
      <c r="FO8" s="271"/>
      <c r="FP8" s="275"/>
      <c r="FQ8" s="209"/>
      <c r="FR8" s="271"/>
      <c r="FS8" s="282"/>
      <c r="FT8" s="283"/>
      <c r="FU8" s="217"/>
      <c r="FV8" s="205"/>
      <c r="FW8" s="211"/>
      <c r="FX8" s="210"/>
      <c r="FY8" s="271"/>
      <c r="FZ8" s="275"/>
      <c r="GA8" s="252"/>
      <c r="GB8" s="300"/>
      <c r="GC8" s="252"/>
      <c r="GD8" s="252"/>
      <c r="GE8" s="301"/>
      <c r="GF8" s="252"/>
      <c r="GG8" s="284"/>
      <c r="GH8" s="287"/>
      <c r="GI8" s="312"/>
      <c r="GJ8" s="354"/>
      <c r="GK8" s="324"/>
      <c r="GL8" s="324"/>
      <c r="GM8" s="282"/>
      <c r="GN8" s="283"/>
      <c r="GO8" s="284"/>
      <c r="GP8" s="313"/>
      <c r="GQ8" s="252"/>
      <c r="GR8" s="370"/>
      <c r="GS8" s="284"/>
      <c r="GT8" s="313"/>
      <c r="GU8" s="282"/>
      <c r="GV8" s="287"/>
      <c r="GW8" s="312"/>
      <c r="GX8" s="339"/>
      <c r="GY8" s="282"/>
      <c r="GZ8" s="312"/>
      <c r="HA8" s="359">
        <f>SQRT(HC8^2+HD8^2)</f>
        <v>0</v>
      </c>
      <c r="HB8" s="360" t="str">
        <f>IFERROR(IF((DEGREES(ATAN2(HC8,HD8)))&lt;0,(360+(DEGREES(ATAN2(HC8,HD8)))),(DEGREES(ATAN2(HC8,HD8)))),"")</f>
        <v/>
      </c>
      <c r="HC8" s="360">
        <f>SUM(HC9:HC150)</f>
        <v>0</v>
      </c>
      <c r="HD8" s="364">
        <f>SUM(HD9:HD150)</f>
        <v>0</v>
      </c>
      <c r="HE8" s="366">
        <f>SQRT(HG8^2+HH8^2)</f>
        <v>0</v>
      </c>
      <c r="HF8" s="360" t="str">
        <f>IFERROR(IF((DEGREES(ATAN2(HG8,HH8)))&lt;0,(360+(DEGREES(ATAN2(HG8,HH8)))),(DEGREES(ATAN2(HG8,HH8)))),"")</f>
        <v/>
      </c>
      <c r="HG8" s="360">
        <f>SUM(HG9:HG150)</f>
        <v>0</v>
      </c>
      <c r="HH8" s="367">
        <f>SUM(HH9:HH150)</f>
        <v>0</v>
      </c>
      <c r="HI8" s="316"/>
      <c r="HK8" s="821" t="s">
        <v>387</v>
      </c>
      <c r="HL8" s="825" t="s">
        <v>33</v>
      </c>
      <c r="HM8" s="898" t="str">
        <f>"@ 0 IPR"</f>
        <v>@ 0 IPR</v>
      </c>
      <c r="HN8" s="899" t="str">
        <f>"@ 0 IPR"</f>
        <v>@ 0 IPR</v>
      </c>
      <c r="HO8" s="902" t="str">
        <f>"@ 0 IPR"</f>
        <v>@ 0 IPR</v>
      </c>
      <c r="HP8" s="900" t="str">
        <f>"@ IDS"</f>
        <v>@ IDS</v>
      </c>
      <c r="HQ8" s="899" t="str">
        <f>"@ 0 IPR"</f>
        <v>@ 0 IPR</v>
      </c>
      <c r="HR8" s="894" t="str">
        <f>"@ IDS"</f>
        <v>@ IDS</v>
      </c>
      <c r="HS8" s="885" t="s">
        <v>261</v>
      </c>
      <c r="HT8" s="886" t="s">
        <v>49</v>
      </c>
      <c r="HU8" s="887" t="s">
        <v>50</v>
      </c>
      <c r="HV8" s="888" t="s">
        <v>51</v>
      </c>
      <c r="HW8" s="839" t="s">
        <v>243</v>
      </c>
      <c r="HX8" s="852" t="s">
        <v>239</v>
      </c>
      <c r="HY8" s="853" t="s">
        <v>249</v>
      </c>
      <c r="HZ8" s="854" t="s">
        <v>250</v>
      </c>
      <c r="IA8" s="856" t="s">
        <v>251</v>
      </c>
      <c r="IB8" s="858" t="s">
        <v>385</v>
      </c>
      <c r="IC8" s="892" t="s">
        <v>240</v>
      </c>
      <c r="ID8" s="854" t="s">
        <v>241</v>
      </c>
      <c r="IE8" s="822" t="s">
        <v>242</v>
      </c>
      <c r="IF8" s="844"/>
      <c r="IG8" s="793">
        <v>0.75</v>
      </c>
      <c r="IH8" s="799">
        <v>-6.25E-2</v>
      </c>
      <c r="II8" s="1068"/>
      <c r="IJ8" s="1066"/>
      <c r="IK8" s="212" t="s">
        <v>314</v>
      </c>
      <c r="IL8" s="128" t="s">
        <v>347</v>
      </c>
      <c r="IM8" s="128" t="s">
        <v>348</v>
      </c>
      <c r="IN8" s="127" t="s">
        <v>315</v>
      </c>
      <c r="IO8" s="700" t="s">
        <v>321</v>
      </c>
      <c r="IP8" s="127" t="s">
        <v>47</v>
      </c>
      <c r="IQ8" s="712" t="s">
        <v>46</v>
      </c>
      <c r="IR8" s="104" t="s">
        <v>351</v>
      </c>
      <c r="IS8" s="127" t="s">
        <v>316</v>
      </c>
      <c r="IT8" s="127" t="s">
        <v>317</v>
      </c>
      <c r="IU8" s="127" t="s">
        <v>318</v>
      </c>
      <c r="IV8" s="127" t="s">
        <v>26</v>
      </c>
      <c r="IW8" s="104" t="s">
        <v>351</v>
      </c>
      <c r="IX8" s="127" t="s">
        <v>316</v>
      </c>
      <c r="IY8" s="127" t="s">
        <v>317</v>
      </c>
      <c r="IZ8" s="127" t="s">
        <v>318</v>
      </c>
      <c r="JA8" s="105" t="s">
        <v>26</v>
      </c>
      <c r="JC8" s="726" t="s">
        <v>352</v>
      </c>
      <c r="JD8" s="724" t="s">
        <v>379</v>
      </c>
      <c r="JE8" s="707"/>
      <c r="JF8" s="707"/>
      <c r="JG8" s="53"/>
      <c r="JH8" s="31"/>
      <c r="JI8" s="31"/>
      <c r="JX8" s="31"/>
      <c r="JY8" s="31"/>
    </row>
    <row r="9" spans="1:285" ht="15" customHeight="1" thickTop="1" x14ac:dyDescent="0.25">
      <c r="A9" s="75">
        <f t="shared" ref="A9:A40" si="1">IF($K9="","",IF(AND($A$8="Y",ISNUMBER($K9)),$A$5,0))</f>
        <v>0.02</v>
      </c>
      <c r="B9" s="640">
        <f t="shared" ref="B9:B40" si="2">IFERROR(Q164+($A9*-E9),"")</f>
        <v>1.8793853105215121E-2</v>
      </c>
      <c r="C9" s="641">
        <f t="shared" ref="C9:C40" si="3">IFERROR(R164+($A9*-F9),"")</f>
        <v>0.3453898992173598</v>
      </c>
      <c r="D9" s="642">
        <f t="shared" ref="D9:D40" si="4">IFERROR(S164+($A9*-G9),"")</f>
        <v>-0.67944053768576118</v>
      </c>
      <c r="E9" s="643">
        <f t="shared" ref="E9:E40" si="5">T164</f>
        <v>-0.93969265526075596</v>
      </c>
      <c r="F9" s="641">
        <f t="shared" ref="F9:F40" si="6">U164</f>
        <v>-5.9391149678350096E-2</v>
      </c>
      <c r="G9" s="644">
        <f t="shared" ref="G9:G40" si="7">V164</f>
        <v>0.33682399705020138</v>
      </c>
      <c r="H9" s="643">
        <f t="shared" ref="H9:H40" si="8">W164</f>
        <v>0.3125</v>
      </c>
      <c r="I9" s="641">
        <f t="shared" ref="I9:I40" si="9">X164</f>
        <v>0.52</v>
      </c>
      <c r="J9" s="918">
        <f t="shared" ref="J9:J40" si="10">IF(Y164=0,"",Y164)</f>
        <v>1.101</v>
      </c>
      <c r="K9" s="805">
        <f t="shared" ref="K9:K40" si="11">Z164</f>
        <v>1613</v>
      </c>
      <c r="M9" s="163">
        <f t="shared" ref="M9:M40" si="12">IF(J9="","",VALUE(J9))</f>
        <v>1.101</v>
      </c>
      <c r="N9" s="566">
        <f t="shared" ref="N9:N40" si="13">IF(M9="","",B9)</f>
        <v>1.8793853105215121E-2</v>
      </c>
      <c r="O9" s="567">
        <f t="shared" ref="O9:O40" si="14">IF(M9="","",C9)</f>
        <v>0.3453898992173598</v>
      </c>
      <c r="P9" s="568">
        <f t="shared" ref="P9:P40" si="15">IF(M9="","",D9)</f>
        <v>-0.67944053768576118</v>
      </c>
      <c r="Q9" s="526">
        <f>IF(M9="","",IF(DEGREES(ATAN2(N9,O9))&lt;0,DEGREES(ATAN2(N9,O9))+360,IF(DEGREES(ATAN2(N9,O9))&gt;360,DEGREES(ATAN2(N9,O9))-360,DEGREES(ATAN2(N9,O9)))))</f>
        <v>86.885410940371614</v>
      </c>
      <c r="R9" s="567">
        <f>IF(M9="","",SQRT(N9^2+O9^2))</f>
        <v>0.34590084040938435</v>
      </c>
      <c r="S9" s="569">
        <f>IF(M9="","",P9)</f>
        <v>-0.67944053768576118</v>
      </c>
      <c r="T9" s="570">
        <f>IF(M9="","",X9*COS(RADIANS(W9)))</f>
        <v>0.34552203438420487</v>
      </c>
      <c r="U9" s="567">
        <f>IF(M9="","",X9*SIN(RADIANS(W9)))</f>
        <v>-1.6183792847128075E-2</v>
      </c>
      <c r="V9" s="571">
        <f>IF(M9="","",Y9)</f>
        <v>-0.67944053768576118</v>
      </c>
      <c r="W9" s="526">
        <f t="shared" ref="W9:W13" si="16">IF(M9="","",IF(Q9-$Q$8&lt;0,360+Q9-$Q$8,Q9-$Q$8))</f>
        <v>357.31830178624261</v>
      </c>
      <c r="X9" s="572">
        <f>IF(M9="","",R9)</f>
        <v>0.34590084040938435</v>
      </c>
      <c r="Y9" s="573">
        <f t="shared" ref="Y9:Y15" si="17">IF(M9="","",S9)</f>
        <v>-0.67944053768576118</v>
      </c>
      <c r="Z9" s="566">
        <f t="shared" ref="Z9:Z40" si="18">IF(M9="","",-E9)</f>
        <v>0.93969265526075596</v>
      </c>
      <c r="AA9" s="567">
        <f t="shared" ref="AA9:AA40" si="19">IF(M9="","",-F9)</f>
        <v>5.9391149678350096E-2</v>
      </c>
      <c r="AB9" s="567">
        <f t="shared" ref="AB9:AB40" si="20">IF(M9="","",-G9)</f>
        <v>-0.33682399705020138</v>
      </c>
      <c r="AC9" s="571">
        <f>IF(M9="","",SQRT(Z9^2+AA9^2+AB9^2))</f>
        <v>1</v>
      </c>
      <c r="AD9" s="574">
        <f>IF(M9="","",Z9*(1/SQRT(Z9^2+AA9^2+AB9^2)))</f>
        <v>0.93969265526075596</v>
      </c>
      <c r="AE9" s="567">
        <f>IF(M9="","",AA9*(1/SQRT(Z9^2+AA9^2+AB9^2)))</f>
        <v>5.9391149678350096E-2</v>
      </c>
      <c r="AF9" s="568">
        <f>IF(M9="","",AB9*(1/SQRT(Z9^2+AA9^2+AB9^2)))</f>
        <v>-0.33682399705020138</v>
      </c>
      <c r="AG9" s="542">
        <f>IF(M9="","",DEGREES(ATAN2(-AF9,AE9)))</f>
        <v>9.9999985561788396</v>
      </c>
      <c r="AH9" s="543">
        <f>IF(M9="","",DEGREES(ACOS(AD9)))</f>
        <v>19.999994224715774</v>
      </c>
      <c r="AI9" s="526">
        <f>IF(M9="","",DEGREES(-ACOS(-AF9)))</f>
        <v>-70.316507505733455</v>
      </c>
      <c r="AJ9" s="544">
        <f>IF(M9="","",DEGREES(ATAN2(-AE9,AD9)))</f>
        <v>93.616439926334806</v>
      </c>
      <c r="AK9" s="570">
        <f>IF(M9="","",(COS(RADIANS((90-$Q$8)-W9))*AD9)+(-SIN(RADIANS((90-$Q$8)-W9))*AE9))</f>
        <v>0.93507770195121487</v>
      </c>
      <c r="AL9" s="567">
        <f>IF(M9="","",(SIN(RADIANS((90-$Q$8)-W9))*AD9)+(COS(RADIANS((90-$Q$8)-W9))*AE9))</f>
        <v>0.11035980393585884</v>
      </c>
      <c r="AM9" s="569">
        <f>IF(M9="","",AF9)</f>
        <v>-0.33682399705020138</v>
      </c>
      <c r="AN9" s="524">
        <f>IF(M9="","",DEGREES(ATAN2(-AM9,AL9)))</f>
        <v>18.141294048916745</v>
      </c>
      <c r="AO9" s="525">
        <f>IF(ROUND(IF(M9="",0,DEGREES(ACOS(AK9))),4)=90,0,IF(M9="","",DEGREES(ACOS(AK9))))</f>
        <v>20.759298132405352</v>
      </c>
      <c r="AP9" s="722">
        <f>IF(M9="","",DEGREES(ATAN2(AK9,AL9)))</f>
        <v>6.7310289859631576</v>
      </c>
      <c r="AQ9" s="527">
        <f t="shared" ref="AQ9:AQ40" si="21">IF(M9="","",DEGREES(ATAN(($AS$5*SIN(RADIANS(90)))/(($X9*2*PI())-($AS$5*COS(RADIANS(90)))))))</f>
        <v>12.955954646736203</v>
      </c>
      <c r="AS9" s="931">
        <f>IF(M9="","",W9)</f>
        <v>357.31830178624261</v>
      </c>
      <c r="AT9" s="927">
        <f t="shared" ref="AT9:AT40" si="22">IF(M9="","",Y9+(((AS9-$AS$9)*$AS$6)*-1))</f>
        <v>-0.67944053768576118</v>
      </c>
      <c r="AU9" s="418"/>
      <c r="AV9" s="164" t="str">
        <f t="shared" ref="AV9:AV40" si="23">IF(AND(ISNUMBER(VALUE(K9)),ISNUMBER(AW9),ISNUMBER(AX9),ISNUMBER(AY9),AY9&gt;=0.0001),$M9,"")</f>
        <v/>
      </c>
      <c r="AW9" s="826" t="str">
        <f>IFERROR(INDEX(MassProp!C$9:C$150,MATCH($M9,MassProp!$B$9:$B$150,0)),"")</f>
        <v/>
      </c>
      <c r="AX9" s="827" t="str">
        <f>IFERROR(INDEX(MassProp!D$9:D$150,MATCH($M9,MassProp!$B$9:$B$150,0)),"")</f>
        <v/>
      </c>
      <c r="AY9" s="828" t="str">
        <f>IFERROR(INDEX(MassProp!E$9:E$150,MATCH($M9,MassProp!$B$9:$B$150,0)),"")</f>
        <v/>
      </c>
      <c r="AZ9" s="297" t="str">
        <f>IF(ISNUMBER(AV9),$AY9*SQRT((2*PI()*$AW9)^2+$AS$5^2),"")</f>
        <v/>
      </c>
      <c r="BA9" s="296" t="str">
        <f t="shared" ref="BA9:BA40" si="24">IF(ISNUMBER(AV9),AZ9/$AZ$151,"")</f>
        <v/>
      </c>
      <c r="BB9" s="290" t="str">
        <f>IF(ISNUMBER($AV9),$AX9-($AT9+$AS$5),"")</f>
        <v/>
      </c>
      <c r="BC9" s="180"/>
      <c r="BD9" s="191" t="str">
        <f>IF(ISNUMBER(AV9),AW9,"")</f>
        <v/>
      </c>
      <c r="BE9" s="181" t="str">
        <f t="shared" ref="BE9:BE40" si="25">IF(ISNUMBER(AV9),Y9+BB9,"")</f>
        <v/>
      </c>
      <c r="BF9" s="4" t="str">
        <f t="shared" ref="BF9:BF40" si="26">IF(ISNUMBER($AV9),N9,"")</f>
        <v/>
      </c>
      <c r="BG9" s="5" t="str">
        <f t="shared" ref="BG9:BG40" si="27">IF(ISNUMBER($AV9),O9,"")</f>
        <v/>
      </c>
      <c r="BH9" s="10" t="str">
        <f t="shared" ref="BH9:BH40" si="28">IF(ISNUMBER($AV9),P9,"")</f>
        <v/>
      </c>
      <c r="BI9" s="9" t="str">
        <f>IF(ISNUMBER($AV9),BF9+0,"")</f>
        <v/>
      </c>
      <c r="BJ9" s="5" t="str">
        <f t="shared" ref="BJ9:BJ40" si="29">IF(ISNUMBER($AV9),BG9+COS(RADIANS($AG9)),"")</f>
        <v/>
      </c>
      <c r="BK9" s="8" t="str">
        <f t="shared" ref="BK9:BK40" si="30">IF(ISNUMBER($AV9),BH9+SIN(RADIANS($AG9)),"")</f>
        <v/>
      </c>
      <c r="BL9" s="173" t="str">
        <f t="shared" ref="BL9:BL40" si="31">IF(ISNUMBER($AV9),BF9+SIN(RADIANS($AH9)),"")</f>
        <v/>
      </c>
      <c r="BM9" s="5" t="str">
        <f t="shared" ref="BM9:BM40" si="32">IF(ISNUMBER($AV9),BG9-SIN(RADIANS($AG9))*COS(RADIANS($AH9)),"")</f>
        <v/>
      </c>
      <c r="BN9" s="6" t="str">
        <f t="shared" ref="BN9:BN40" si="33">IF(ISNUMBER($AV9),BH9+COS(RADIANS($AG9))*COS(RADIANS($AH9)),"")</f>
        <v/>
      </c>
      <c r="BO9" s="4" t="str">
        <f>IF(ISNUMBER($AV9),BJ9*BN9-BM9*BK9-BG9*(BN9-BK9)+BH9*(BM9-BJ9),"")</f>
        <v/>
      </c>
      <c r="BP9" s="5" t="str">
        <f t="shared" ref="BP9:BP10" si="34">IF(IF(ISNUMBER($AV9),BF9*(BN9-BK9)-(BI9*BN9-BL9*BK9)+BH9*(BI9-BL9),"")=0,IF(ISNUMBER($AV9),BF9*(BN9-BK9)-(BI9*BN9-BL9*BK9)+BH9*(BI9-BL9),"")+0.00001,IF(ISNUMBER($AV9),BF9*(BN9-BK9)-(BI9*BN9-BL9*BK9)+BH9*(BI9-BL9),""))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3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3" t="str">
        <f>IF(ISNUMBER($AV9),CI9+CF9,"")</f>
        <v/>
      </c>
      <c r="CM9" s="5" t="str">
        <f>IF(ISNUMBER($AV9),CJ9+CG9,"")</f>
        <v/>
      </c>
      <c r="CN9" s="181" t="str">
        <f>IF(ISNUMBER($AV9),CK9+CH9,"")</f>
        <v/>
      </c>
      <c r="CO9" s="228" t="str">
        <f t="shared" ref="CO9:CO40" si="35">IF(ISNUMBER($AV9),IF(AND(($H9*2)&gt;=$BE$161,($H9*2)&lt;=$BF$161),($BD$161/2),IF(AND(($H9*2)&gt;=$BE$163,($H9*2)&lt;=$BF$163),($BD$163/2),IF(AND(($H9*2)&gt;=$BE$165,($H9*2)&lt;=$BF$165),($BD$165/2),IF(AND(($H9*2)&gt;=$BE$168,($H9*2)&lt;=$BF$168),($BD$168/2),"Radius")))),"")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36">IF(ISNUMBER($AV9),CI9+($CT9*(CL9-CI9)),"")</f>
        <v/>
      </c>
      <c r="CW9" s="20" t="str">
        <f t="shared" si="36"/>
        <v/>
      </c>
      <c r="CX9" s="25" t="str">
        <f t="shared" si="36"/>
        <v/>
      </c>
      <c r="CY9" s="24" t="str">
        <f t="shared" ref="CY9:DA10" si="37">IF(ISNUMBER($AV9),CI9+($CU9*(CL9-CI9)),"")</f>
        <v/>
      </c>
      <c r="CZ9" s="20" t="str">
        <f t="shared" si="37"/>
        <v/>
      </c>
      <c r="DA9" s="22" t="str">
        <f t="shared" si="37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0" t="str">
        <f>IF(ISNUMBER($AV9),BD9,"")</f>
        <v/>
      </c>
      <c r="DI9" s="4" t="str">
        <f t="shared" ref="DI9:DK9" si="38">IF(ISNUMBER($AV9),DE9-DB9,"")</f>
        <v/>
      </c>
      <c r="DJ9" s="5" t="str">
        <f t="shared" si="38"/>
        <v/>
      </c>
      <c r="DK9" s="10" t="str">
        <f t="shared" si="38"/>
        <v/>
      </c>
      <c r="DL9" s="9" t="str">
        <f t="shared" ref="DL9:DN9" si="39">IF(ISNUMBER($AV9),CV9-DB9,"")</f>
        <v/>
      </c>
      <c r="DM9" s="173" t="str">
        <f t="shared" si="39"/>
        <v/>
      </c>
      <c r="DN9" s="178" t="str">
        <f t="shared" si="39"/>
        <v/>
      </c>
      <c r="DO9" s="9" t="str">
        <f t="shared" ref="DO9:DQ10" si="40">IF(ISNUMBER($AV9),CY9-CV9,"")</f>
        <v/>
      </c>
      <c r="DP9" s="173" t="str">
        <f t="shared" si="40"/>
        <v/>
      </c>
      <c r="DQ9" s="11" t="str">
        <f t="shared" si="40"/>
        <v/>
      </c>
      <c r="DR9" s="173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67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3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41">IF(ISNUMBER($AV9),CV9+DO9*$EC9,"")</f>
        <v/>
      </c>
      <c r="EF9" s="5" t="str">
        <f t="shared" si="41"/>
        <v/>
      </c>
      <c r="EG9" s="10" t="str">
        <f t="shared" si="41"/>
        <v/>
      </c>
      <c r="EH9" s="9" t="str">
        <f t="shared" ref="EH9:EJ10" si="42">IF(ISNUMBER($AV9),CV9+DO9*$ED9,"")</f>
        <v/>
      </c>
      <c r="EI9" s="5" t="str">
        <f t="shared" si="42"/>
        <v/>
      </c>
      <c r="EJ9" s="6" t="str">
        <f t="shared" si="42"/>
        <v/>
      </c>
      <c r="EK9" s="236" t="str">
        <f>IF(ISNUMBER($AV9),IF(OR($EC9&lt;0,$EC9&gt;1),FALSE,TRUE),"")</f>
        <v/>
      </c>
      <c r="EL9" s="238" t="str">
        <f>IF(ISNUMBER($AV9),IF(OR($ED9&lt;0,$ED9&gt;1),FALSE,TRUE),"")</f>
        <v/>
      </c>
      <c r="EM9" s="4" t="str">
        <f t="shared" ref="EM9:EO10" si="43">IF(ISNUMBER($AV9),IF($EK9=TRUE,EE9,IF($EL9=TRUE,EH9,"")),"")</f>
        <v/>
      </c>
      <c r="EN9" s="5" t="str">
        <f t="shared" si="43"/>
        <v/>
      </c>
      <c r="EO9" s="10" t="str">
        <f t="shared" si="43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74" t="str">
        <f>IF(ISNUMBER($AV9),AD9,"")</f>
        <v/>
      </c>
      <c r="ET9" s="267" t="str">
        <f t="shared" ref="ET9:ET40" si="44">IF(ISNUMBER($AV9),AE9,"")</f>
        <v/>
      </c>
      <c r="EU9" s="273" t="str">
        <f t="shared" ref="EU9:EU40" si="45">IF(ISNUMBER($AV9),AF9,"")</f>
        <v/>
      </c>
      <c r="EV9" s="174" t="str">
        <f t="shared" ref="EV9:EV14" si="46">IF(ISNUMBER($AV9),IF(($EV$1-EP9)&lt;0,(360+($EV$1-EP9)),($EV$1-EP9)),"")</f>
        <v/>
      </c>
      <c r="EW9" s="9" t="str">
        <f>IF(ISNUMBER($AV9),(COS(RADIANS($EV9))*ES9)+(-SIN(RADIANS($EV9))*ET9),"")</f>
        <v/>
      </c>
      <c r="EX9" s="5" t="str">
        <f t="shared" ref="EX9:EX40" si="47">IF(ISNUMBER($AV9),(SIN(RADIANS($EV9))*ES9)+(COS(RADIANS($EV9))*ET9),"")</f>
        <v/>
      </c>
      <c r="EY9" s="6" t="str">
        <f>IF(ISNUMBER($AV9),EU9,"")</f>
        <v/>
      </c>
      <c r="EZ9" s="51" t="str">
        <f>IF(ISNUMBER($AV9),DEGREES(ATAN($AS$5/($EQ9*2*PI()))),"")</f>
        <v/>
      </c>
      <c r="FA9" s="266" t="str">
        <f>IF(ISNUMBER($AV9),SIN(RADIANS($EP9))*COS(RADIANS($EZ9)),"")</f>
        <v/>
      </c>
      <c r="FB9" s="267" t="str">
        <f>IF(ISNUMBER($AV9),-1*COS(RADIANS($EP9))*COS(RADIANS($EZ9)),"")</f>
        <v/>
      </c>
      <c r="FC9" s="268" t="str">
        <f t="shared" ref="FC9:FC53" si="48">IF(ISNUMBER($AV9),-1*SIN(RADIANS($EZ9)),"")</f>
        <v/>
      </c>
      <c r="FD9" s="4" t="str">
        <f>IF(ISNUMBER($AV9),(COS(RADIANS($EV9))*FA9)+(-SIN(RADIANS($EV9))*FB9),"")</f>
        <v/>
      </c>
      <c r="FE9" s="5" t="str">
        <f t="shared" ref="FE9:FE40" si="49">IF(ISNUMBER($AV9),(SIN(RADIANS($EV9))*FA9)+(COS(RADIANS($EV9))*FB9),"")</f>
        <v/>
      </c>
      <c r="FF9" s="7" t="str">
        <f>IF(ISNUMBER($AV9),FC9,"")</f>
        <v/>
      </c>
      <c r="FG9" s="173" t="str">
        <f>IF(ISNUMBER($AV9),EW9-FD9,"")</f>
        <v/>
      </c>
      <c r="FH9" s="5" t="str">
        <f t="shared" ref="FH9:FH40" si="50">IF(ISNUMBER($AV9),EX9-FE9,"")</f>
        <v/>
      </c>
      <c r="FI9" s="10" t="str">
        <f t="shared" ref="FI9:FI40" si="51">IF(ISNUMBER($AV9),EY9-FF9,"")</f>
        <v/>
      </c>
      <c r="FJ9" s="279" t="str">
        <f>IF(ISNUMBER($AV9),DEGREES(ACOS((2-SQRT((FG9)^2+(FH9)^2+(FI9)^2)^2)/2)),"")</f>
        <v/>
      </c>
      <c r="FK9" s="23" t="str">
        <f t="shared" ref="FK9:FK40" si="52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53">IF(ISNUMBER($AV9),IF(SQRT((EM9+(ES9/SQRT(ES9^2+(ET9/SQRT(ES9^2+ET9^2))^2)))^2+(EN9+ET9)^2)&gt;SQRT((EM9+(FA9/SQRT(FA9^2+FB9^2)))^2+(EN9+(FB9/SQRT(FA9^2+FB9^2)))^2),-1,1),"")</f>
        <v/>
      </c>
      <c r="FP9" s="276" t="str">
        <f t="shared" ref="FP9:FP40" si="54">IF(ISNUMBER($AV9),FN9*FO9,"")</f>
        <v/>
      </c>
      <c r="FQ9" s="173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55">IF(ISNUMBER($AV9),IF(EU9&lt;FC9,1,-1),"")</f>
        <v/>
      </c>
      <c r="FZ9" s="277" t="str">
        <f>IF(ISNUMBER($AV9),FX9*FY9,"")</f>
        <v/>
      </c>
      <c r="GA9" s="177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11" t="str">
        <f>IF(ISNUMBER($AV9),SUM(ABS(GB9),ABS(GC9),ABS(GD9)),"")</f>
        <v/>
      </c>
      <c r="GF9" s="341" t="str">
        <f>IF(ISNUMBER($AV9),1/GE9,"")</f>
        <v/>
      </c>
      <c r="GG9" s="303" t="str">
        <f t="shared" ref="GG9:GG40" si="56">IF(ISNUMBER($AV9),ABS(GB9)/(ABS($GB9)+ABS($GC9)+ABS($GD9)),"")</f>
        <v/>
      </c>
      <c r="GH9" s="304" t="str">
        <f t="shared" ref="GH9:GH40" si="57">IF(ISNUMBER($AV9),ABS(GC9)/(ABS($GB9)+ABS($GC9)+ABS($GD9)),"")</f>
        <v/>
      </c>
      <c r="GI9" s="305" t="str">
        <f t="shared" ref="GI9:GI40" si="58">IF(ISNUMBER($AV9),ABS(GD9)/(ABS($GB9)+ABS($GC9)+ABS($GD9)),"")</f>
        <v/>
      </c>
      <c r="GJ9" s="167" t="str">
        <f>IF(ISNUMBER($AV9),AW9,"")</f>
        <v/>
      </c>
      <c r="GK9" s="174" t="str">
        <f t="shared" ref="GK9:GK53" si="59">IF(ISNUMBER($AV9),SQRT((2*PI()*$GJ9)^2+$AS$5^2)/12,"")</f>
        <v/>
      </c>
      <c r="GL9" s="174" t="str">
        <f t="shared" ref="GL9:GN10" si="60">IF(ISNUMBER($AV9),AY9,"")</f>
        <v/>
      </c>
      <c r="GM9" s="9" t="str">
        <f t="shared" si="60"/>
        <v/>
      </c>
      <c r="GN9" s="281" t="str">
        <f t="shared" si="60"/>
        <v/>
      </c>
      <c r="GO9" s="4" t="str">
        <f>IF(ISNUMBER($AV9),FP9,"")</f>
        <v/>
      </c>
      <c r="GP9" s="8" t="str">
        <f>IF(ISNUMBER($AV9),FZ9,"")</f>
        <v/>
      </c>
      <c r="GQ9" s="177" t="str">
        <f>IF(ISNUMBER($AV9),FJ9,"")</f>
        <v/>
      </c>
      <c r="GR9" s="371" t="str">
        <f>IF(ISNUMBER($AV9),GS9+GU9+GY9,"")</f>
        <v/>
      </c>
      <c r="GS9" s="342" t="str">
        <f t="shared" ref="GS9:GS40" si="61">IF(ISNUMBER($AV9),GU9/GH9*GG9,"")</f>
        <v/>
      </c>
      <c r="GT9" s="343" t="str">
        <f t="shared" ref="GT9:GT40" si="62">IF(ISNUMBER($AV9),GS9/$GK9,"")</f>
        <v/>
      </c>
      <c r="GU9" s="344" t="str">
        <f t="shared" ref="GU9:GU53" si="63">IF(ISNUMBER($AV9),$GV9*$GK9,"")</f>
        <v/>
      </c>
      <c r="GV9" s="343" t="str">
        <f>IF(ISNUMBER($AV9),GW9*$GL9,"")</f>
        <v/>
      </c>
      <c r="GW9" s="345" t="str">
        <f t="shared" ref="GW9:GW53" si="64">IF(ISNUMBER($AV9),$GW$2,"")</f>
        <v/>
      </c>
      <c r="GX9" s="346" t="str">
        <f t="shared" ref="GX9:GX53" si="65">IF(ISNUMBER($AV9),($GJ9/12)*$GV9,"")</f>
        <v/>
      </c>
      <c r="GY9" s="344" t="str">
        <f t="shared" ref="GY9:GY40" si="66">IF(ISNUMBER($AV9),GU9/GH9*GI9,"")</f>
        <v/>
      </c>
      <c r="GZ9" s="345" t="str">
        <f t="shared" ref="GZ9:GZ40" si="67">IF(ISNUMBER($AV9),GY9/$GK9,"")</f>
        <v/>
      </c>
      <c r="HA9" s="342" t="str">
        <f t="shared" ref="HA9:HA53" si="68">IF(ISNUMBER($AV9),$FO9*$GS9,"")</f>
        <v/>
      </c>
      <c r="HB9" s="191" t="str">
        <f>IF(ISNUMBER($AV9),$EV9,"")</f>
        <v/>
      </c>
      <c r="HC9" s="362" t="str">
        <f>IF(ISNUMBER($AV9),HA9*COS(RADIANS(HB9)),"")</f>
        <v/>
      </c>
      <c r="HD9" s="365" t="str">
        <f>IF(ISNUMBER($AV9),HA9*SIN(RADIANS(HB9)),"")</f>
        <v/>
      </c>
      <c r="HE9" s="344" t="str">
        <f t="shared" ref="HE9:HE53" si="69">IF(ISNUMBER($AV9),$FY9*$GV9,"")</f>
        <v/>
      </c>
      <c r="HF9" s="5" t="str">
        <f t="shared" ref="HF9:HF53" si="70">IF(ISNUMBER($AV9),IF(($HB9+90)&lt;0,(360+($HB9+90)),($HB9+90)),"")</f>
        <v/>
      </c>
      <c r="HG9" s="362" t="str">
        <f>IF(ISNUMBER($AV9),HE9*COS(RADIANS(HF9)),"")</f>
        <v/>
      </c>
      <c r="HH9" s="368" t="str">
        <f>IF(ISNUMBER($AV9),HE9*SIN(RADIANS(HF9)),"")</f>
        <v/>
      </c>
      <c r="HI9" s="317" t="str">
        <f t="shared" ref="HI9:HI40" si="71">IF(ISNUMBER($AV9),$M9,"")</f>
        <v/>
      </c>
      <c r="HJ9" s="336"/>
      <c r="HK9" s="315">
        <v>1</v>
      </c>
      <c r="HL9" s="347" t="str">
        <f t="shared" ref="HL9:HL40" si="72">IF(ISNUMBER($HS9),INDEX(HI$9:HI$150,MATCH($HS9,$GJ$9:$GJ$150,0)),"")</f>
        <v/>
      </c>
      <c r="HM9" s="903" t="str">
        <f>IF(ISNUMBER($HL9),INDEX(GO$9:GO$150,MATCH($HL9,$AV$9:$AV$150,0)),"")</f>
        <v/>
      </c>
      <c r="HN9" s="904" t="str">
        <f t="shared" ref="HN9:HN40" si="73">IF(ISNUMBER($HL9),INDEX(AO$9:AO$150,MATCH($HL9,$AV$9:$AV$150,0)),"")</f>
        <v/>
      </c>
      <c r="HO9" s="905"/>
      <c r="HP9" s="906"/>
      <c r="HQ9" s="907" t="str">
        <f t="shared" ref="HQ9:HQ40" si="74">IF(ISNUMBER($HL9),INDEX(GQ$9:GQ$150,MATCH($HL9,$AV$9:$AV$150,0)),"")</f>
        <v/>
      </c>
      <c r="HR9" s="908" t="str">
        <f t="shared" ref="HR9:HR40" si="75">IF(ISNUMBER($HL9),INDEX(GP$9:GP$150,MATCH($HL9,$AV$9:$AV$150,0)),"")</f>
        <v/>
      </c>
      <c r="HS9" s="859" t="str">
        <f>IFERROR(SMALL($GJ$9:$GJ$150,$HK9),"")</f>
        <v/>
      </c>
      <c r="HT9" s="873" t="str">
        <f t="shared" ref="HT9:HT40" si="76">IF(ISNUMBER($HL9),INDEX(GL$9:GL$150,MATCH($HL9,$AV$9:$AV$150,0)),"")</f>
        <v/>
      </c>
      <c r="HU9" s="874" t="str">
        <f t="shared" ref="HU9:HU40" si="77">IF(ISNUMBER($HL9),INDEX(GM$9:GM$150,MATCH($HL9,$AV$9:$AV$150,0)),"")</f>
        <v/>
      </c>
      <c r="HV9" s="871" t="str">
        <f t="shared" ref="HV9:HV40" si="78">IF(ISNUMBER($HL9),INDEX(GN$9:GN$150,MATCH($HL9,$AV$9:$AV$150,0)),"")</f>
        <v/>
      </c>
      <c r="HW9" s="860" t="str">
        <f t="shared" ref="HW9:HW40" si="79">IF(ISNUMBER($HL9),INDEX(GW$9:GW$150,MATCH($HL9,$AV$9:$AV$150,0)),"")</f>
        <v/>
      </c>
      <c r="HX9" s="861" t="str">
        <f t="shared" ref="HX9:HX40" si="80">IF(ISNUMBER($HL9),INDEX(GX$9:GX$150,MATCH($HL9,$AV$9:$AV$150,0)),"")</f>
        <v/>
      </c>
      <c r="HY9" s="860" t="str">
        <f t="shared" ref="HY9:HY40" si="81">IF(ISNUMBER($HL9),INDEX(GS$9:GS$150,MATCH($HL9,$AV$9:$AV$150,0)),"")</f>
        <v/>
      </c>
      <c r="HZ9" s="862" t="str">
        <f t="shared" ref="HZ9:HZ40" si="82">IF(ISNUMBER($HL9),INDEX(GU$9:GU$150,MATCH($HL9,$AV$9:$AV$150,0)),"")</f>
        <v/>
      </c>
      <c r="IA9" s="863" t="str">
        <f t="shared" ref="IA9:IA40" si="83">IF(ISNUMBER($HL9),INDEX(GY$9:GY$150,MATCH($HL9,$AV$9:$AV$150,0)),"")</f>
        <v/>
      </c>
      <c r="IB9" s="864" t="str">
        <f t="shared" ref="IB9:IB40" si="84">IF(ISNUMBER($HL9),INDEX(GR$9:GR$150,MATCH($HL9,$AV$9:$AV$150,0)),"")</f>
        <v/>
      </c>
      <c r="IC9" s="840" t="str">
        <f t="shared" ref="IC9:IC40" si="85">IF(ISNUMBER($HL9),INDEX(GT$9:GT$150,MATCH($HL9,$AV$9:$AV$150,0)),"")</f>
        <v/>
      </c>
      <c r="ID9" s="350" t="str">
        <f t="shared" ref="ID9:ID40" si="86">IF(ISNUMBER($HL9),INDEX(GV$9:GV$150,MATCH($HL9,$AV$9:$AV$150,0)),"")</f>
        <v/>
      </c>
      <c r="IE9" s="842" t="str">
        <f t="shared" ref="IE9:IE40" si="87">IF(ISNUMBER($HL9),INDEX(GZ$9:GZ$150,MATCH($HL9,$AV$9:$AV$150,0)),"")</f>
        <v/>
      </c>
      <c r="IF9" s="844"/>
      <c r="IG9" s="792" t="str">
        <f>IFERROR(IF($IW9="","",IF($IW9&lt;(((Settings!$C$19/2)*-1)*$IG$8),"Taper","Nose")),"")</f>
        <v/>
      </c>
      <c r="IH9" s="481" t="str">
        <f>IFERROR(IF((((($IY9*COS(RADIANS(180-$JA9)))*COS(RADIANS($JA9)))-(($IZ9*SIN(RADIANS(180-$JA9)))*SIN(RADIANS($JA9))))+$IW9)&lt;(((Settings!$C$19+$IH$8)/2)*-1),"Gage",""),"")</f>
        <v/>
      </c>
      <c r="II9" s="787">
        <f>$M9</f>
        <v>1.101</v>
      </c>
      <c r="IJ9" s="673" t="str" cm="1">
        <f t="array" ref="IJ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K9" s="676" t="str" cm="1">
        <f t="array" ref="IK9">IFERROR(ROUND(VALUE(IF($IJ9&lt;1,$IJ9+LARGE((IF($M$9:$M$150="",0,$M$9:$M$150)-MOD(IF($M$9:$M$150="",0,$M$9:$M$150),1)),1),$IJ9)),4),"")</f>
        <v/>
      </c>
      <c r="IL9" s="781">
        <f t="shared" ref="IL9:IL40" si="88">IF(ISNUMBER($IK9),INDEX($K$9:$K$150,MATCH($IK9,$M$9:$M$150,0)),$K9)</f>
        <v>1613</v>
      </c>
      <c r="IM9" s="781" t="str">
        <f t="shared" ref="IM9" si="89">IF(ISNUMBER($IK9),INDEX($K$9:$K$150,MATCH($II9,$M$9:$M$150,0)),"")</f>
        <v/>
      </c>
      <c r="IN9" s="672" t="str">
        <f t="shared" ref="IN9:IN40" si="90">IF(ISNUMBER($IK9),IFERROR(IF(INDEX($W$9:$W$150,MATCH($IK9,$M$9:$M$150,0))&lt;$W9,((INDEX($W$9:$W$150,MATCH($IK9,$M$9:$M$150,0))+360)-$W9),INDEX($W$9:$W$150,MATCH($IK9,$M$9:$M$150,0))-$W9),""),"")</f>
        <v/>
      </c>
      <c r="IO9" s="701"/>
      <c r="IP9" s="20" t="str">
        <f t="shared" ref="IP9:IP40" si="91">IF(ISNUMBER($IK9),(($IQ9*12)/60)/$AS$3,"")</f>
        <v/>
      </c>
      <c r="IQ9" s="713"/>
      <c r="IR9" s="24" t="str">
        <f>IF(ISNUMBER($IK9),(INDEX($X$9:$X$150,MATCH($IK9,$M$9:$M$150,0))*-1),"")</f>
        <v/>
      </c>
      <c r="IS9" s="20" t="str">
        <f t="shared" ref="IS9:IS40" si="92">IF(ISNUMBER($IK9),INDEX($Y$9:$Y$150,MATCH($IK9,$M$9:$M$150,0)),"")</f>
        <v/>
      </c>
      <c r="IT9" s="20" t="str">
        <f t="shared" ref="IT9:IT40" si="93">IF(ISNUMBER($IK9),INDEX($H$9:$H$150,MATCH($IK9,$M$9:$M$150,0)),"")</f>
        <v/>
      </c>
      <c r="IU9" s="20" t="str">
        <f t="shared" ref="IU9:IU40" si="94">IF(ISNUMBER($IK9),$IT9*COS(RADIANS(INDEX($AO$9:$AO$150,MATCH($IK9,$M$9:$M$150,0)))),"")</f>
        <v/>
      </c>
      <c r="IV9" s="672" t="str">
        <f t="shared" ref="IV9:IV40" si="95">IF(ISNUMBER($IK9),(-1*INDEX($AN$9:$AN$150,MATCH($IK9,$M$9:$M$150,0))),"")</f>
        <v/>
      </c>
      <c r="IW9" s="24" t="str">
        <f t="shared" ref="IW9:IW40" si="96">IF(ISNUMBER($IK9),-$X9,"")</f>
        <v/>
      </c>
      <c r="IX9" s="20" t="str">
        <f t="shared" ref="IX9:IX40" si="97">IF(ISNUMBER($IK9),$Y9,"")</f>
        <v/>
      </c>
      <c r="IY9" s="20" t="str">
        <f t="shared" ref="IY9:IY40" si="98">IF(ISNUMBER($IK9),$H9,"")</f>
        <v/>
      </c>
      <c r="IZ9" s="20" t="str">
        <f t="shared" ref="IZ9:IZ40" si="99">IF(ISNUMBER($IK9),$IY9*COS(RADIANS($AO9)),"")</f>
        <v/>
      </c>
      <c r="JA9" s="704" t="str">
        <f t="shared" ref="JA9:JA40" si="100">IF(ISNUMBER($IK9),(-1*$AN9),"")</f>
        <v/>
      </c>
      <c r="JC9" s="730" cm="1">
        <f t="array" ref="JC9:JC10">IFERROR(_xlfn._xlws.SORT(_xlfn.UNIQUE(_xlfn._xlws.FILTER(IF($IK$9:$IK$150="",$K$9:$K$150,""),IF($IK$9:$IK$150="",$K$9:$K$150,"")&lt;&gt;"")),,-1),"")</f>
        <v>1613</v>
      </c>
      <c r="JD9" s="727" cm="1">
        <f t="array" ref="JD9">IF($JC9="","",COUNT(IF(IF($IK$9:$IK$150="",$IL$9:$IL$150,"")=$JC9,$II$9:$II$150,"")))</f>
        <v>49</v>
      </c>
      <c r="JE9" s="191"/>
      <c r="JF9" s="191"/>
      <c r="JG9" s="698"/>
      <c r="JH9" s="162"/>
      <c r="JI9" s="162"/>
      <c r="JX9" s="31"/>
      <c r="JY9" s="31"/>
    </row>
    <row r="10" spans="1:285" ht="15" customHeight="1" x14ac:dyDescent="0.25">
      <c r="A10" s="75">
        <f t="shared" si="1"/>
        <v>0.02</v>
      </c>
      <c r="B10" s="578">
        <f t="shared" si="2"/>
        <v>1.9318516917106877E-2</v>
      </c>
      <c r="C10" s="572">
        <f t="shared" si="3"/>
        <v>1.1177056052965635</v>
      </c>
      <c r="D10" s="576">
        <f t="shared" si="4"/>
        <v>-0.47080054774438357</v>
      </c>
      <c r="E10" s="580">
        <f t="shared" si="5"/>
        <v>-0.96592584585534391</v>
      </c>
      <c r="F10" s="572">
        <f t="shared" si="6"/>
        <v>-4.4943436424344438E-2</v>
      </c>
      <c r="G10" s="579">
        <f t="shared" si="7"/>
        <v>0.25488693146375618</v>
      </c>
      <c r="H10" s="580">
        <f t="shared" si="8"/>
        <v>0.3125</v>
      </c>
      <c r="I10" s="572">
        <f t="shared" si="9"/>
        <v>0.52</v>
      </c>
      <c r="J10" s="483">
        <f t="shared" si="10"/>
        <v>1.1040000000000001</v>
      </c>
      <c r="K10" s="806">
        <f t="shared" si="11"/>
        <v>1613</v>
      </c>
      <c r="M10" s="164">
        <f t="shared" si="12"/>
        <v>1.1040000000000001</v>
      </c>
      <c r="N10" s="575">
        <f t="shared" si="13"/>
        <v>1.9318516917106877E-2</v>
      </c>
      <c r="O10" s="572">
        <f t="shared" si="14"/>
        <v>1.1177056052965635</v>
      </c>
      <c r="P10" s="576">
        <f t="shared" si="15"/>
        <v>-0.47080054774438357</v>
      </c>
      <c r="Q10" s="528">
        <f>IF(M10="","",IF(DEGREES(ATAN2(N10,O10))&lt;0,DEGREES(ATAN2(N10,O10))+360,IF(DEGREES(ATAN2(N10,O10))&gt;360,DEGREES(ATAN2(N10,O10))-360,DEGREES(ATAN2(N10,O10)))))</f>
        <v>89.009793564229739</v>
      </c>
      <c r="R10" s="572">
        <f t="shared" ref="R10:R105" si="101">IF(M10="","",SQRT(N10^2+O10^2))</f>
        <v>1.117872544258617</v>
      </c>
      <c r="S10" s="577">
        <f t="shared" ref="S10:S105" si="102">IF(M10="","",P10)</f>
        <v>-0.47080054774438357</v>
      </c>
      <c r="T10" s="578">
        <f t="shared" ref="T10:T105" si="103">IF(M10="","",X10*COS(RADIANS(W10)))</f>
        <v>1.1178196612702576</v>
      </c>
      <c r="U10" s="572">
        <f t="shared" ref="U10:U105" si="104">IF(M10="","",X10*SIN(RADIANS(W10)))</f>
        <v>-1.0873365848720644E-2</v>
      </c>
      <c r="V10" s="579">
        <f>IF(M10="","",Y10)</f>
        <v>-0.47080054774438357</v>
      </c>
      <c r="W10" s="528">
        <f t="shared" si="16"/>
        <v>359.44268441010075</v>
      </c>
      <c r="X10" s="572">
        <f t="shared" ref="X10:X105" si="105">IF(M10="","",R10)</f>
        <v>1.117872544258617</v>
      </c>
      <c r="Y10" s="573">
        <f t="shared" si="17"/>
        <v>-0.47080054774438357</v>
      </c>
      <c r="Z10" s="575">
        <f>IF(M10="","",-E10)</f>
        <v>0.96592584585534391</v>
      </c>
      <c r="AA10" s="572">
        <f t="shared" si="19"/>
        <v>4.4943436424344438E-2</v>
      </c>
      <c r="AB10" s="572">
        <f t="shared" si="20"/>
        <v>-0.25488693146375618</v>
      </c>
      <c r="AC10" s="579">
        <f t="shared" ref="AC10:AC105" si="106">IF(M10="","",SQRT(Z10^2+AA10^2+AB10^2))</f>
        <v>1</v>
      </c>
      <c r="AD10" s="580">
        <f>IF(M10="","",Z10*(1/SQRT(Z10^2+AA10^2+AB10^2)))</f>
        <v>0.96592584585534391</v>
      </c>
      <c r="AE10" s="572">
        <f t="shared" ref="AE10:AE105" si="107">IF(M10="","",AA10*(1/SQRT(Z10^2+AA10^2+AB10^2)))</f>
        <v>4.4943436424344438E-2</v>
      </c>
      <c r="AF10" s="576">
        <f t="shared" ref="AF10:AF105" si="108">IF(M10="","",AB10*(1/SQRT(Z10^2+AA10^2+AB10^2)))</f>
        <v>-0.25488693146375618</v>
      </c>
      <c r="AG10" s="545">
        <f t="shared" ref="AG10:AG105" si="109">IF(M10="","",DEGREES(ATAN2(-AF10,AE10)))</f>
        <v>9.9999985561788396</v>
      </c>
      <c r="AH10" s="546">
        <f t="shared" ref="AH10:AH105" si="110">IF(M10="","",DEGREES(ACOS(AD10)))</f>
        <v>14.999995668536782</v>
      </c>
      <c r="AI10" s="528">
        <f t="shared" ref="AI10:AI105" si="111">IF(M10="","",DEGREES(-ACOS(-AF10)))</f>
        <v>-75.2331145853706</v>
      </c>
      <c r="AJ10" s="529">
        <f t="shared" ref="AJ10:AJ105" si="112">IF(M10="","",DEGREES(ATAN2(-AE10,AD10)))</f>
        <v>92.663986432041014</v>
      </c>
      <c r="AK10" s="578">
        <f>IF(M10="","",(COS(RADIANS((90-$Q$8)-W10))*AD10)+(-SIN(RADIANS((90-$Q$8)-W10))*AE10))</f>
        <v>0.96500490795388827</v>
      </c>
      <c r="AL10" s="572">
        <f t="shared" ref="AL10:AL105" si="113">IF(M10="","",(SIN(RADIANS((90-$Q$8)-W10))*AD10)+(COS(RADIANS((90-$Q$8)-W10))*AE10))</f>
        <v>6.1629374440265172E-2</v>
      </c>
      <c r="AM10" s="577">
        <f t="shared" ref="AM10:AM105" si="114">IF(M10="","",AF10)</f>
        <v>-0.25488693146375618</v>
      </c>
      <c r="AN10" s="524">
        <f t="shared" ref="AN10:AN105" si="115">IF(M10="","",DEGREES(ATAN2(-AM10,AL10)))</f>
        <v>13.592723484172373</v>
      </c>
      <c r="AO10" s="525">
        <f t="shared" ref="AO10:AO54" si="116">IF(ROUND(IF(M10="",0,DEGREES(ACOS(AK10))),4)=90,0,IF(M10="","",DEGREES(ACOS(AK10))))</f>
        <v>15.202531777354526</v>
      </c>
      <c r="AP10" s="528">
        <f t="shared" ref="AP10:AP105" si="117">IF(M10="","",DEGREES(ATAN2(AK10,AL10)))</f>
        <v>3.6541928678112621</v>
      </c>
      <c r="AQ10" s="529">
        <f t="shared" si="21"/>
        <v>4.0718191972956834</v>
      </c>
      <c r="AS10" s="932">
        <f>IF($M10="","",IF(AND($W10&lt;($AS$9+180),$W10&gt;($AS$9-180)),$W10,IF($W10&gt;($AS$9+180),$W10-360,IF($W10&lt;($AS$9-180),$W10+360,"Error"))))</f>
        <v>359.44268441010075</v>
      </c>
      <c r="AT10" s="928">
        <f t="shared" si="22"/>
        <v>-0.47375107916640874</v>
      </c>
      <c r="AU10" s="418"/>
      <c r="AV10" s="164" t="str">
        <f t="shared" si="23"/>
        <v/>
      </c>
      <c r="AW10" s="829" t="str">
        <f>IFERROR(INDEX(MassProp!C$9:C$150,MATCH($M10,MassProp!$B$9:$B$150,0)),"")</f>
        <v/>
      </c>
      <c r="AX10" s="830" t="str">
        <f>IFERROR(INDEX(MassProp!D$9:D$150,MATCH($M10,MassProp!$B$9:$B$150,0)),"")</f>
        <v/>
      </c>
      <c r="AY10" s="831" t="str">
        <f>IFERROR(INDEX(MassProp!E$9:E$150,MATCH($M10,MassProp!$B$9:$B$150,0)),"")</f>
        <v/>
      </c>
      <c r="AZ10" s="297" t="str">
        <f>IF(ISNUMBER(AV10),$AY10*SQRT((2*PI()*$AW10)^2+$AS$5^2),"")</f>
        <v/>
      </c>
      <c r="BA10" s="296" t="str">
        <f t="shared" si="24"/>
        <v/>
      </c>
      <c r="BB10" s="291" t="str">
        <f>IF(ISNUMBER($AV10),$AX10-($AT10+$AS$5),"")</f>
        <v/>
      </c>
      <c r="BC10" s="9"/>
      <c r="BD10" s="5" t="str">
        <f>IF(ISNUMBER(AV10),AW10,"")</f>
        <v/>
      </c>
      <c r="BE10" s="6" t="str">
        <f t="shared" si="25"/>
        <v/>
      </c>
      <c r="BF10" s="4" t="str">
        <f t="shared" si="26"/>
        <v/>
      </c>
      <c r="BG10" s="5" t="str">
        <f t="shared" si="27"/>
        <v/>
      </c>
      <c r="BH10" s="10" t="str">
        <f t="shared" si="28"/>
        <v/>
      </c>
      <c r="BI10" s="9" t="str">
        <f>IF(ISNUMBER($AV10),BF10+0,"")</f>
        <v/>
      </c>
      <c r="BJ10" s="5" t="str">
        <f t="shared" si="29"/>
        <v/>
      </c>
      <c r="BK10" s="8" t="str">
        <f t="shared" si="30"/>
        <v/>
      </c>
      <c r="BL10" s="173" t="str">
        <f t="shared" si="31"/>
        <v/>
      </c>
      <c r="BM10" s="5" t="str">
        <f t="shared" si="32"/>
        <v/>
      </c>
      <c r="BN10" s="6" t="str">
        <f t="shared" si="33"/>
        <v/>
      </c>
      <c r="BO10" s="4" t="str">
        <f>IF(ISNUMBER($AV10),BJ10*BN10-BM10*BK10-BG10*(BN10-BK10)+BH10*(BM10-BJ10),"")</f>
        <v/>
      </c>
      <c r="BP10" s="5" t="str">
        <f t="shared" si="34"/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118">IF(ISNUMBER($AV10),0,"")</f>
        <v/>
      </c>
      <c r="BT10" s="5" t="str">
        <f t="shared" si="118"/>
        <v/>
      </c>
      <c r="BU10" s="10" t="str">
        <f t="shared" ref="BU10:BU73" si="119">IF(ISNUMBER($AV10),$BE10,"")</f>
        <v/>
      </c>
      <c r="BV10" s="9" t="str">
        <f t="shared" ref="BV10:BV73" si="120">IF(ISNUMBER($AV10),0,"")</f>
        <v/>
      </c>
      <c r="BW10" s="5" t="str">
        <f t="shared" ref="BW10:BW73" si="121">IF(ISNUMBER($AV10),1,"")</f>
        <v/>
      </c>
      <c r="BX10" s="8" t="str">
        <f t="shared" ref="BX10:BX73" si="122">IF(ISNUMBER($AV10),$BE10,"")</f>
        <v/>
      </c>
      <c r="BY10" s="173" t="str">
        <f t="shared" ref="BY10:BY73" si="123">IF(ISNUMBER($AV10),1,"")</f>
        <v/>
      </c>
      <c r="BZ10" s="5" t="str">
        <f t="shared" ref="BZ10:BZ73" si="124">IF(ISNUMBER($AV10),0,"")</f>
        <v/>
      </c>
      <c r="CA10" s="6" t="str">
        <f t="shared" ref="CA10:CA73" si="125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26">IF(ISNUMBER($AV10),0,"")</f>
        <v/>
      </c>
      <c r="CJ10" s="5" t="str">
        <f t="shared" ref="CJ10:CJ73" si="127">IF(ISNUMBER($AV10),(CD10*BR10-BQ10*CE10)/(BQ10*CC10-CD10*BP10),"")</f>
        <v/>
      </c>
      <c r="CK10" s="8" t="str">
        <f t="shared" ref="CK10:CK73" si="128">IF(ISNUMBER($AV10),(CC10*BR10-BP10*CE10)/(-CC10*BQ10+BP10*CD10),"")</f>
        <v/>
      </c>
      <c r="CL10" s="173" t="str">
        <f t="shared" ref="CL10:CL73" si="129">IF(ISNUMBER($AV10),CI10+CF10,"")</f>
        <v/>
      </c>
      <c r="CM10" s="5" t="str">
        <f t="shared" ref="CM10:CM73" si="130">IF(ISNUMBER($AV10),CJ10+CG10,"")</f>
        <v/>
      </c>
      <c r="CN10" s="6" t="str">
        <f t="shared" ref="CN10:CN73" si="131">IF(ISNUMBER($AV10),CK10+CH10,"")</f>
        <v/>
      </c>
      <c r="CO10" s="167" t="str">
        <f t="shared" si="35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36"/>
        <v/>
      </c>
      <c r="CW10" s="5" t="str">
        <f t="shared" si="36"/>
        <v/>
      </c>
      <c r="CX10" s="8" t="str">
        <f t="shared" si="36"/>
        <v/>
      </c>
      <c r="CY10" s="9" t="str">
        <f t="shared" si="37"/>
        <v/>
      </c>
      <c r="CZ10" s="5" t="str">
        <f t="shared" si="37"/>
        <v/>
      </c>
      <c r="DA10" s="6" t="str">
        <f t="shared" si="37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0" t="str">
        <f>IF(ISNUMBER($AV10),BD10,"")</f>
        <v/>
      </c>
      <c r="DI10" s="4" t="str">
        <f>IF(ISNUMBER($AV10),DE10-DB10,"")</f>
        <v/>
      </c>
      <c r="DJ10" s="5" t="str">
        <f>IF(ISNUMBER($AV10),DF10-DC10,"")</f>
        <v/>
      </c>
      <c r="DK10" s="10" t="str">
        <f>IF(ISNUMBER($AV10),DG10-DD10,"")</f>
        <v/>
      </c>
      <c r="DL10" s="9" t="str">
        <f>IF(ISNUMBER($AV10),CV10-DB10,"")</f>
        <v/>
      </c>
      <c r="DM10" s="173" t="str">
        <f>IF(ISNUMBER($AV10),CW10-DC10,"")</f>
        <v/>
      </c>
      <c r="DN10" s="178" t="str">
        <f>IF(ISNUMBER($AV10),CX10-DD10,"")</f>
        <v/>
      </c>
      <c r="DO10" s="9" t="str">
        <f t="shared" si="40"/>
        <v/>
      </c>
      <c r="DP10" s="173" t="str">
        <f t="shared" si="40"/>
        <v/>
      </c>
      <c r="DQ10" s="11" t="str">
        <f t="shared" si="40"/>
        <v/>
      </c>
      <c r="DR10" s="173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67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3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41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42"/>
        <v/>
      </c>
      <c r="EK10" s="236" t="str">
        <f>IF(ISNUMBER($AV10),IF(OR($EC10&lt;0,$EC10&gt;1),FALSE,TRUE),"")</f>
        <v/>
      </c>
      <c r="EL10" s="238" t="str">
        <f>IF(ISNUMBER($AV10),IF(OR($ED10&lt;0,$ED10&gt;1),FALSE,TRUE),"")</f>
        <v/>
      </c>
      <c r="EM10" s="4" t="str">
        <f t="shared" si="43"/>
        <v/>
      </c>
      <c r="EN10" s="5" t="str">
        <f t="shared" si="43"/>
        <v/>
      </c>
      <c r="EO10" s="10" t="str">
        <f t="shared" si="43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ref="ES10:ES40" si="132">IF(ISNUMBER($AV10),AD10,"")</f>
        <v/>
      </c>
      <c r="ET10" s="5" t="str">
        <f t="shared" si="44"/>
        <v/>
      </c>
      <c r="EU10" s="10" t="str">
        <f t="shared" si="45"/>
        <v/>
      </c>
      <c r="EV10" s="174" t="str">
        <f t="shared" si="46"/>
        <v/>
      </c>
      <c r="EW10" s="9" t="str">
        <f t="shared" ref="EW10:EW40" si="133">IF(ISNUMBER($AV10),(COS(RADIANS($EV10))*ES10)+(-SIN(RADIANS($EV10))*ET10),"")</f>
        <v/>
      </c>
      <c r="EX10" s="5" t="str">
        <f t="shared" si="47"/>
        <v/>
      </c>
      <c r="EY10" s="6" t="str">
        <f>IF(ISNUMBER($AV10),EU10,"")</f>
        <v/>
      </c>
      <c r="EZ10" s="51" t="str">
        <f>IF(ISNUMBER($AV10),DEGREES(ATAN($AS$5/($EQ10*2*PI()))),"")</f>
        <v/>
      </c>
      <c r="FA10" s="266" t="str">
        <f t="shared" ref="FA10:FA53" si="134">IF(ISNUMBER($AV10),SIN(RADIANS($EP10))*COS(RADIANS($EZ10)),"")</f>
        <v/>
      </c>
      <c r="FB10" s="267" t="str">
        <f t="shared" ref="FB10:FB53" si="135">IF(ISNUMBER($AV10),-1*COS(RADIANS($EP10))*COS(RADIANS($EZ10)),"")</f>
        <v/>
      </c>
      <c r="FC10" s="269" t="str">
        <f t="shared" si="48"/>
        <v/>
      </c>
      <c r="FD10" s="4" t="str">
        <f t="shared" ref="FD10:FD40" si="136">IF(ISNUMBER($AV10),(COS(RADIANS($EV10))*FA10)+(-SIN(RADIANS($EV10))*FB10),"")</f>
        <v/>
      </c>
      <c r="FE10" s="5" t="str">
        <f t="shared" si="49"/>
        <v/>
      </c>
      <c r="FF10" s="7" t="str">
        <f>IF(ISNUMBER($AV10),FC10,"")</f>
        <v/>
      </c>
      <c r="FG10" s="173" t="str">
        <f>IF(ISNUMBER($AV10),EW10-FD10,"")</f>
        <v/>
      </c>
      <c r="FH10" s="5" t="str">
        <f t="shared" si="50"/>
        <v/>
      </c>
      <c r="FI10" s="10" t="str">
        <f t="shared" si="51"/>
        <v/>
      </c>
      <c r="FJ10" s="279" t="str">
        <f>IF(ISNUMBER($AV10),DEGREES(ACOS((2-SQRT((FG10)^2+(FH10)^2+(FI10)^2)^2)/2)),"")</f>
        <v/>
      </c>
      <c r="FK10" s="4" t="str">
        <f t="shared" si="52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53"/>
        <v/>
      </c>
      <c r="FP10" s="277" t="str">
        <f t="shared" si="54"/>
        <v/>
      </c>
      <c r="FQ10" s="173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55"/>
        <v/>
      </c>
      <c r="FZ10" s="277" t="str">
        <f>IF(ISNUMBER($AV10),FX10*FY10,"")</f>
        <v/>
      </c>
      <c r="GA10" s="177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11" t="str">
        <f>IF(ISNUMBER($AV10),SUM(ABS(GB10),ABS(GC10),ABS(GD10)),"")</f>
        <v/>
      </c>
      <c r="GF10" s="341" t="str">
        <f>IF(ISNUMBER($AV10),1/GE10,"")</f>
        <v/>
      </c>
      <c r="GG10" s="285" t="str">
        <f t="shared" si="56"/>
        <v/>
      </c>
      <c r="GH10" s="286" t="str">
        <f t="shared" si="57"/>
        <v/>
      </c>
      <c r="GI10" s="281" t="str">
        <f t="shared" si="58"/>
        <v/>
      </c>
      <c r="GJ10" s="167" t="str">
        <f>IF(ISNUMBER($AV10),AW10,"")</f>
        <v/>
      </c>
      <c r="GK10" s="174" t="str">
        <f t="shared" si="59"/>
        <v/>
      </c>
      <c r="GL10" s="174" t="str">
        <f t="shared" si="60"/>
        <v/>
      </c>
      <c r="GM10" s="9" t="str">
        <f>IF(ISNUMBER($AV10),AZ10,"")</f>
        <v/>
      </c>
      <c r="GN10" s="281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77" t="str">
        <f>IF(ISNUMBER($AV10),FJ10,"")</f>
        <v/>
      </c>
      <c r="GR10" s="371" t="str">
        <f>IF(ISNUMBER($AV10),GS10+GU10+GY10,"")</f>
        <v/>
      </c>
      <c r="GS10" s="342" t="str">
        <f t="shared" si="61"/>
        <v/>
      </c>
      <c r="GT10" s="343" t="str">
        <f t="shared" si="62"/>
        <v/>
      </c>
      <c r="GU10" s="344" t="str">
        <f t="shared" si="63"/>
        <v/>
      </c>
      <c r="GV10" s="343" t="str">
        <f>IF(ISNUMBER($AV10),GW10*$GL10,"")</f>
        <v/>
      </c>
      <c r="GW10" s="345" t="str">
        <f t="shared" si="64"/>
        <v/>
      </c>
      <c r="GX10" s="346" t="str">
        <f t="shared" si="65"/>
        <v/>
      </c>
      <c r="GY10" s="344" t="str">
        <f t="shared" si="66"/>
        <v/>
      </c>
      <c r="GZ10" s="345" t="str">
        <f t="shared" si="67"/>
        <v/>
      </c>
      <c r="HA10" s="342" t="str">
        <f t="shared" si="68"/>
        <v/>
      </c>
      <c r="HB10" s="5" t="str">
        <f>IF(ISNUMBER($AV10),$EV10,"")</f>
        <v/>
      </c>
      <c r="HC10" s="343" t="str">
        <f>IF(ISNUMBER($AV10),HA10*COS(RADIANS(HB10)),"")</f>
        <v/>
      </c>
      <c r="HD10" s="345" t="str">
        <f>IF(ISNUMBER($AV10),HA10*SIN(RADIANS(HB10)),"")</f>
        <v/>
      </c>
      <c r="HE10" s="344" t="str">
        <f t="shared" si="69"/>
        <v/>
      </c>
      <c r="HF10" s="5" t="str">
        <f t="shared" si="70"/>
        <v/>
      </c>
      <c r="HG10" s="343" t="str">
        <f>IF(ISNUMBER($AV10),HE10*COS(RADIANS(HF10)),"")</f>
        <v/>
      </c>
      <c r="HH10" s="349" t="str">
        <f>IF(ISNUMBER($AV10),HE10*SIN(RADIANS(HF10)),"")</f>
        <v/>
      </c>
      <c r="HI10" s="317" t="str">
        <f t="shared" si="71"/>
        <v/>
      </c>
      <c r="HJ10" s="336"/>
      <c r="HK10" s="310" t="str">
        <f t="shared" ref="HK10:HK41" si="137">IF(ISNUMBER(HS10),HK9+1,"")</f>
        <v/>
      </c>
      <c r="HL10" s="348" t="str">
        <f t="shared" si="72"/>
        <v/>
      </c>
      <c r="HM10" s="909" t="str">
        <f t="shared" ref="HM10:HM40" si="138">IF(ISNUMBER($HL10),INDEX(GO$9:GO$150,MATCH($HL10,$AV$9:$AV$150,0)),"")</f>
        <v/>
      </c>
      <c r="HN10" s="910" t="str">
        <f t="shared" si="73"/>
        <v/>
      </c>
      <c r="HO10" s="911"/>
      <c r="HP10" s="912"/>
      <c r="HQ10" s="910" t="str">
        <f t="shared" si="74"/>
        <v/>
      </c>
      <c r="HR10" s="913" t="str">
        <f t="shared" si="75"/>
        <v/>
      </c>
      <c r="HS10" s="865" t="str">
        <f>IFERROR(SMALL($GJ$9:$GJ$150,($HK9+1)),"")</f>
        <v/>
      </c>
      <c r="HT10" s="875" t="str">
        <f t="shared" si="76"/>
        <v/>
      </c>
      <c r="HU10" s="876" t="str">
        <f t="shared" si="77"/>
        <v/>
      </c>
      <c r="HV10" s="872" t="str">
        <f t="shared" si="78"/>
        <v/>
      </c>
      <c r="HW10" s="866" t="str">
        <f t="shared" si="79"/>
        <v/>
      </c>
      <c r="HX10" s="867" t="str">
        <f t="shared" si="80"/>
        <v/>
      </c>
      <c r="HY10" s="866" t="str">
        <f t="shared" si="81"/>
        <v/>
      </c>
      <c r="HZ10" s="868" t="str">
        <f t="shared" si="82"/>
        <v/>
      </c>
      <c r="IA10" s="869" t="str">
        <f t="shared" si="83"/>
        <v/>
      </c>
      <c r="IB10" s="870" t="str">
        <f t="shared" si="84"/>
        <v/>
      </c>
      <c r="IC10" s="841" t="str">
        <f t="shared" si="85"/>
        <v/>
      </c>
      <c r="ID10" s="351" t="str">
        <f t="shared" si="86"/>
        <v/>
      </c>
      <c r="IE10" s="843" t="str">
        <f t="shared" si="87"/>
        <v/>
      </c>
      <c r="IF10" s="844"/>
      <c r="IG10" s="790" t="str">
        <f>IFERROR(IF($IW10="","",IF($IW10&lt;(((Settings!$C$19/2)*-1)*$IG$8),"Taper","Nose")),"")</f>
        <v/>
      </c>
      <c r="IH10" s="482" t="str">
        <f>IFERROR(IF((((($IY10*COS(RADIANS(180-$JA10)))*COS(RADIANS($JA10)))-(($IZ10*SIN(RADIANS(180-$JA10)))*SIN(RADIANS($JA10))))+$IW10)&lt;(((Settings!$C$19+$IH$8)/2)*-1),"Gage",""),"")</f>
        <v/>
      </c>
      <c r="II10" s="788">
        <f>$M10</f>
        <v>1.1040000000000001</v>
      </c>
      <c r="IJ10" s="674" t="str" cm="1">
        <f t="array" ref="IJ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K10" s="677" t="str" cm="1">
        <f t="array" ref="IK10">IFERROR(ROUND(VALUE(IF($IJ10&lt;1,$IJ10+LARGE((IF($M$9:$M$150="",0,$M$9:$M$150)-MOD(IF($M$9:$M$150="",0,$M$9:$M$150),1)),1),$IJ10)),4),"")</f>
        <v/>
      </c>
      <c r="IL10" s="482">
        <f t="shared" si="88"/>
        <v>1613</v>
      </c>
      <c r="IM10" s="482" t="str">
        <f>IF(ISNUMBER($IK10),INDEX($K$9:$K$150,MATCH($II10,$M$9:$M$150,0)),"")</f>
        <v/>
      </c>
      <c r="IN10" s="670" t="str">
        <f t="shared" si="90"/>
        <v/>
      </c>
      <c r="IO10" s="702"/>
      <c r="IP10" s="5" t="str">
        <f t="shared" si="91"/>
        <v/>
      </c>
      <c r="IQ10" s="714"/>
      <c r="IR10" s="9" t="str">
        <f t="shared" ref="IR10:IR40" si="139">IF(ISNUMBER($IK10),(INDEX($X$9:$X$150,MATCH($IK10,$M$9:$M$150,0))*-1),"")</f>
        <v/>
      </c>
      <c r="IS10" s="5" t="str">
        <f t="shared" si="92"/>
        <v/>
      </c>
      <c r="IT10" s="5" t="str">
        <f t="shared" si="93"/>
        <v/>
      </c>
      <c r="IU10" s="5" t="str">
        <f t="shared" si="94"/>
        <v/>
      </c>
      <c r="IV10" s="670" t="str">
        <f t="shared" si="95"/>
        <v/>
      </c>
      <c r="IW10" s="9" t="str">
        <f t="shared" si="96"/>
        <v/>
      </c>
      <c r="IX10" s="5" t="str">
        <f t="shared" si="97"/>
        <v/>
      </c>
      <c r="IY10" s="5" t="str">
        <f t="shared" si="98"/>
        <v/>
      </c>
      <c r="IZ10" s="5" t="str">
        <f t="shared" si="99"/>
        <v/>
      </c>
      <c r="JA10" s="705" t="str">
        <f t="shared" si="100"/>
        <v/>
      </c>
      <c r="JC10" s="731">
        <v>1313</v>
      </c>
      <c r="JD10" s="728" cm="1">
        <f t="array" ref="JD10">IF($JC10="","",COUNT(IF(IF($IK$9:$IK$150="",$IL$9:$IL$150,"")=$JC10,$II$9:$II$150,"")))</f>
        <v>6</v>
      </c>
      <c r="JE10" s="5"/>
      <c r="JF10" s="5"/>
      <c r="JG10" s="8"/>
      <c r="JH10" s="162"/>
      <c r="JI10" s="162"/>
    </row>
    <row r="11" spans="1:285" ht="15" customHeight="1" x14ac:dyDescent="0.25">
      <c r="A11" s="75">
        <f t="shared" si="1"/>
        <v>0.02</v>
      </c>
      <c r="B11" s="578">
        <f t="shared" si="2"/>
        <v>1.9318516917106874E-2</v>
      </c>
      <c r="C11" s="572">
        <f t="shared" si="3"/>
        <v>1.8450099923900107</v>
      </c>
      <c r="D11" s="576">
        <f t="shared" si="4"/>
        <v>-0.27589937210226512</v>
      </c>
      <c r="E11" s="580">
        <f t="shared" si="5"/>
        <v>-0.96592584585534369</v>
      </c>
      <c r="F11" s="572">
        <f t="shared" si="6"/>
        <v>-4.4943436424344438E-2</v>
      </c>
      <c r="G11" s="579">
        <f t="shared" si="7"/>
        <v>0.25488693146375646</v>
      </c>
      <c r="H11" s="580">
        <f t="shared" si="8"/>
        <v>0.3125</v>
      </c>
      <c r="I11" s="572">
        <f t="shared" si="9"/>
        <v>0.52</v>
      </c>
      <c r="J11" s="483">
        <f t="shared" si="10"/>
        <v>1.107</v>
      </c>
      <c r="K11" s="806">
        <f t="shared" si="11"/>
        <v>1613</v>
      </c>
      <c r="L11" s="720" t="s">
        <v>323</v>
      </c>
      <c r="M11" s="164">
        <f t="shared" si="12"/>
        <v>1.107</v>
      </c>
      <c r="N11" s="575">
        <f t="shared" si="13"/>
        <v>1.9318516917106874E-2</v>
      </c>
      <c r="O11" s="572">
        <f t="shared" si="14"/>
        <v>1.8450099923900107</v>
      </c>
      <c r="P11" s="576">
        <f t="shared" si="15"/>
        <v>-0.27589937210226512</v>
      </c>
      <c r="Q11" s="528">
        <f t="shared" ref="Q11:Q73" si="140">IF(M11="","",IF(DEGREES(ATAN2(N11,O11))&lt;0,DEGREES(ATAN2(N11,O11))+360,IF(DEGREES(ATAN2(N11,O11))&gt;360,DEGREES(ATAN2(N11,O11))-360,DEGREES(ATAN2(N11,O11)))))</f>
        <v>89.400095911458934</v>
      </c>
      <c r="R11" s="572">
        <f t="shared" si="101"/>
        <v>1.8451111286626787</v>
      </c>
      <c r="S11" s="577">
        <f t="shared" si="102"/>
        <v>-0.27589937210226512</v>
      </c>
      <c r="T11" s="578">
        <f t="shared" si="103"/>
        <v>1.8451032898772488</v>
      </c>
      <c r="U11" s="572">
        <f t="shared" si="104"/>
        <v>-5.3783639721748785E-3</v>
      </c>
      <c r="V11" s="579">
        <f t="shared" ref="V11:V105" si="141">IF(M11="","",Y11)</f>
        <v>-0.27589937210226512</v>
      </c>
      <c r="W11" s="528">
        <f t="shared" si="16"/>
        <v>359.83298675732993</v>
      </c>
      <c r="X11" s="572">
        <f>IF(M11="","",R11)</f>
        <v>1.8451111286626787</v>
      </c>
      <c r="Y11" s="573">
        <f t="shared" si="17"/>
        <v>-0.27589937210226512</v>
      </c>
      <c r="Z11" s="575">
        <f t="shared" si="18"/>
        <v>0.96592584585534369</v>
      </c>
      <c r="AA11" s="572">
        <f t="shared" si="19"/>
        <v>4.4943436424344438E-2</v>
      </c>
      <c r="AB11" s="572">
        <f t="shared" si="20"/>
        <v>-0.25488693146375646</v>
      </c>
      <c r="AC11" s="579">
        <f t="shared" si="106"/>
        <v>1</v>
      </c>
      <c r="AD11" s="580">
        <f t="shared" ref="AD11:AD105" si="142">IF(M11="","",Z11*(1/SQRT(Z11^2+AA11^2+AB11^2)))</f>
        <v>0.96592584585534369</v>
      </c>
      <c r="AE11" s="572">
        <f t="shared" si="107"/>
        <v>4.4943436424344438E-2</v>
      </c>
      <c r="AF11" s="576">
        <f t="shared" si="108"/>
        <v>-0.25488693146375646</v>
      </c>
      <c r="AG11" s="545">
        <f>IF(M11="","",DEGREES(ATAN2(-AF11,AE11)))</f>
        <v>9.9999985561788289</v>
      </c>
      <c r="AH11" s="546">
        <f t="shared" si="110"/>
        <v>14.999995668536833</v>
      </c>
      <c r="AI11" s="528">
        <f t="shared" si="111"/>
        <v>-75.233114585370586</v>
      </c>
      <c r="AJ11" s="529">
        <f t="shared" si="112"/>
        <v>92.663986432041014</v>
      </c>
      <c r="AK11" s="578">
        <f>IF(M11="","",(COS(RADIANS((90-$Q$8)-W11))*AD11)+(-SIN(RADIANS((90-$Q$8)-W11))*AE11))</f>
        <v>0.96540233772534811</v>
      </c>
      <c r="AL11" s="572">
        <f t="shared" si="113"/>
        <v>5.5054323022111176E-2</v>
      </c>
      <c r="AM11" s="577">
        <f t="shared" si="114"/>
        <v>-0.25488693146375646</v>
      </c>
      <c r="AN11" s="524">
        <f>IF(M11="","",DEGREES(ATAN2(-AM11,AL11)))</f>
        <v>12.188363844259069</v>
      </c>
      <c r="AO11" s="525">
        <f>IF(ROUND(IF(M11="",0,DEGREES(ACOS(AK11))),4)=90,0,IF(M11="","",DEGREES(ACOS(AK11))))</f>
        <v>15.1154526663362</v>
      </c>
      <c r="AP11" s="528">
        <f t="shared" si="117"/>
        <v>3.2638905205820694</v>
      </c>
      <c r="AQ11" s="529">
        <f>IF(M11="","",DEGREES(ATAN(($AS$5*SIN(RADIANS(90)))/(($X11*2*PI())-($AS$5*COS(RADIANS(90)))))))</f>
        <v>2.4695690888439574</v>
      </c>
      <c r="AS11" s="932">
        <f t="shared" ref="AS11:AS42" si="143">IF(G11="","",IF(AND(W11&lt;(AS10+180),W11&gt;(AS10-180)),W11,IF(W11&gt;(AS10+180),W11-360,IF(W11&lt;(AS10-180),W11+360,"Error"))))</f>
        <v>359.83298675732993</v>
      </c>
      <c r="AT11" s="928">
        <f t="shared" si="22"/>
        <v>-0.27939199011766419</v>
      </c>
      <c r="AU11" s="418"/>
      <c r="AV11" s="164" t="str">
        <f t="shared" si="23"/>
        <v/>
      </c>
      <c r="AW11" s="829" t="str">
        <f>IFERROR(INDEX(MassProp!C$9:C$150,MATCH($M11,MassProp!$B$9:$B$150,0)),"")</f>
        <v/>
      </c>
      <c r="AX11" s="830" t="str">
        <f>IFERROR(INDEX(MassProp!D$9:D$150,MATCH($M11,MassProp!$B$9:$B$150,0)),"")</f>
        <v/>
      </c>
      <c r="AY11" s="831" t="str">
        <f>IFERROR(INDEX(MassProp!E$9:E$150,MATCH($M11,MassProp!$B$9:$B$150,0)),"")</f>
        <v/>
      </c>
      <c r="AZ11" s="297" t="str">
        <f t="shared" ref="AZ11:AZ74" si="144">IF(ISNUMBER(AV11),$AY11*SQRT((2*PI()*$AW11)^2+$AS$5^2),"")</f>
        <v/>
      </c>
      <c r="BA11" s="296" t="str">
        <f t="shared" si="24"/>
        <v/>
      </c>
      <c r="BB11" s="291" t="str">
        <f t="shared" ref="BB11:BB73" si="145">IF(ISNUMBER($AV11),$AX11-($AT11+$AS$5),"")</f>
        <v/>
      </c>
      <c r="BC11" s="9"/>
      <c r="BD11" s="5" t="str">
        <f t="shared" ref="BD11:BD73" si="146">IF(ISNUMBER(AV11),AW11,"")</f>
        <v/>
      </c>
      <c r="BE11" s="6" t="str">
        <f t="shared" si="25"/>
        <v/>
      </c>
      <c r="BF11" s="4" t="str">
        <f t="shared" si="26"/>
        <v/>
      </c>
      <c r="BG11" s="5" t="str">
        <f t="shared" si="27"/>
        <v/>
      </c>
      <c r="BH11" s="10" t="str">
        <f t="shared" si="28"/>
        <v/>
      </c>
      <c r="BI11" s="9" t="str">
        <f t="shared" ref="BI11:BI74" si="147">IF(ISNUMBER($AV11),BF11+0,"")</f>
        <v/>
      </c>
      <c r="BJ11" s="5" t="str">
        <f t="shared" si="29"/>
        <v/>
      </c>
      <c r="BK11" s="8" t="str">
        <f t="shared" si="30"/>
        <v/>
      </c>
      <c r="BL11" s="173" t="str">
        <f t="shared" si="31"/>
        <v/>
      </c>
      <c r="BM11" s="5" t="str">
        <f t="shared" si="32"/>
        <v/>
      </c>
      <c r="BN11" s="6" t="str">
        <f t="shared" si="33"/>
        <v/>
      </c>
      <c r="BO11" s="4" t="str">
        <f t="shared" ref="BO11:BO74" si="148">IF(ISNUMBER($AV11),BJ11*BN11-BM11*BK11-BG11*(BN11-BK11)+BH11*(BM11-BJ11),"")</f>
        <v/>
      </c>
      <c r="BP11" s="5" t="str">
        <f>IF(IF(ISNUMBER($AV11),BF11*(BN11-BK11)-(BI11*BN11-BL11*BK11)+BH11*(BI11-BL11),"")=0,IF(ISNUMBER($AV11),BF11*(BN11-BK11)-(BI11*BN11-BL11*BK11)+BH11*(BI11-BL11),"")+0.00001,IF(ISNUMBER($AV11),BF11*(BN11-BK11)-(BI11*BN11-BL11*BK11)+BH11*(BI11-BL11),""))</f>
        <v/>
      </c>
      <c r="BQ11" s="5" t="str">
        <f t="shared" ref="BQ11:BQ74" si="149">IF(ISNUMBER($AV11),BF11*(BJ11-BM11)-BG11*(BI11-BL11)+(BI11*BM11-BL11*BJ11),"")</f>
        <v/>
      </c>
      <c r="BR11" s="6" t="str">
        <f t="shared" ref="BR11:BR74" si="150">IF(ISNUMBER($AV11),-(BF11*(BJ11*BN11-BM11*BK11)-BG11*(BI11*BN11-BL11*BK11)+BH11*(BI11*BM11-BL11*BJ11)),"")</f>
        <v/>
      </c>
      <c r="BS11" s="4" t="str">
        <f t="shared" si="118"/>
        <v/>
      </c>
      <c r="BT11" s="5" t="str">
        <f t="shared" si="118"/>
        <v/>
      </c>
      <c r="BU11" s="10" t="str">
        <f t="shared" si="119"/>
        <v/>
      </c>
      <c r="BV11" s="9" t="str">
        <f t="shared" si="120"/>
        <v/>
      </c>
      <c r="BW11" s="5" t="str">
        <f t="shared" si="121"/>
        <v/>
      </c>
      <c r="BX11" s="8" t="str">
        <f t="shared" si="122"/>
        <v/>
      </c>
      <c r="BY11" s="173" t="str">
        <f t="shared" si="123"/>
        <v/>
      </c>
      <c r="BZ11" s="5" t="str">
        <f t="shared" si="124"/>
        <v/>
      </c>
      <c r="CA11" s="6" t="str">
        <f t="shared" si="125"/>
        <v/>
      </c>
      <c r="CB11" s="4" t="str">
        <f t="shared" ref="CB11:CB74" si="151">IF(ISNUMBER($AV11),BW11*CA11-BZ11*BX11-BT11*(CA11-BX11)+BU11*(BZ11-BW11),"")</f>
        <v/>
      </c>
      <c r="CC11" s="5" t="str">
        <f t="shared" ref="CC11:CC74" si="152">IF(ISNUMBER($AV11),BS11*(CA11-BX11)-(BV11*CA11-BY11*BX11)+BU11*(BV11-BY11),"")</f>
        <v/>
      </c>
      <c r="CD11" s="5" t="str">
        <f t="shared" ref="CD11:CD74" si="153">IF(ISNUMBER($AV11),BS11*(BW11-BZ11)-BT11*(BV11-BY11)+(BV11*BZ11-BY11*BW11),"")</f>
        <v/>
      </c>
      <c r="CE11" s="6" t="str">
        <f t="shared" ref="CE11:CE74" si="154">IF(ISNUMBER($AV11),-(BS11*(BW11*CA11-BZ11*BX11)-BT11*(BV11*CA11-BY11*BX11)+BU11*(BV11*BZ11-BY11*BW11)),"")</f>
        <v/>
      </c>
      <c r="CF11" s="4" t="str">
        <f t="shared" ref="CF11:CF74" si="155">IF(ISNUMBER($AV11),(BP11*CD11)-(BQ11*CC11),"")</f>
        <v/>
      </c>
      <c r="CG11" s="5" t="str">
        <f t="shared" ref="CG11:CG74" si="156">IF(ISNUMBER($AV11),(BQ11*CB11)-(BO11*CD11),"")</f>
        <v/>
      </c>
      <c r="CH11" s="5" t="str">
        <f t="shared" ref="CH11:CH74" si="157">IF(ISNUMBER($AV11),(BO11*CC11)-(BP11*CB11),"")</f>
        <v/>
      </c>
      <c r="CI11" s="4" t="str">
        <f t="shared" si="126"/>
        <v/>
      </c>
      <c r="CJ11" s="5" t="str">
        <f t="shared" si="127"/>
        <v/>
      </c>
      <c r="CK11" s="8" t="str">
        <f t="shared" si="128"/>
        <v/>
      </c>
      <c r="CL11" s="173" t="str">
        <f t="shared" si="129"/>
        <v/>
      </c>
      <c r="CM11" s="5" t="str">
        <f t="shared" si="130"/>
        <v/>
      </c>
      <c r="CN11" s="6" t="str">
        <f t="shared" si="131"/>
        <v/>
      </c>
      <c r="CO11" s="167" t="str">
        <f t="shared" si="35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58">IF(ISNUMBER($AV11),BF11^2+BG11^2+BH11^2+CI11^2+CJ11^2+CK11^2-2*(BF11*CI11+BG11*CJ11+BH11*CK11)-CO11^2,"")</f>
        <v/>
      </c>
      <c r="CS11" s="8" t="str">
        <f t="shared" ref="CS11:CS74" si="159">IF(ISNUMBER($AV11),CQ11^2-(4*CP11*CR11),"")</f>
        <v/>
      </c>
      <c r="CT11" s="9" t="str">
        <f t="shared" ref="CT11:CT74" si="160">IF(ISNUMBER($AV11),(-CQ11+SQRT(CS11))/(CP11*2),"")</f>
        <v/>
      </c>
      <c r="CU11" s="6" t="str">
        <f t="shared" ref="CU11:CU74" si="161">IF(ISNUMBER($AV11),(-CQ11-SQRT(CS11))/(CP11*2),"")</f>
        <v/>
      </c>
      <c r="CV11" s="4" t="str">
        <f>IF(ISNUMBER($AV11),CI11+($CT11*(CL11-CI11)),"")</f>
        <v/>
      </c>
      <c r="CW11" s="5" t="str">
        <f t="shared" ref="CW11:CW74" si="162">IF(ISNUMBER($AV11),CJ11+($CT11*(CM11-CJ11)),"")</f>
        <v/>
      </c>
      <c r="CX11" s="8" t="str">
        <f t="shared" ref="CX11:CX74" si="163">IF(ISNUMBER($AV11),CK11+($CT11*(CN11-CK11)),"")</f>
        <v/>
      </c>
      <c r="CY11" s="9" t="str">
        <f t="shared" ref="CY11:CY74" si="164">IF(ISNUMBER($AV11),CI11+($CU11*(CL11-CI11)),"")</f>
        <v/>
      </c>
      <c r="CZ11" s="5" t="str">
        <f t="shared" ref="CZ11:CZ74" si="165">IF(ISNUMBER($AV11),CJ11+($CU11*(CM11-CJ11)),"")</f>
        <v/>
      </c>
      <c r="DA11" s="6" t="str">
        <f t="shared" ref="DA11:DA74" si="166">IF(ISNUMBER($AV11),CK11+($CU11*(CN11-CK11)),"")</f>
        <v/>
      </c>
      <c r="DB11" s="4" t="str">
        <f t="shared" ref="DB11:DC42" si="167">IF(ISNUMBER($AV11),0,"")</f>
        <v/>
      </c>
      <c r="DC11" s="5" t="str">
        <f t="shared" si="167"/>
        <v/>
      </c>
      <c r="DD11" s="10" t="str">
        <f t="shared" ref="DD11:DD74" si="168">IF(ISNUMBER($AV11),-10,"")</f>
        <v/>
      </c>
      <c r="DE11" s="9" t="str">
        <f t="shared" ref="DE11:DF42" si="169">IF(ISNUMBER($AV11),0,"")</f>
        <v/>
      </c>
      <c r="DF11" s="5" t="str">
        <f t="shared" si="169"/>
        <v/>
      </c>
      <c r="DG11" s="10" t="str">
        <f t="shared" ref="DG11:DG74" si="170">IF(ISNUMBER($AV11),10,"")</f>
        <v/>
      </c>
      <c r="DH11" s="70" t="str">
        <f t="shared" ref="DH11:DH74" si="171">IF(ISNUMBER($AV11),BD11,"")</f>
        <v/>
      </c>
      <c r="DI11" s="4" t="str">
        <f t="shared" ref="DI11:DI74" si="172">IF(ISNUMBER($AV11),DE11-DB11,"")</f>
        <v/>
      </c>
      <c r="DJ11" s="5" t="str">
        <f t="shared" ref="DJ11:DJ74" si="173">IF(ISNUMBER($AV11),DF11-DC11,"")</f>
        <v/>
      </c>
      <c r="DK11" s="10" t="str">
        <f t="shared" ref="DK11:DK74" si="174">IF(ISNUMBER($AV11),DG11-DD11,"")</f>
        <v/>
      </c>
      <c r="DL11" s="9" t="str">
        <f t="shared" ref="DL11:DL74" si="175">IF(ISNUMBER($AV11),CV11-DB11,"")</f>
        <v/>
      </c>
      <c r="DM11" s="173" t="str">
        <f t="shared" ref="DM11:DM74" si="176">IF(ISNUMBER($AV11),CW11-DC11,"")</f>
        <v/>
      </c>
      <c r="DN11" s="178" t="str">
        <f t="shared" ref="DN11:DN74" si="177">IF(ISNUMBER($AV11),CX11-DD11,"")</f>
        <v/>
      </c>
      <c r="DO11" s="9" t="str">
        <f t="shared" ref="DO11:DO74" si="178">IF(ISNUMBER($AV11),CY11-CV11,"")</f>
        <v/>
      </c>
      <c r="DP11" s="173" t="str">
        <f t="shared" ref="DP11:DP74" si="179">IF(ISNUMBER($AV11),CZ11-CW11,"")</f>
        <v/>
      </c>
      <c r="DQ11" s="11" t="str">
        <f t="shared" ref="DQ11:DQ74" si="180">IF(ISNUMBER($AV11),DA11-CX11,"")</f>
        <v/>
      </c>
      <c r="DR11" s="173" t="str">
        <f t="shared" ref="DR11:DR74" si="181">IF(ISNUMBER($AV11),SUMPRODUCT(DI11:DK11,DL11:DN11),"")</f>
        <v/>
      </c>
      <c r="DS11" s="5" t="str">
        <f t="shared" ref="DS11:DS74" si="182">IF(ISNUMBER($AV11),SUMPRODUCT(DO11:DQ11,DI11:DK11),"")</f>
        <v/>
      </c>
      <c r="DT11" s="5" t="str">
        <f t="shared" ref="DT11:DT74" si="183">IF(ISNUMBER($AV11),SUMPRODUCT(DI11:DK11,DI11:DK11),"")</f>
        <v/>
      </c>
      <c r="DU11" s="5" t="str">
        <f t="shared" ref="DU11:DU74" si="184">IF(ISNUMBER($AV11),SUMPRODUCT(DO11:DQ11,DO11:DQ11),"")</f>
        <v/>
      </c>
      <c r="DV11" s="5" t="str">
        <f t="shared" ref="DV11:DV74" si="185">IF(ISNUMBER($AV11),SUMPRODUCT(DL11:DN11,DO11:DQ11),"")</f>
        <v/>
      </c>
      <c r="DW11" s="5" t="str">
        <f t="shared" ref="DW11:DW74" si="186">IF(ISNUMBER($AV11),SUMPRODUCT(DL11:DN11,DL11:DN11),"")</f>
        <v/>
      </c>
      <c r="DX11" s="167" t="str">
        <f t="shared" ref="DX11:DX74" si="187">IF(ISNUMBER($AV11),DW11-DH11*DH11,"")</f>
        <v/>
      </c>
      <c r="DY11" s="9" t="str">
        <f t="shared" ref="DY11:DY74" si="188">IF(ISNUMBER($AV11),DT11*DU11-DS11*DS11,"")</f>
        <v/>
      </c>
      <c r="DZ11" s="5" t="str">
        <f t="shared" ref="DZ11:DZ74" si="189">IF(ISNUMBER($AV11),DT11*DV11-DS11*DR11,"")</f>
        <v/>
      </c>
      <c r="EA11" s="10" t="str">
        <f t="shared" ref="EA11:EA74" si="190">IF(ISNUMBER($AV11),DT11*DX11-DR11*DR11,"")</f>
        <v/>
      </c>
      <c r="EB11" s="6" t="str">
        <f t="shared" ref="EB11:EB74" si="191">IF(ISNUMBER($AV11),DZ11*DZ11-DY11*EA11,"")</f>
        <v/>
      </c>
      <c r="EC11" s="173" t="str">
        <f t="shared" ref="EC11:EC74" si="192">IF(ISNUMBER($AV11),(-DZ11+SQRT(DZ11^2-DY11*EA11))/DY11,"")</f>
        <v/>
      </c>
      <c r="ED11" s="5" t="str">
        <f t="shared" ref="ED11:ED74" si="193">IF(ISNUMBER($AV11),(-DZ11-SQRT(DZ11^2-DY11*EA11))/DY11,"")</f>
        <v/>
      </c>
      <c r="EE11" s="4" t="str">
        <f t="shared" ref="EE11:EE74" si="194">IF(ISNUMBER($AV11),CV11+DO11*$EC11,"")</f>
        <v/>
      </c>
      <c r="EF11" s="5" t="str">
        <f t="shared" ref="EF11:EF74" si="195">IF(ISNUMBER($AV11),CW11+DP11*$EC11,"")</f>
        <v/>
      </c>
      <c r="EG11" s="10" t="str">
        <f t="shared" ref="EG11:EG74" si="196">IF(ISNUMBER($AV11),CX11+DQ11*$EC11,"")</f>
        <v/>
      </c>
      <c r="EH11" s="9" t="str">
        <f t="shared" ref="EH11:EH74" si="197">IF(ISNUMBER($AV11),CV11+DO11*$ED11,"")</f>
        <v/>
      </c>
      <c r="EI11" s="5" t="str">
        <f t="shared" ref="EI11:EI74" si="198">IF(ISNUMBER($AV11),CW11+DP11*$ED11,"")</f>
        <v/>
      </c>
      <c r="EJ11" s="6" t="str">
        <f t="shared" ref="EJ11:EJ74" si="199">IF(ISNUMBER($AV11),CX11+DQ11*$ED11,"")</f>
        <v/>
      </c>
      <c r="EK11" s="236" t="str">
        <f t="shared" ref="EK11:EK74" si="200">IF(ISNUMBER($AV11),IF(OR($EC11&lt;0,$EC11&gt;1),FALSE,TRUE),"")</f>
        <v/>
      </c>
      <c r="EL11" s="238" t="str">
        <f t="shared" ref="EL11:EL74" si="201">IF(ISNUMBER($AV11),IF(OR($ED11&lt;0,$ED11&gt;1),FALSE,TRUE),"")</f>
        <v/>
      </c>
      <c r="EM11" s="4" t="str">
        <f t="shared" ref="EM11:EM74" si="202">IF(ISNUMBER($AV11),IF($EK11=TRUE,EE11,IF($EL11=TRUE,EH11,"")),"")</f>
        <v/>
      </c>
      <c r="EN11" s="5" t="str">
        <f t="shared" ref="EN11:EN74" si="203">IF(ISNUMBER($AV11),IF($EK11=TRUE,EF11,IF($EL11=TRUE,EI11,"")),"")</f>
        <v/>
      </c>
      <c r="EO11" s="10" t="str">
        <f t="shared" ref="EO11:EO74" si="204">IF(ISNUMBER($AV11),IF($EK11=TRUE,EG11,IF($EL11=TRUE,EJ11,"")),"")</f>
        <v/>
      </c>
      <c r="EP11" s="9" t="str">
        <f t="shared" ref="EP11:EP74" si="205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206">IF(ISNUMBER($AV11),SQRT(EM11^2+EN11^2),"")</f>
        <v/>
      </c>
      <c r="ER11" s="7" t="str">
        <f t="shared" ref="ER11:ER74" si="207">IF(ISNUMBER($AV11),EO11,"")</f>
        <v/>
      </c>
      <c r="ES11" s="21" t="str">
        <f t="shared" si="132"/>
        <v/>
      </c>
      <c r="ET11" s="5" t="str">
        <f t="shared" si="44"/>
        <v/>
      </c>
      <c r="EU11" s="10" t="str">
        <f t="shared" si="45"/>
        <v/>
      </c>
      <c r="EV11" s="174" t="str">
        <f t="shared" si="46"/>
        <v/>
      </c>
      <c r="EW11" s="9" t="str">
        <f t="shared" si="133"/>
        <v/>
      </c>
      <c r="EX11" s="5" t="str">
        <f t="shared" si="47"/>
        <v/>
      </c>
      <c r="EY11" s="6" t="str">
        <f t="shared" ref="EY11:EY74" si="208">IF(ISNUMBER($AV11),EU11,"")</f>
        <v/>
      </c>
      <c r="EZ11" s="51" t="str">
        <f t="shared" ref="EZ11:EZ74" si="209">IF(ISNUMBER($AV11),DEGREES(ATAN($AS$5/($EQ11*2*PI()))),"")</f>
        <v/>
      </c>
      <c r="FA11" s="266" t="str">
        <f t="shared" si="134"/>
        <v/>
      </c>
      <c r="FB11" s="267" t="str">
        <f t="shared" si="135"/>
        <v/>
      </c>
      <c r="FC11" s="269" t="str">
        <f t="shared" si="48"/>
        <v/>
      </c>
      <c r="FD11" s="4" t="str">
        <f t="shared" si="136"/>
        <v/>
      </c>
      <c r="FE11" s="5" t="str">
        <f t="shared" si="49"/>
        <v/>
      </c>
      <c r="FF11" s="7" t="str">
        <f t="shared" ref="FF11:FF74" si="210">IF(ISNUMBER($AV11),FC11,"")</f>
        <v/>
      </c>
      <c r="FG11" s="173" t="str">
        <f t="shared" ref="FG11:FG40" si="211">IF(ISNUMBER($AV11),EW11-FD11,"")</f>
        <v/>
      </c>
      <c r="FH11" s="5" t="str">
        <f t="shared" si="50"/>
        <v/>
      </c>
      <c r="FI11" s="10" t="str">
        <f t="shared" si="51"/>
        <v/>
      </c>
      <c r="FJ11" s="279" t="str">
        <f t="shared" ref="FJ11:FJ74" si="212">IF(ISNUMBER($AV11),DEGREES(ACOS((2-SQRT((FG11)^2+(FH11)^2+(FI11)^2)^2)/2)),"")</f>
        <v/>
      </c>
      <c r="FK11" s="4" t="str">
        <f t="shared" si="52"/>
        <v/>
      </c>
      <c r="FL11" s="5" t="str">
        <f t="shared" ref="FL11:FL73" si="213">IF(ISNUMBER($AV11),SQRT(FA11^2+FB11^2),"")</f>
        <v/>
      </c>
      <c r="FM11" s="8" t="str">
        <f t="shared" ref="FM11:FM73" si="214">IF(ISNUMBER($AV11),SQRT(FG11^2+FH11^2),"")</f>
        <v/>
      </c>
      <c r="FN11" s="9" t="str">
        <f t="shared" ref="FN11:FN73" si="215">IF(ISNUMBER($AV11),DEGREES(ACOS((FK11^2+FL11^2-FM11^2)/(2*FK11*FL11))),"")</f>
        <v/>
      </c>
      <c r="FO11" s="10" t="str">
        <f t="shared" si="53"/>
        <v/>
      </c>
      <c r="FP11" s="277" t="str">
        <f t="shared" si="54"/>
        <v/>
      </c>
      <c r="FQ11" s="173" t="str">
        <f>IF(ISNUMBER($AV11),SIN(RADIANS(FN11)),"")</f>
        <v/>
      </c>
      <c r="FR11" s="10" t="str">
        <f t="shared" ref="FR11:FR74" si="216">IF(ISNUMBER($AV11),COS(RADIANS(FN11)),"")</f>
        <v/>
      </c>
      <c r="FS11" s="9" t="str">
        <f t="shared" ref="FS11:FS74" si="217">IF(ISNUMBER($AV11),FQ11/(FQ11+FR11),"")</f>
        <v/>
      </c>
      <c r="FT11" s="6" t="str">
        <f t="shared" ref="FT11:FT74" si="218">IF(ISNUMBER($AV11),FR11/(FQ11+FR11),"")</f>
        <v/>
      </c>
      <c r="FU11" s="4" t="str">
        <f t="shared" ref="FU11:FU74" si="219">IF(ISNUMBER($AV11),SQRT(EW11^2+EY11^2),"")</f>
        <v/>
      </c>
      <c r="FV11" s="5" t="str">
        <f t="shared" ref="FV11:FV74" si="220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55"/>
        <v/>
      </c>
      <c r="FZ11" s="277" t="str">
        <f>IF(ISNUMBER($AV11),FX11*FY11,"")</f>
        <v/>
      </c>
      <c r="GA11" s="177" t="str">
        <f t="shared" ref="GA11:GA74" si="221">IF(ISNUMBER($AV11),DEGREES(FZ11*SIN(RADIANS(FU11))),"")</f>
        <v/>
      </c>
      <c r="GB11" s="4" t="str">
        <f t="shared" ref="GB11:GB74" si="222">IF(ISNUMBER($AV11),COS(RADIANS(FP11+90))*COS(RADIANS(FZ11)),"")</f>
        <v/>
      </c>
      <c r="GC11" s="5" t="str">
        <f t="shared" ref="GC11:GC74" si="223">IF(ISNUMBER($AV11),SIN(RADIANS(FP11+90))*COS(RADIANS(FZ11)),"")</f>
        <v/>
      </c>
      <c r="GD11" s="10" t="str">
        <f t="shared" ref="GD11:GD74" si="224">IF(ISNUMBER($AV11),-SIN(RADIANS(FZ11)),"")</f>
        <v/>
      </c>
      <c r="GE11" s="311" t="str">
        <f t="shared" ref="GE11:GE74" si="225">IF(ISNUMBER($AV11),SUM(ABS(GB11),ABS(GC11),ABS(GD11)),"")</f>
        <v/>
      </c>
      <c r="GF11" s="341" t="str">
        <f>IF(ISNUMBER($AV11),1/GE11,"")</f>
        <v/>
      </c>
      <c r="GG11" s="285" t="str">
        <f t="shared" si="56"/>
        <v/>
      </c>
      <c r="GH11" s="286" t="str">
        <f t="shared" si="57"/>
        <v/>
      </c>
      <c r="GI11" s="281" t="str">
        <f t="shared" si="58"/>
        <v/>
      </c>
      <c r="GJ11" s="167" t="str">
        <f t="shared" ref="GJ11:GJ74" si="226">IF(ISNUMBER($AV11),AW11,"")</f>
        <v/>
      </c>
      <c r="GK11" s="174" t="str">
        <f>IF(ISNUMBER($AV11),SQRT((2*PI()*$GJ11)^2+$AS$5^2)/12,"")</f>
        <v/>
      </c>
      <c r="GL11" s="174" t="str">
        <f t="shared" ref="GL11:GL74" si="227">IF(ISNUMBER($AV11),AY11,"")</f>
        <v/>
      </c>
      <c r="GM11" s="9" t="str">
        <f>IF(ISNUMBER($AV11),AZ11,"")</f>
        <v/>
      </c>
      <c r="GN11" s="281" t="str">
        <f t="shared" ref="GN11:GN74" si="228">IF(ISNUMBER($AV11),BA11,"")</f>
        <v/>
      </c>
      <c r="GO11" s="4" t="str">
        <f t="shared" ref="GO11:GO74" si="229">IF(ISNUMBER($AV11),FP11,"")</f>
        <v/>
      </c>
      <c r="GP11" s="8" t="str">
        <f>IF(ISNUMBER($AV11),FZ11,"")</f>
        <v/>
      </c>
      <c r="GQ11" s="177" t="str">
        <f t="shared" ref="GQ11:GQ74" si="230">IF(ISNUMBER($AV11),FJ11,"")</f>
        <v/>
      </c>
      <c r="GR11" s="371" t="str">
        <f>IF(ISNUMBER($AV11),GS11+GU11+GY11,"")</f>
        <v/>
      </c>
      <c r="GS11" s="342" t="str">
        <f>IF(ISNUMBER($AV11),GU11/GH11*GG11,"")</f>
        <v/>
      </c>
      <c r="GT11" s="343" t="str">
        <f t="shared" si="62"/>
        <v/>
      </c>
      <c r="GU11" s="344" t="str">
        <f>IF(ISNUMBER($AV11),$GV11*$GK11,"")</f>
        <v/>
      </c>
      <c r="GV11" s="343" t="str">
        <f>IF(ISNUMBER($AV11),GW11*$GL11,"")</f>
        <v/>
      </c>
      <c r="GW11" s="345" t="str">
        <f>IF(ISNUMBER($AV11),$GW$2,"")</f>
        <v/>
      </c>
      <c r="GX11" s="346" t="str">
        <f t="shared" si="65"/>
        <v/>
      </c>
      <c r="GY11" s="344" t="str">
        <f t="shared" si="66"/>
        <v/>
      </c>
      <c r="GZ11" s="345" t="str">
        <f t="shared" si="67"/>
        <v/>
      </c>
      <c r="HA11" s="342" t="str">
        <f t="shared" si="68"/>
        <v/>
      </c>
      <c r="HB11" s="5" t="str">
        <f t="shared" ref="HB11:HB74" si="231">IF(ISNUMBER($AV11),$EV11,"")</f>
        <v/>
      </c>
      <c r="HC11" s="343" t="str">
        <f t="shared" ref="HC11:HC74" si="232">IF(ISNUMBER($AV11),HA11*COS(RADIANS(HB11)),"")</f>
        <v/>
      </c>
      <c r="HD11" s="345" t="str">
        <f t="shared" ref="HD11:HD74" si="233">IF(ISNUMBER($AV11),HA11*SIN(RADIANS(HB11)),"")</f>
        <v/>
      </c>
      <c r="HE11" s="344" t="str">
        <f t="shared" si="69"/>
        <v/>
      </c>
      <c r="HF11" s="5" t="str">
        <f t="shared" si="70"/>
        <v/>
      </c>
      <c r="HG11" s="343" t="str">
        <f t="shared" ref="HG11:HG74" si="234">IF(ISNUMBER($AV11),HE11*COS(RADIANS(HF11)),"")</f>
        <v/>
      </c>
      <c r="HH11" s="349" t="str">
        <f t="shared" ref="HH11:HH74" si="235">IF(ISNUMBER($AV11),HE11*SIN(RADIANS(HF11)),"")</f>
        <v/>
      </c>
      <c r="HI11" s="317" t="str">
        <f t="shared" si="71"/>
        <v/>
      </c>
      <c r="HJ11" s="336"/>
      <c r="HK11" s="310" t="str">
        <f t="shared" si="137"/>
        <v/>
      </c>
      <c r="HL11" s="348" t="str">
        <f t="shared" si="72"/>
        <v/>
      </c>
      <c r="HM11" s="909" t="str">
        <f>IF(ISNUMBER($HL11),INDEX(GO$9:GO$150,MATCH($HL11,$AV$9:$AV$150,0)),"")</f>
        <v/>
      </c>
      <c r="HN11" s="910" t="str">
        <f t="shared" si="73"/>
        <v/>
      </c>
      <c r="HO11" s="911"/>
      <c r="HP11" s="912"/>
      <c r="HQ11" s="910" t="str">
        <f t="shared" si="74"/>
        <v/>
      </c>
      <c r="HR11" s="913" t="str">
        <f t="shared" si="75"/>
        <v/>
      </c>
      <c r="HS11" s="865" t="str">
        <f>IFERROR(SMALL($GJ$9:$GJ$150,($HK10+1)),"")</f>
        <v/>
      </c>
      <c r="HT11" s="875" t="str">
        <f t="shared" si="76"/>
        <v/>
      </c>
      <c r="HU11" s="876" t="str">
        <f t="shared" si="77"/>
        <v/>
      </c>
      <c r="HV11" s="872" t="str">
        <f t="shared" si="78"/>
        <v/>
      </c>
      <c r="HW11" s="866" t="str">
        <f t="shared" si="79"/>
        <v/>
      </c>
      <c r="HX11" s="867" t="str">
        <f t="shared" si="80"/>
        <v/>
      </c>
      <c r="HY11" s="866" t="str">
        <f t="shared" si="81"/>
        <v/>
      </c>
      <c r="HZ11" s="868" t="str">
        <f t="shared" si="82"/>
        <v/>
      </c>
      <c r="IA11" s="869" t="str">
        <f t="shared" si="83"/>
        <v/>
      </c>
      <c r="IB11" s="870" t="str">
        <f t="shared" si="84"/>
        <v/>
      </c>
      <c r="IC11" s="841" t="str">
        <f t="shared" si="85"/>
        <v/>
      </c>
      <c r="ID11" s="351" t="str">
        <f t="shared" si="86"/>
        <v/>
      </c>
      <c r="IE11" s="843" t="str">
        <f t="shared" si="87"/>
        <v/>
      </c>
      <c r="IF11" s="844"/>
      <c r="IG11" s="790" t="str">
        <f>IFERROR(IF($IW11="","",IF($IW11&lt;(((Settings!$C$19/2)*-1)*$IG$8),"Taper","Nose")),"")</f>
        <v/>
      </c>
      <c r="IH11" s="482" t="str">
        <f>IFERROR(IF((((($IY11*COS(RADIANS(180-$JA11)))*COS(RADIANS($JA11)))-(($IZ11*SIN(RADIANS(180-$JA11)))*SIN(RADIANS($JA11))))+$IW11)&lt;(((Settings!$C$19+$IH$8)/2)*-1),"Gage",""),"")</f>
        <v/>
      </c>
      <c r="II11" s="788">
        <f t="shared" ref="II11:II74" si="236">$M11</f>
        <v>1.107</v>
      </c>
      <c r="IJ11" s="674" t="str" cm="1">
        <f t="array" ref="IJ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K11" s="677" t="str" cm="1">
        <f t="array" ref="IK11">IFERROR(ROUND(VALUE(IF($IJ11&lt;1,$IJ11+LARGE((IF($M$9:$M$150="",0,$M$9:$M$150)-MOD(IF($M$9:$M$150="",0,$M$9:$M$150),1)),1),$IJ11)),4),"")</f>
        <v/>
      </c>
      <c r="IL11" s="482">
        <f t="shared" si="88"/>
        <v>1613</v>
      </c>
      <c r="IM11" s="482" t="str">
        <f t="shared" ref="IM11:IM74" si="237">IF(ISNUMBER($IK11),INDEX($K$9:$K$150,MATCH($II11,$M$9:$M$150,0)),"")</f>
        <v/>
      </c>
      <c r="IN11" s="670" t="str">
        <f t="shared" si="90"/>
        <v/>
      </c>
      <c r="IO11" s="702"/>
      <c r="IP11" s="5" t="str">
        <f t="shared" si="91"/>
        <v/>
      </c>
      <c r="IQ11" s="714"/>
      <c r="IR11" s="9" t="str">
        <f t="shared" si="139"/>
        <v/>
      </c>
      <c r="IS11" s="5" t="str">
        <f t="shared" si="92"/>
        <v/>
      </c>
      <c r="IT11" s="5" t="str">
        <f t="shared" si="93"/>
        <v/>
      </c>
      <c r="IU11" s="5" t="str">
        <f t="shared" si="94"/>
        <v/>
      </c>
      <c r="IV11" s="670" t="str">
        <f t="shared" si="95"/>
        <v/>
      </c>
      <c r="IW11" s="9" t="str">
        <f t="shared" si="96"/>
        <v/>
      </c>
      <c r="IX11" s="5" t="str">
        <f t="shared" si="97"/>
        <v/>
      </c>
      <c r="IY11" s="5" t="str">
        <f t="shared" si="98"/>
        <v/>
      </c>
      <c r="IZ11" s="5" t="str">
        <f t="shared" si="99"/>
        <v/>
      </c>
      <c r="JA11" s="705" t="str">
        <f t="shared" si="100"/>
        <v/>
      </c>
      <c r="JC11" s="731"/>
      <c r="JD11" s="728" t="str" cm="1">
        <f t="array" ref="JD11">IF($JC11="","",COUNT(IF(IF($IK$9:$IK$150="",$IL$9:$IL$150,"")=$JC11,$II$9:$II$150,"")))</f>
        <v/>
      </c>
      <c r="JE11" s="5"/>
      <c r="JF11" s="5"/>
      <c r="JG11" s="8"/>
      <c r="JH11" s="162"/>
      <c r="JI11" s="162"/>
    </row>
    <row r="12" spans="1:285" ht="15" customHeight="1" x14ac:dyDescent="0.25">
      <c r="A12" s="75">
        <f t="shared" si="1"/>
        <v>0.02</v>
      </c>
      <c r="B12" s="578">
        <f t="shared" si="2"/>
        <v>1.9300330248867979E-2</v>
      </c>
      <c r="C12" s="572">
        <f t="shared" si="3"/>
        <v>2.5544694127621379</v>
      </c>
      <c r="D12" s="576">
        <f t="shared" si="4"/>
        <v>-9.5132361444785873E-2</v>
      </c>
      <c r="E12" s="580">
        <f t="shared" si="5"/>
        <v>-0.96501651244339892</v>
      </c>
      <c r="F12" s="572">
        <f t="shared" si="6"/>
        <v>-1.7700318061921998E-2</v>
      </c>
      <c r="G12" s="579">
        <f t="shared" si="7"/>
        <v>0.26159095827663092</v>
      </c>
      <c r="H12" s="580">
        <f t="shared" si="8"/>
        <v>0.3125</v>
      </c>
      <c r="I12" s="572">
        <f t="shared" si="9"/>
        <v>0.52</v>
      </c>
      <c r="J12" s="483">
        <f t="shared" si="10"/>
        <v>1.111</v>
      </c>
      <c r="K12" s="806">
        <f t="shared" si="11"/>
        <v>1613</v>
      </c>
      <c r="L12" s="716" t="s">
        <v>357</v>
      </c>
      <c r="M12" s="164">
        <f t="shared" si="12"/>
        <v>1.111</v>
      </c>
      <c r="N12" s="575">
        <f t="shared" si="13"/>
        <v>1.9300330248867979E-2</v>
      </c>
      <c r="O12" s="572">
        <f t="shared" si="14"/>
        <v>2.5544694127621379</v>
      </c>
      <c r="P12" s="576">
        <f t="shared" si="15"/>
        <v>-9.5132361444785873E-2</v>
      </c>
      <c r="Q12" s="528">
        <f>IF(M12="","",IF(DEGREES(ATAN2(N12,O12))&lt;0,DEGREES(ATAN2(N12,O12))+360,IF(DEGREES(ATAN2(N12,O12))&gt;360,DEGREES(ATAN2(N12,O12))-360,DEGREES(ATAN2(N12,O12)))))</f>
        <v>89.567109154129014</v>
      </c>
      <c r="R12" s="572">
        <f t="shared" si="101"/>
        <v>2.5545423236824747</v>
      </c>
      <c r="S12" s="577">
        <f t="shared" si="102"/>
        <v>-9.5132361444785873E-2</v>
      </c>
      <c r="T12" s="578">
        <f>IF(M12="","",X12*COS(RADIANS(W12)))</f>
        <v>2.5545423236824747</v>
      </c>
      <c r="U12" s="572">
        <f t="shared" si="104"/>
        <v>0</v>
      </c>
      <c r="V12" s="579">
        <f t="shared" si="141"/>
        <v>-9.5132361444785873E-2</v>
      </c>
      <c r="W12" s="528">
        <f>IF(M12="","",IF(Q12-$Q$8&lt;0,360+Q12-$Q$8,Q12-$Q$8))</f>
        <v>0</v>
      </c>
      <c r="X12" s="572">
        <f t="shared" si="105"/>
        <v>2.5545423236824747</v>
      </c>
      <c r="Y12" s="573">
        <f t="shared" si="17"/>
        <v>-9.5132361444785873E-2</v>
      </c>
      <c r="Z12" s="575">
        <f t="shared" si="18"/>
        <v>0.96501651244339892</v>
      </c>
      <c r="AA12" s="572">
        <f t="shared" si="19"/>
        <v>1.7700318061921998E-2</v>
      </c>
      <c r="AB12" s="572">
        <f t="shared" si="20"/>
        <v>-0.26159095827663092</v>
      </c>
      <c r="AC12" s="579">
        <f t="shared" si="106"/>
        <v>1</v>
      </c>
      <c r="AD12" s="580">
        <f t="shared" si="142"/>
        <v>0.96501651244339892</v>
      </c>
      <c r="AE12" s="572">
        <f t="shared" si="107"/>
        <v>1.7700318061921998E-2</v>
      </c>
      <c r="AF12" s="576">
        <f t="shared" si="108"/>
        <v>-0.26159095827663092</v>
      </c>
      <c r="AG12" s="545">
        <f t="shared" si="109"/>
        <v>3.8709671830369397</v>
      </c>
      <c r="AH12" s="546">
        <f t="shared" si="110"/>
        <v>15.199996072806668</v>
      </c>
      <c r="AI12" s="528">
        <f t="shared" si="111"/>
        <v>-74.835515059629472</v>
      </c>
      <c r="AJ12" s="529">
        <f t="shared" si="112"/>
        <v>91.050800479419408</v>
      </c>
      <c r="AK12" s="578">
        <f t="shared" ref="AK12:AK105" si="238">IF(M12="","",(COS(RADIANS((90-$Q$8)-W12))*AD12)+(-SIN(RADIANS((90-$Q$8)-W12))*AE12))</f>
        <v>0.96485523806467832</v>
      </c>
      <c r="AL12" s="572">
        <f>IF(M12="","",(SIN(RADIANS((90-$Q$8)-W12))*AD12)+(COS(RADIANS((90-$Q$8)-W12))*AE12))</f>
        <v>2.4990800848850719E-2</v>
      </c>
      <c r="AM12" s="577">
        <f t="shared" si="114"/>
        <v>-0.26159095827663092</v>
      </c>
      <c r="AN12" s="524">
        <f>IF(M12="","",DEGREES(ATAN2(-AM12,AL12)))</f>
        <v>5.4571267998021593</v>
      </c>
      <c r="AO12" s="525">
        <f t="shared" si="116"/>
        <v>15.23519930996278</v>
      </c>
      <c r="AP12" s="528">
        <f t="shared" si="117"/>
        <v>1.4836913252904009</v>
      </c>
      <c r="AQ12" s="529">
        <f t="shared" si="21"/>
        <v>1.7842645383043365</v>
      </c>
      <c r="AS12" s="932">
        <f t="shared" si="143"/>
        <v>360</v>
      </c>
      <c r="AT12" s="928">
        <f>IF(M12="","",Y12+(((AS12-$AS$9)*$AS$6)*-1))</f>
        <v>-9.8856942297226691E-2</v>
      </c>
      <c r="AU12" s="418"/>
      <c r="AV12" s="164" t="str">
        <f t="shared" si="23"/>
        <v/>
      </c>
      <c r="AW12" s="829" t="str">
        <f>IFERROR(INDEX(MassProp!C$9:C$150,MATCH($M12,MassProp!$B$9:$B$150,0)),"")</f>
        <v/>
      </c>
      <c r="AX12" s="830" t="str">
        <f>IFERROR(INDEX(MassProp!D$9:D$150,MATCH($M12,MassProp!$B$9:$B$150,0)),"")</f>
        <v/>
      </c>
      <c r="AY12" s="831" t="str">
        <f>IFERROR(INDEX(MassProp!E$9:E$150,MATCH($M12,MassProp!$B$9:$B$150,0)),"")</f>
        <v/>
      </c>
      <c r="AZ12" s="297" t="str">
        <f t="shared" si="144"/>
        <v/>
      </c>
      <c r="BA12" s="296" t="str">
        <f t="shared" si="24"/>
        <v/>
      </c>
      <c r="BB12" s="291" t="str">
        <f t="shared" si="145"/>
        <v/>
      </c>
      <c r="BC12" s="9"/>
      <c r="BD12" s="5" t="str">
        <f t="shared" si="146"/>
        <v/>
      </c>
      <c r="BE12" s="6" t="str">
        <f t="shared" si="25"/>
        <v/>
      </c>
      <c r="BF12" s="4" t="str">
        <f t="shared" si="26"/>
        <v/>
      </c>
      <c r="BG12" s="5" t="str">
        <f t="shared" si="27"/>
        <v/>
      </c>
      <c r="BH12" s="10" t="str">
        <f t="shared" si="28"/>
        <v/>
      </c>
      <c r="BI12" s="9" t="str">
        <f t="shared" si="147"/>
        <v/>
      </c>
      <c r="BJ12" s="5" t="str">
        <f t="shared" si="29"/>
        <v/>
      </c>
      <c r="BK12" s="8" t="str">
        <f t="shared" si="30"/>
        <v/>
      </c>
      <c r="BL12" s="173" t="str">
        <f t="shared" si="31"/>
        <v/>
      </c>
      <c r="BM12" s="5" t="str">
        <f t="shared" si="32"/>
        <v/>
      </c>
      <c r="BN12" s="6" t="str">
        <f t="shared" si="33"/>
        <v/>
      </c>
      <c r="BO12" s="4" t="str">
        <f t="shared" si="148"/>
        <v/>
      </c>
      <c r="BP12" s="5" t="str">
        <f t="shared" ref="BP12:BP75" si="239">IF(IF(ISNUMBER($AV12),BF12*(BN12-BK12)-(BI12*BN12-BL12*BK12)+BH12*(BI12-BL12),"")=0,IF(ISNUMBER($AV12),BF12*(BN12-BK12)-(BI12*BN12-BL12*BK12)+BH12*(BI12-BL12),"")+0.00001,IF(ISNUMBER($AV12),BF12*(BN12-BK12)-(BI12*BN12-BL12*BK12)+BH12*(BI12-BL12),""))</f>
        <v/>
      </c>
      <c r="BQ12" s="5" t="str">
        <f t="shared" si="149"/>
        <v/>
      </c>
      <c r="BR12" s="6" t="str">
        <f t="shared" si="150"/>
        <v/>
      </c>
      <c r="BS12" s="4" t="str">
        <f t="shared" si="118"/>
        <v/>
      </c>
      <c r="BT12" s="5" t="str">
        <f t="shared" si="118"/>
        <v/>
      </c>
      <c r="BU12" s="10" t="str">
        <f t="shared" si="119"/>
        <v/>
      </c>
      <c r="BV12" s="9" t="str">
        <f t="shared" si="120"/>
        <v/>
      </c>
      <c r="BW12" s="5" t="str">
        <f t="shared" si="121"/>
        <v/>
      </c>
      <c r="BX12" s="8" t="str">
        <f t="shared" si="122"/>
        <v/>
      </c>
      <c r="BY12" s="173" t="str">
        <f t="shared" si="123"/>
        <v/>
      </c>
      <c r="BZ12" s="5" t="str">
        <f t="shared" si="124"/>
        <v/>
      </c>
      <c r="CA12" s="6" t="str">
        <f t="shared" si="125"/>
        <v/>
      </c>
      <c r="CB12" s="4" t="str">
        <f t="shared" si="151"/>
        <v/>
      </c>
      <c r="CC12" s="5" t="str">
        <f t="shared" si="152"/>
        <v/>
      </c>
      <c r="CD12" s="5" t="str">
        <f t="shared" si="153"/>
        <v/>
      </c>
      <c r="CE12" s="6" t="str">
        <f t="shared" si="154"/>
        <v/>
      </c>
      <c r="CF12" s="4" t="str">
        <f t="shared" si="155"/>
        <v/>
      </c>
      <c r="CG12" s="5" t="str">
        <f t="shared" si="156"/>
        <v/>
      </c>
      <c r="CH12" s="5" t="str">
        <f t="shared" si="157"/>
        <v/>
      </c>
      <c r="CI12" s="4" t="str">
        <f t="shared" si="126"/>
        <v/>
      </c>
      <c r="CJ12" s="5" t="str">
        <f t="shared" si="127"/>
        <v/>
      </c>
      <c r="CK12" s="8" t="str">
        <f t="shared" si="128"/>
        <v/>
      </c>
      <c r="CL12" s="173" t="str">
        <f t="shared" si="129"/>
        <v/>
      </c>
      <c r="CM12" s="5" t="str">
        <f t="shared" si="130"/>
        <v/>
      </c>
      <c r="CN12" s="6" t="str">
        <f t="shared" si="131"/>
        <v/>
      </c>
      <c r="CO12" s="167" t="str">
        <f t="shared" si="35"/>
        <v/>
      </c>
      <c r="CP12" s="4" t="str">
        <f t="shared" ref="CP12:CP74" si="240">IF(ISNUMBER($AV12),(CL12-CI12)^2+(CM12-CJ12)^2+(CN12-CK12)^2,"")</f>
        <v/>
      </c>
      <c r="CQ12" s="5" t="str">
        <f t="shared" ref="CQ12:CQ74" si="241">IF(ISNUMBER($AV12),2*((CL12-CI12)*(CI12-BF12)+(CM12-CJ12)*(CJ12-BG12)+(CN12-CK12)*(CK12-BH12)),"")</f>
        <v/>
      </c>
      <c r="CR12" s="5" t="str">
        <f t="shared" si="158"/>
        <v/>
      </c>
      <c r="CS12" s="8" t="str">
        <f t="shared" si="159"/>
        <v/>
      </c>
      <c r="CT12" s="9" t="str">
        <f t="shared" si="160"/>
        <v/>
      </c>
      <c r="CU12" s="6" t="str">
        <f t="shared" si="161"/>
        <v/>
      </c>
      <c r="CV12" s="4" t="str">
        <f t="shared" ref="CV12:CV74" si="242">IF(ISNUMBER($AV12),CI12+($CT12*(CL12-CI12)),"")</f>
        <v/>
      </c>
      <c r="CW12" s="5" t="str">
        <f t="shared" si="162"/>
        <v/>
      </c>
      <c r="CX12" s="8" t="str">
        <f t="shared" si="163"/>
        <v/>
      </c>
      <c r="CY12" s="9" t="str">
        <f t="shared" si="164"/>
        <v/>
      </c>
      <c r="CZ12" s="5" t="str">
        <f t="shared" si="165"/>
        <v/>
      </c>
      <c r="DA12" s="6" t="str">
        <f t="shared" si="166"/>
        <v/>
      </c>
      <c r="DB12" s="4" t="str">
        <f t="shared" si="167"/>
        <v/>
      </c>
      <c r="DC12" s="5" t="str">
        <f t="shared" si="167"/>
        <v/>
      </c>
      <c r="DD12" s="10" t="str">
        <f t="shared" si="168"/>
        <v/>
      </c>
      <c r="DE12" s="9" t="str">
        <f t="shared" si="169"/>
        <v/>
      </c>
      <c r="DF12" s="5" t="str">
        <f t="shared" si="169"/>
        <v/>
      </c>
      <c r="DG12" s="10" t="str">
        <f t="shared" si="170"/>
        <v/>
      </c>
      <c r="DH12" s="70" t="str">
        <f t="shared" si="171"/>
        <v/>
      </c>
      <c r="DI12" s="4" t="str">
        <f t="shared" si="172"/>
        <v/>
      </c>
      <c r="DJ12" s="5" t="str">
        <f t="shared" si="173"/>
        <v/>
      </c>
      <c r="DK12" s="10" t="str">
        <f t="shared" si="174"/>
        <v/>
      </c>
      <c r="DL12" s="9" t="str">
        <f t="shared" si="175"/>
        <v/>
      </c>
      <c r="DM12" s="173" t="str">
        <f t="shared" si="176"/>
        <v/>
      </c>
      <c r="DN12" s="178" t="str">
        <f t="shared" si="177"/>
        <v/>
      </c>
      <c r="DO12" s="9" t="str">
        <f t="shared" si="178"/>
        <v/>
      </c>
      <c r="DP12" s="173" t="str">
        <f t="shared" si="179"/>
        <v/>
      </c>
      <c r="DQ12" s="11" t="str">
        <f t="shared" si="180"/>
        <v/>
      </c>
      <c r="DR12" s="173" t="str">
        <f t="shared" si="181"/>
        <v/>
      </c>
      <c r="DS12" s="5" t="str">
        <f t="shared" si="182"/>
        <v/>
      </c>
      <c r="DT12" s="5" t="str">
        <f t="shared" si="183"/>
        <v/>
      </c>
      <c r="DU12" s="5" t="str">
        <f t="shared" si="184"/>
        <v/>
      </c>
      <c r="DV12" s="5" t="str">
        <f t="shared" si="185"/>
        <v/>
      </c>
      <c r="DW12" s="5" t="str">
        <f t="shared" si="186"/>
        <v/>
      </c>
      <c r="DX12" s="167" t="str">
        <f t="shared" si="187"/>
        <v/>
      </c>
      <c r="DY12" s="9" t="str">
        <f t="shared" si="188"/>
        <v/>
      </c>
      <c r="DZ12" s="5" t="str">
        <f t="shared" si="189"/>
        <v/>
      </c>
      <c r="EA12" s="10" t="str">
        <f t="shared" si="190"/>
        <v/>
      </c>
      <c r="EB12" s="6" t="str">
        <f t="shared" si="191"/>
        <v/>
      </c>
      <c r="EC12" s="173" t="str">
        <f t="shared" si="192"/>
        <v/>
      </c>
      <c r="ED12" s="5" t="str">
        <f t="shared" si="193"/>
        <v/>
      </c>
      <c r="EE12" s="4" t="str">
        <f t="shared" si="194"/>
        <v/>
      </c>
      <c r="EF12" s="5" t="str">
        <f t="shared" si="195"/>
        <v/>
      </c>
      <c r="EG12" s="10" t="str">
        <f t="shared" si="196"/>
        <v/>
      </c>
      <c r="EH12" s="9" t="str">
        <f t="shared" si="197"/>
        <v/>
      </c>
      <c r="EI12" s="5" t="str">
        <f t="shared" si="198"/>
        <v/>
      </c>
      <c r="EJ12" s="6" t="str">
        <f t="shared" si="199"/>
        <v/>
      </c>
      <c r="EK12" s="236" t="str">
        <f t="shared" si="200"/>
        <v/>
      </c>
      <c r="EL12" s="238" t="str">
        <f t="shared" si="201"/>
        <v/>
      </c>
      <c r="EM12" s="4" t="str">
        <f t="shared" si="202"/>
        <v/>
      </c>
      <c r="EN12" s="5" t="str">
        <f t="shared" si="203"/>
        <v/>
      </c>
      <c r="EO12" s="10" t="str">
        <f t="shared" si="204"/>
        <v/>
      </c>
      <c r="EP12" s="9" t="str">
        <f t="shared" si="205"/>
        <v/>
      </c>
      <c r="EQ12" s="5" t="str">
        <f t="shared" si="206"/>
        <v/>
      </c>
      <c r="ER12" s="7" t="str">
        <f t="shared" si="207"/>
        <v/>
      </c>
      <c r="ES12" s="21" t="str">
        <f t="shared" si="132"/>
        <v/>
      </c>
      <c r="ET12" s="5" t="str">
        <f t="shared" si="44"/>
        <v/>
      </c>
      <c r="EU12" s="10" t="str">
        <f t="shared" si="45"/>
        <v/>
      </c>
      <c r="EV12" s="174" t="str">
        <f t="shared" si="46"/>
        <v/>
      </c>
      <c r="EW12" s="9" t="str">
        <f t="shared" si="133"/>
        <v/>
      </c>
      <c r="EX12" s="5" t="str">
        <f t="shared" si="47"/>
        <v/>
      </c>
      <c r="EY12" s="6" t="str">
        <f t="shared" si="208"/>
        <v/>
      </c>
      <c r="EZ12" s="51" t="str">
        <f t="shared" si="209"/>
        <v/>
      </c>
      <c r="FA12" s="266" t="str">
        <f t="shared" si="134"/>
        <v/>
      </c>
      <c r="FB12" s="267" t="str">
        <f t="shared" si="135"/>
        <v/>
      </c>
      <c r="FC12" s="269" t="str">
        <f t="shared" si="48"/>
        <v/>
      </c>
      <c r="FD12" s="4" t="str">
        <f t="shared" si="136"/>
        <v/>
      </c>
      <c r="FE12" s="5" t="str">
        <f t="shared" si="49"/>
        <v/>
      </c>
      <c r="FF12" s="7" t="str">
        <f t="shared" si="210"/>
        <v/>
      </c>
      <c r="FG12" s="173" t="str">
        <f t="shared" si="211"/>
        <v/>
      </c>
      <c r="FH12" s="5" t="str">
        <f t="shared" si="50"/>
        <v/>
      </c>
      <c r="FI12" s="10" t="str">
        <f t="shared" si="51"/>
        <v/>
      </c>
      <c r="FJ12" s="279" t="str">
        <f t="shared" si="212"/>
        <v/>
      </c>
      <c r="FK12" s="4" t="str">
        <f t="shared" si="52"/>
        <v/>
      </c>
      <c r="FL12" s="5" t="str">
        <f t="shared" si="213"/>
        <v/>
      </c>
      <c r="FM12" s="8" t="str">
        <f t="shared" si="214"/>
        <v/>
      </c>
      <c r="FN12" s="9" t="str">
        <f t="shared" si="215"/>
        <v/>
      </c>
      <c r="FO12" s="10" t="str">
        <f t="shared" si="53"/>
        <v/>
      </c>
      <c r="FP12" s="277" t="str">
        <f t="shared" si="54"/>
        <v/>
      </c>
      <c r="FQ12" s="173" t="str">
        <f t="shared" ref="FQ12:FQ74" si="243">IF(ISNUMBER($AV12),SIN(RADIANS(FN12)),"")</f>
        <v/>
      </c>
      <c r="FR12" s="10" t="str">
        <f t="shared" si="216"/>
        <v/>
      </c>
      <c r="FS12" s="9" t="str">
        <f t="shared" si="217"/>
        <v/>
      </c>
      <c r="FT12" s="6" t="str">
        <f t="shared" si="218"/>
        <v/>
      </c>
      <c r="FU12" s="4" t="str">
        <f t="shared" si="219"/>
        <v/>
      </c>
      <c r="FV12" s="5" t="str">
        <f t="shared" si="220"/>
        <v/>
      </c>
      <c r="FW12" s="8" t="str">
        <f t="shared" ref="FW12:FW74" si="244">IF(ISNUMBER($AV12),SQRT(FG12^2+FI12^2),"")</f>
        <v/>
      </c>
      <c r="FX12" s="9" t="str">
        <f t="shared" ref="FX12:FX74" si="245">IF(ISNUMBER($AV12),DEGREES(ACOS((FU12^2+FV12^2-FW12^2)/(2*FU12*FV12))),"")</f>
        <v/>
      </c>
      <c r="FY12" s="10" t="str">
        <f t="shared" si="55"/>
        <v/>
      </c>
      <c r="FZ12" s="277" t="str">
        <f t="shared" ref="FZ12:FZ74" si="246">IF(ISNUMBER($AV12),FX12*FY12,"")</f>
        <v/>
      </c>
      <c r="GA12" s="177" t="str">
        <f t="shared" si="221"/>
        <v/>
      </c>
      <c r="GB12" s="4" t="str">
        <f t="shared" si="222"/>
        <v/>
      </c>
      <c r="GC12" s="5" t="str">
        <f t="shared" si="223"/>
        <v/>
      </c>
      <c r="GD12" s="10" t="str">
        <f t="shared" si="224"/>
        <v/>
      </c>
      <c r="GE12" s="311" t="str">
        <f t="shared" si="225"/>
        <v/>
      </c>
      <c r="GF12" s="341" t="str">
        <f t="shared" ref="GF12:GF74" si="247">IF(ISNUMBER($AV12),1/GE12,"")</f>
        <v/>
      </c>
      <c r="GG12" s="285" t="str">
        <f t="shared" si="56"/>
        <v/>
      </c>
      <c r="GH12" s="286" t="str">
        <f t="shared" si="57"/>
        <v/>
      </c>
      <c r="GI12" s="281" t="str">
        <f t="shared" si="58"/>
        <v/>
      </c>
      <c r="GJ12" s="167" t="str">
        <f t="shared" si="226"/>
        <v/>
      </c>
      <c r="GK12" s="174" t="str">
        <f t="shared" si="59"/>
        <v/>
      </c>
      <c r="GL12" s="174" t="str">
        <f t="shared" si="227"/>
        <v/>
      </c>
      <c r="GM12" s="177" t="str">
        <f t="shared" ref="GM12:GM74" si="248">IF(ISNUMBER($AV12),AZ12,"")</f>
        <v/>
      </c>
      <c r="GN12" s="280" t="str">
        <f t="shared" si="228"/>
        <v/>
      </c>
      <c r="GO12" s="4" t="str">
        <f t="shared" si="229"/>
        <v/>
      </c>
      <c r="GP12" s="8" t="str">
        <f t="shared" ref="GP12:GP74" si="249">IF(ISNUMBER($AV12),FZ12,"")</f>
        <v/>
      </c>
      <c r="GQ12" s="177" t="str">
        <f t="shared" si="230"/>
        <v/>
      </c>
      <c r="GR12" s="371" t="str">
        <f t="shared" ref="GR12:GR74" si="250">IF(ISNUMBER($AV12),GS12+GU12+GY12,"")</f>
        <v/>
      </c>
      <c r="GS12" s="342" t="str">
        <f t="shared" si="61"/>
        <v/>
      </c>
      <c r="GT12" s="343" t="str">
        <f t="shared" si="62"/>
        <v/>
      </c>
      <c r="GU12" s="344" t="str">
        <f>IF(ISNUMBER($AV12),$GV12*$GK12,"")</f>
        <v/>
      </c>
      <c r="GV12" s="343" t="str">
        <f>IF(ISNUMBER($AV12),GW12*$GL12,"")</f>
        <v/>
      </c>
      <c r="GW12" s="345" t="str">
        <f t="shared" si="64"/>
        <v/>
      </c>
      <c r="GX12" s="346" t="str">
        <f>IF(ISNUMBER($AV12),($GJ12/12)*$GV12,"")</f>
        <v/>
      </c>
      <c r="GY12" s="344" t="str">
        <f t="shared" si="66"/>
        <v/>
      </c>
      <c r="GZ12" s="345" t="str">
        <f t="shared" si="67"/>
        <v/>
      </c>
      <c r="HA12" s="342" t="str">
        <f t="shared" si="68"/>
        <v/>
      </c>
      <c r="HB12" s="5" t="str">
        <f t="shared" si="231"/>
        <v/>
      </c>
      <c r="HC12" s="343" t="str">
        <f t="shared" si="232"/>
        <v/>
      </c>
      <c r="HD12" s="345" t="str">
        <f t="shared" si="233"/>
        <v/>
      </c>
      <c r="HE12" s="344" t="str">
        <f t="shared" si="69"/>
        <v/>
      </c>
      <c r="HF12" s="5" t="str">
        <f t="shared" si="70"/>
        <v/>
      </c>
      <c r="HG12" s="343" t="str">
        <f t="shared" si="234"/>
        <v/>
      </c>
      <c r="HH12" s="349" t="str">
        <f t="shared" si="235"/>
        <v/>
      </c>
      <c r="HI12" s="317" t="str">
        <f t="shared" si="71"/>
        <v/>
      </c>
      <c r="HJ12" s="336"/>
      <c r="HK12" s="310" t="str">
        <f t="shared" si="137"/>
        <v/>
      </c>
      <c r="HL12" s="348" t="str">
        <f t="shared" si="72"/>
        <v/>
      </c>
      <c r="HM12" s="909" t="str">
        <f t="shared" si="138"/>
        <v/>
      </c>
      <c r="HN12" s="910" t="str">
        <f t="shared" si="73"/>
        <v/>
      </c>
      <c r="HO12" s="911"/>
      <c r="HP12" s="912"/>
      <c r="HQ12" s="910" t="str">
        <f t="shared" si="74"/>
        <v/>
      </c>
      <c r="HR12" s="913" t="str">
        <f t="shared" si="75"/>
        <v/>
      </c>
      <c r="HS12" s="865" t="str">
        <f>IFERROR(SMALL($GJ$9:$GJ$150,($HK11+1)),"")</f>
        <v/>
      </c>
      <c r="HT12" s="875" t="str">
        <f t="shared" si="76"/>
        <v/>
      </c>
      <c r="HU12" s="876" t="str">
        <f t="shared" si="77"/>
        <v/>
      </c>
      <c r="HV12" s="872" t="str">
        <f t="shared" si="78"/>
        <v/>
      </c>
      <c r="HW12" s="866" t="str">
        <f t="shared" si="79"/>
        <v/>
      </c>
      <c r="HX12" s="867" t="str">
        <f t="shared" si="80"/>
        <v/>
      </c>
      <c r="HY12" s="866" t="str">
        <f t="shared" si="81"/>
        <v/>
      </c>
      <c r="HZ12" s="868" t="str">
        <f t="shared" si="82"/>
        <v/>
      </c>
      <c r="IA12" s="869" t="str">
        <f t="shared" si="83"/>
        <v/>
      </c>
      <c r="IB12" s="870" t="str">
        <f t="shared" si="84"/>
        <v/>
      </c>
      <c r="IC12" s="841" t="str">
        <f t="shared" si="85"/>
        <v/>
      </c>
      <c r="ID12" s="351" t="str">
        <f t="shared" si="86"/>
        <v/>
      </c>
      <c r="IE12" s="843" t="str">
        <f t="shared" si="87"/>
        <v/>
      </c>
      <c r="IF12" s="844"/>
      <c r="IG12" s="790" t="str">
        <f>IFERROR(IF($IW12="","",IF($IW12&lt;(((Settings!$C$19/2)*-1)*$IG$8),"Taper","Nose")),"")</f>
        <v/>
      </c>
      <c r="IH12" s="482" t="str">
        <f>IFERROR(IF((((($IY12*COS(RADIANS(180-$JA12)))*COS(RADIANS($JA12)))-(($IZ12*SIN(RADIANS(180-$JA12)))*SIN(RADIANS($JA12))))+$IW12)&lt;(((Settings!$C$19+$IH$8)/2)*-1),"Gage",""),"")</f>
        <v/>
      </c>
      <c r="II12" s="788">
        <f t="shared" si="236"/>
        <v>1.111</v>
      </c>
      <c r="IJ12" s="674" t="str" cm="1">
        <f t="array" ref="IJ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K12" s="677" t="str" cm="1">
        <f t="array" ref="IK12">IFERROR(ROUND(VALUE(IF($IJ12&lt;1,$IJ12+LARGE((IF($M$9:$M$150="",0,$M$9:$M$150)-MOD(IF($M$9:$M$150="",0,$M$9:$M$150),1)),1),$IJ12)),4),"")</f>
        <v/>
      </c>
      <c r="IL12" s="482">
        <f t="shared" si="88"/>
        <v>1613</v>
      </c>
      <c r="IM12" s="482" t="str">
        <f t="shared" si="237"/>
        <v/>
      </c>
      <c r="IN12" s="670" t="str">
        <f t="shared" si="90"/>
        <v/>
      </c>
      <c r="IO12" s="702"/>
      <c r="IP12" s="5" t="str">
        <f t="shared" si="91"/>
        <v/>
      </c>
      <c r="IQ12" s="714"/>
      <c r="IR12" s="9" t="str">
        <f t="shared" si="139"/>
        <v/>
      </c>
      <c r="IS12" s="5" t="str">
        <f t="shared" si="92"/>
        <v/>
      </c>
      <c r="IT12" s="5" t="str">
        <f t="shared" si="93"/>
        <v/>
      </c>
      <c r="IU12" s="5" t="str">
        <f t="shared" si="94"/>
        <v/>
      </c>
      <c r="IV12" s="670" t="str">
        <f t="shared" si="95"/>
        <v/>
      </c>
      <c r="IW12" s="9" t="str">
        <f t="shared" si="96"/>
        <v/>
      </c>
      <c r="IX12" s="5" t="str">
        <f t="shared" si="97"/>
        <v/>
      </c>
      <c r="IY12" s="5" t="str">
        <f t="shared" si="98"/>
        <v/>
      </c>
      <c r="IZ12" s="5" t="str">
        <f t="shared" si="99"/>
        <v/>
      </c>
      <c r="JA12" s="705" t="str">
        <f t="shared" si="100"/>
        <v/>
      </c>
      <c r="JC12" s="731"/>
      <c r="JD12" s="728" t="str" cm="1">
        <f t="array" ref="JD12">IF($JC12="","",COUNT(IF(IF($IK$9:$IK$150="",$IL$9:$IL$150,"")=$JC12,$II$9:$II$150,"")))</f>
        <v/>
      </c>
      <c r="JE12" s="5"/>
      <c r="JF12" s="5"/>
      <c r="JG12" s="8"/>
      <c r="JH12" s="162"/>
      <c r="JI12" s="162"/>
    </row>
    <row r="13" spans="1:285" ht="15" customHeight="1" x14ac:dyDescent="0.25">
      <c r="A13" s="75">
        <f t="shared" si="1"/>
        <v>0.02</v>
      </c>
      <c r="B13" s="578">
        <f t="shared" si="2"/>
        <v>2.5852535138055441E-2</v>
      </c>
      <c r="C13" s="572">
        <f t="shared" si="3"/>
        <v>3.3212102236749148</v>
      </c>
      <c r="D13" s="576">
        <f t="shared" si="4"/>
        <v>-0.10477236489563337</v>
      </c>
      <c r="E13" s="580">
        <f t="shared" si="5"/>
        <v>-0.96208031115016845</v>
      </c>
      <c r="F13" s="572">
        <f t="shared" si="6"/>
        <v>7.0162076877133495E-2</v>
      </c>
      <c r="G13" s="579">
        <f t="shared" si="7"/>
        <v>0.2635882354458986</v>
      </c>
      <c r="H13" s="580">
        <f t="shared" si="8"/>
        <v>0.3125</v>
      </c>
      <c r="I13" s="572">
        <f t="shared" si="9"/>
        <v>0.52</v>
      </c>
      <c r="J13" s="483">
        <f t="shared" si="10"/>
        <v>1.117</v>
      </c>
      <c r="K13" s="806">
        <f t="shared" si="11"/>
        <v>1613</v>
      </c>
      <c r="L13" s="717">
        <f>IF($L12=$JJ$22,$JJ$29,IF($L12=$JK$22,$JK$29,""))</f>
        <v>720</v>
      </c>
      <c r="M13" s="164">
        <f t="shared" si="12"/>
        <v>1.117</v>
      </c>
      <c r="N13" s="575">
        <f t="shared" si="13"/>
        <v>2.5852535138055441E-2</v>
      </c>
      <c r="O13" s="572">
        <f t="shared" si="14"/>
        <v>3.3212102236749148</v>
      </c>
      <c r="P13" s="576">
        <f t="shared" si="15"/>
        <v>-0.10477236489563337</v>
      </c>
      <c r="Q13" s="528">
        <f t="shared" si="140"/>
        <v>89.554014609899696</v>
      </c>
      <c r="R13" s="572">
        <f t="shared" si="101"/>
        <v>3.3213108411312309</v>
      </c>
      <c r="S13" s="577">
        <f t="shared" si="102"/>
        <v>-0.10477236489563337</v>
      </c>
      <c r="T13" s="578">
        <f>IF(M13="","",X13*COS(RADIANS(W13)))</f>
        <v>3.3213107543921061</v>
      </c>
      <c r="U13" s="572">
        <f t="shared" si="104"/>
        <v>-7.5906204086109306E-4</v>
      </c>
      <c r="V13" s="579">
        <f t="shared" si="141"/>
        <v>-0.10477236489563337</v>
      </c>
      <c r="W13" s="528">
        <f t="shared" si="16"/>
        <v>359.98690545577068</v>
      </c>
      <c r="X13" s="572">
        <f t="shared" si="105"/>
        <v>3.3213108411312309</v>
      </c>
      <c r="Y13" s="573">
        <f t="shared" si="17"/>
        <v>-0.10477236489563337</v>
      </c>
      <c r="Z13" s="575">
        <f t="shared" si="18"/>
        <v>0.96208031115016845</v>
      </c>
      <c r="AA13" s="572">
        <f t="shared" si="19"/>
        <v>-7.0162076877133495E-2</v>
      </c>
      <c r="AB13" s="572">
        <f t="shared" si="20"/>
        <v>-0.2635882354458986</v>
      </c>
      <c r="AC13" s="579">
        <f t="shared" si="106"/>
        <v>1</v>
      </c>
      <c r="AD13" s="580">
        <f>IF(M13="","",Z13*(1/SQRT(Z13^2+AA13^2+AB13^2)))</f>
        <v>0.96208031115016845</v>
      </c>
      <c r="AE13" s="572">
        <f t="shared" si="107"/>
        <v>-7.0162076877133495E-2</v>
      </c>
      <c r="AF13" s="576">
        <f t="shared" si="108"/>
        <v>-0.2635882354458986</v>
      </c>
      <c r="AG13" s="545">
        <f>IF(M13="","",DEGREES(ATAN2(-AF13,AE13)))</f>
        <v>-14.905413847842439</v>
      </c>
      <c r="AH13" s="546">
        <f t="shared" si="110"/>
        <v>15.828946586556215</v>
      </c>
      <c r="AI13" s="528">
        <f t="shared" si="111"/>
        <v>-74.716917615044224</v>
      </c>
      <c r="AJ13" s="529">
        <f t="shared" si="112"/>
        <v>85.828948128306862</v>
      </c>
      <c r="AK13" s="578">
        <f t="shared" si="238"/>
        <v>0.96259729542724415</v>
      </c>
      <c r="AL13" s="572">
        <f t="shared" si="113"/>
        <v>-6.2671277078680601E-2</v>
      </c>
      <c r="AM13" s="577">
        <f t="shared" si="114"/>
        <v>-0.2635882354458986</v>
      </c>
      <c r="AN13" s="524">
        <f t="shared" si="115"/>
        <v>-13.374429842880255</v>
      </c>
      <c r="AO13" s="525">
        <f t="shared" si="116"/>
        <v>15.719986249129448</v>
      </c>
      <c r="AP13" s="528">
        <f t="shared" si="117"/>
        <v>-3.7250664815928571</v>
      </c>
      <c r="AQ13" s="529">
        <f t="shared" si="21"/>
        <v>1.3725246771091195</v>
      </c>
      <c r="AS13" s="932">
        <f t="shared" si="143"/>
        <v>359.98690545577068</v>
      </c>
      <c r="AT13" s="928">
        <f t="shared" si="22"/>
        <v>-0.10847875888108902</v>
      </c>
      <c r="AU13" s="418"/>
      <c r="AV13" s="164" t="str">
        <f t="shared" si="23"/>
        <v/>
      </c>
      <c r="AW13" s="829" t="str">
        <f>IFERROR(INDEX(MassProp!C$9:C$150,MATCH($M13,MassProp!$B$9:$B$150,0)),"")</f>
        <v/>
      </c>
      <c r="AX13" s="830" t="str">
        <f>IFERROR(INDEX(MassProp!D$9:D$150,MATCH($M13,MassProp!$B$9:$B$150,0)),"")</f>
        <v/>
      </c>
      <c r="AY13" s="831" t="str">
        <f>IFERROR(INDEX(MassProp!E$9:E$150,MATCH($M13,MassProp!$B$9:$B$150,0)),"")</f>
        <v/>
      </c>
      <c r="AZ13" s="297" t="str">
        <f t="shared" si="144"/>
        <v/>
      </c>
      <c r="BA13" s="296" t="str">
        <f t="shared" si="24"/>
        <v/>
      </c>
      <c r="BB13" s="291" t="str">
        <f t="shared" si="145"/>
        <v/>
      </c>
      <c r="BC13" s="9"/>
      <c r="BD13" s="5" t="str">
        <f t="shared" si="146"/>
        <v/>
      </c>
      <c r="BE13" s="6" t="str">
        <f t="shared" si="25"/>
        <v/>
      </c>
      <c r="BF13" s="4" t="str">
        <f t="shared" si="26"/>
        <v/>
      </c>
      <c r="BG13" s="5" t="str">
        <f t="shared" si="27"/>
        <v/>
      </c>
      <c r="BH13" s="10" t="str">
        <f t="shared" si="28"/>
        <v/>
      </c>
      <c r="BI13" s="9" t="str">
        <f t="shared" si="147"/>
        <v/>
      </c>
      <c r="BJ13" s="5" t="str">
        <f t="shared" si="29"/>
        <v/>
      </c>
      <c r="BK13" s="8" t="str">
        <f t="shared" si="30"/>
        <v/>
      </c>
      <c r="BL13" s="173" t="str">
        <f t="shared" si="31"/>
        <v/>
      </c>
      <c r="BM13" s="5" t="str">
        <f t="shared" si="32"/>
        <v/>
      </c>
      <c r="BN13" s="6" t="str">
        <f t="shared" si="33"/>
        <v/>
      </c>
      <c r="BO13" s="4" t="str">
        <f t="shared" si="148"/>
        <v/>
      </c>
      <c r="BP13" s="5" t="str">
        <f t="shared" si="239"/>
        <v/>
      </c>
      <c r="BQ13" s="5" t="str">
        <f t="shared" si="149"/>
        <v/>
      </c>
      <c r="BR13" s="6" t="str">
        <f t="shared" si="150"/>
        <v/>
      </c>
      <c r="BS13" s="4" t="str">
        <f t="shared" si="118"/>
        <v/>
      </c>
      <c r="BT13" s="5" t="str">
        <f t="shared" si="118"/>
        <v/>
      </c>
      <c r="BU13" s="10" t="str">
        <f t="shared" si="119"/>
        <v/>
      </c>
      <c r="BV13" s="9" t="str">
        <f t="shared" si="120"/>
        <v/>
      </c>
      <c r="BW13" s="5" t="str">
        <f t="shared" si="121"/>
        <v/>
      </c>
      <c r="BX13" s="8" t="str">
        <f t="shared" si="122"/>
        <v/>
      </c>
      <c r="BY13" s="173" t="str">
        <f t="shared" si="123"/>
        <v/>
      </c>
      <c r="BZ13" s="5" t="str">
        <f t="shared" si="124"/>
        <v/>
      </c>
      <c r="CA13" s="6" t="str">
        <f t="shared" si="125"/>
        <v/>
      </c>
      <c r="CB13" s="4" t="str">
        <f t="shared" si="151"/>
        <v/>
      </c>
      <c r="CC13" s="5" t="str">
        <f t="shared" si="152"/>
        <v/>
      </c>
      <c r="CD13" s="5" t="str">
        <f t="shared" si="153"/>
        <v/>
      </c>
      <c r="CE13" s="6" t="str">
        <f t="shared" si="154"/>
        <v/>
      </c>
      <c r="CF13" s="4" t="str">
        <f t="shared" si="155"/>
        <v/>
      </c>
      <c r="CG13" s="5" t="str">
        <f t="shared" si="156"/>
        <v/>
      </c>
      <c r="CH13" s="5" t="str">
        <f t="shared" si="157"/>
        <v/>
      </c>
      <c r="CI13" s="4" t="str">
        <f t="shared" si="126"/>
        <v/>
      </c>
      <c r="CJ13" s="5" t="str">
        <f t="shared" si="127"/>
        <v/>
      </c>
      <c r="CK13" s="8" t="str">
        <f t="shared" si="128"/>
        <v/>
      </c>
      <c r="CL13" s="173" t="str">
        <f t="shared" si="129"/>
        <v/>
      </c>
      <c r="CM13" s="5" t="str">
        <f t="shared" si="130"/>
        <v/>
      </c>
      <c r="CN13" s="6" t="str">
        <f t="shared" si="131"/>
        <v/>
      </c>
      <c r="CO13" s="167" t="str">
        <f t="shared" si="35"/>
        <v/>
      </c>
      <c r="CP13" s="4" t="str">
        <f t="shared" si="240"/>
        <v/>
      </c>
      <c r="CQ13" s="5" t="str">
        <f t="shared" si="241"/>
        <v/>
      </c>
      <c r="CR13" s="5" t="str">
        <f t="shared" si="158"/>
        <v/>
      </c>
      <c r="CS13" s="8" t="str">
        <f t="shared" si="159"/>
        <v/>
      </c>
      <c r="CT13" s="9" t="str">
        <f t="shared" si="160"/>
        <v/>
      </c>
      <c r="CU13" s="6" t="str">
        <f t="shared" si="161"/>
        <v/>
      </c>
      <c r="CV13" s="4" t="str">
        <f t="shared" si="242"/>
        <v/>
      </c>
      <c r="CW13" s="5" t="str">
        <f t="shared" si="162"/>
        <v/>
      </c>
      <c r="CX13" s="8" t="str">
        <f t="shared" si="163"/>
        <v/>
      </c>
      <c r="CY13" s="9" t="str">
        <f t="shared" si="164"/>
        <v/>
      </c>
      <c r="CZ13" s="5" t="str">
        <f t="shared" si="165"/>
        <v/>
      </c>
      <c r="DA13" s="6" t="str">
        <f t="shared" si="166"/>
        <v/>
      </c>
      <c r="DB13" s="4" t="str">
        <f t="shared" si="167"/>
        <v/>
      </c>
      <c r="DC13" s="5" t="str">
        <f t="shared" si="167"/>
        <v/>
      </c>
      <c r="DD13" s="10" t="str">
        <f t="shared" si="168"/>
        <v/>
      </c>
      <c r="DE13" s="9" t="str">
        <f t="shared" si="169"/>
        <v/>
      </c>
      <c r="DF13" s="5" t="str">
        <f t="shared" si="169"/>
        <v/>
      </c>
      <c r="DG13" s="10" t="str">
        <f t="shared" si="170"/>
        <v/>
      </c>
      <c r="DH13" s="70" t="str">
        <f t="shared" si="171"/>
        <v/>
      </c>
      <c r="DI13" s="4" t="str">
        <f t="shared" si="172"/>
        <v/>
      </c>
      <c r="DJ13" s="5" t="str">
        <f t="shared" si="173"/>
        <v/>
      </c>
      <c r="DK13" s="10" t="str">
        <f t="shared" si="174"/>
        <v/>
      </c>
      <c r="DL13" s="9" t="str">
        <f t="shared" si="175"/>
        <v/>
      </c>
      <c r="DM13" s="173" t="str">
        <f t="shared" si="176"/>
        <v/>
      </c>
      <c r="DN13" s="178" t="str">
        <f t="shared" si="177"/>
        <v/>
      </c>
      <c r="DO13" s="9" t="str">
        <f t="shared" si="178"/>
        <v/>
      </c>
      <c r="DP13" s="173" t="str">
        <f t="shared" si="179"/>
        <v/>
      </c>
      <c r="DQ13" s="11" t="str">
        <f t="shared" si="180"/>
        <v/>
      </c>
      <c r="DR13" s="173" t="str">
        <f t="shared" si="181"/>
        <v/>
      </c>
      <c r="DS13" s="5" t="str">
        <f t="shared" si="182"/>
        <v/>
      </c>
      <c r="DT13" s="5" t="str">
        <f t="shared" si="183"/>
        <v/>
      </c>
      <c r="DU13" s="5" t="str">
        <f t="shared" si="184"/>
        <v/>
      </c>
      <c r="DV13" s="5" t="str">
        <f t="shared" si="185"/>
        <v/>
      </c>
      <c r="DW13" s="5" t="str">
        <f t="shared" si="186"/>
        <v/>
      </c>
      <c r="DX13" s="167" t="str">
        <f t="shared" si="187"/>
        <v/>
      </c>
      <c r="DY13" s="9" t="str">
        <f t="shared" si="188"/>
        <v/>
      </c>
      <c r="DZ13" s="5" t="str">
        <f t="shared" si="189"/>
        <v/>
      </c>
      <c r="EA13" s="10" t="str">
        <f t="shared" si="190"/>
        <v/>
      </c>
      <c r="EB13" s="6" t="str">
        <f t="shared" si="191"/>
        <v/>
      </c>
      <c r="EC13" s="173" t="str">
        <f t="shared" si="192"/>
        <v/>
      </c>
      <c r="ED13" s="5" t="str">
        <f t="shared" si="193"/>
        <v/>
      </c>
      <c r="EE13" s="4" t="str">
        <f t="shared" si="194"/>
        <v/>
      </c>
      <c r="EF13" s="5" t="str">
        <f t="shared" si="195"/>
        <v/>
      </c>
      <c r="EG13" s="10" t="str">
        <f t="shared" si="196"/>
        <v/>
      </c>
      <c r="EH13" s="9" t="str">
        <f t="shared" si="197"/>
        <v/>
      </c>
      <c r="EI13" s="5" t="str">
        <f t="shared" si="198"/>
        <v/>
      </c>
      <c r="EJ13" s="6" t="str">
        <f t="shared" si="199"/>
        <v/>
      </c>
      <c r="EK13" s="236" t="str">
        <f t="shared" si="200"/>
        <v/>
      </c>
      <c r="EL13" s="238" t="str">
        <f t="shared" si="201"/>
        <v/>
      </c>
      <c r="EM13" s="4" t="str">
        <f t="shared" si="202"/>
        <v/>
      </c>
      <c r="EN13" s="5" t="str">
        <f t="shared" si="203"/>
        <v/>
      </c>
      <c r="EO13" s="10" t="str">
        <f t="shared" si="204"/>
        <v/>
      </c>
      <c r="EP13" s="9" t="str">
        <f t="shared" si="205"/>
        <v/>
      </c>
      <c r="EQ13" s="5" t="str">
        <f t="shared" si="206"/>
        <v/>
      </c>
      <c r="ER13" s="7" t="str">
        <f t="shared" si="207"/>
        <v/>
      </c>
      <c r="ES13" s="21" t="str">
        <f t="shared" si="132"/>
        <v/>
      </c>
      <c r="ET13" s="5" t="str">
        <f t="shared" si="44"/>
        <v/>
      </c>
      <c r="EU13" s="10" t="str">
        <f t="shared" si="45"/>
        <v/>
      </c>
      <c r="EV13" s="174" t="str">
        <f t="shared" si="46"/>
        <v/>
      </c>
      <c r="EW13" s="9" t="str">
        <f t="shared" si="133"/>
        <v/>
      </c>
      <c r="EX13" s="5" t="str">
        <f t="shared" si="47"/>
        <v/>
      </c>
      <c r="EY13" s="6" t="str">
        <f t="shared" si="208"/>
        <v/>
      </c>
      <c r="EZ13" s="51" t="str">
        <f t="shared" si="209"/>
        <v/>
      </c>
      <c r="FA13" s="266" t="str">
        <f t="shared" si="134"/>
        <v/>
      </c>
      <c r="FB13" s="267" t="str">
        <f t="shared" si="135"/>
        <v/>
      </c>
      <c r="FC13" s="269" t="str">
        <f t="shared" si="48"/>
        <v/>
      </c>
      <c r="FD13" s="4" t="str">
        <f t="shared" si="136"/>
        <v/>
      </c>
      <c r="FE13" s="5" t="str">
        <f t="shared" si="49"/>
        <v/>
      </c>
      <c r="FF13" s="7" t="str">
        <f t="shared" si="210"/>
        <v/>
      </c>
      <c r="FG13" s="173" t="str">
        <f t="shared" si="211"/>
        <v/>
      </c>
      <c r="FH13" s="5" t="str">
        <f t="shared" si="50"/>
        <v/>
      </c>
      <c r="FI13" s="10" t="str">
        <f t="shared" si="51"/>
        <v/>
      </c>
      <c r="FJ13" s="279" t="str">
        <f t="shared" si="212"/>
        <v/>
      </c>
      <c r="FK13" s="4" t="str">
        <f t="shared" si="52"/>
        <v/>
      </c>
      <c r="FL13" s="5" t="str">
        <f t="shared" si="213"/>
        <v/>
      </c>
      <c r="FM13" s="8" t="str">
        <f t="shared" si="214"/>
        <v/>
      </c>
      <c r="FN13" s="9" t="str">
        <f t="shared" si="215"/>
        <v/>
      </c>
      <c r="FO13" s="10" t="str">
        <f t="shared" si="53"/>
        <v/>
      </c>
      <c r="FP13" s="277" t="str">
        <f t="shared" si="54"/>
        <v/>
      </c>
      <c r="FQ13" s="173" t="str">
        <f t="shared" si="243"/>
        <v/>
      </c>
      <c r="FR13" s="10" t="str">
        <f t="shared" si="216"/>
        <v/>
      </c>
      <c r="FS13" s="9" t="str">
        <f t="shared" si="217"/>
        <v/>
      </c>
      <c r="FT13" s="6" t="str">
        <f t="shared" si="218"/>
        <v/>
      </c>
      <c r="FU13" s="4" t="str">
        <f t="shared" si="219"/>
        <v/>
      </c>
      <c r="FV13" s="5" t="str">
        <f t="shared" si="220"/>
        <v/>
      </c>
      <c r="FW13" s="8" t="str">
        <f t="shared" si="244"/>
        <v/>
      </c>
      <c r="FX13" s="9" t="str">
        <f t="shared" si="245"/>
        <v/>
      </c>
      <c r="FY13" s="10" t="str">
        <f t="shared" si="55"/>
        <v/>
      </c>
      <c r="FZ13" s="277" t="str">
        <f t="shared" si="246"/>
        <v/>
      </c>
      <c r="GA13" s="177" t="str">
        <f t="shared" si="221"/>
        <v/>
      </c>
      <c r="GB13" s="4" t="str">
        <f t="shared" si="222"/>
        <v/>
      </c>
      <c r="GC13" s="5" t="str">
        <f t="shared" si="223"/>
        <v/>
      </c>
      <c r="GD13" s="10" t="str">
        <f t="shared" si="224"/>
        <v/>
      </c>
      <c r="GE13" s="311" t="str">
        <f t="shared" si="225"/>
        <v/>
      </c>
      <c r="GF13" s="341" t="str">
        <f t="shared" si="247"/>
        <v/>
      </c>
      <c r="GG13" s="285" t="str">
        <f t="shared" si="56"/>
        <v/>
      </c>
      <c r="GH13" s="286" t="str">
        <f t="shared" si="57"/>
        <v/>
      </c>
      <c r="GI13" s="281" t="str">
        <f t="shared" si="58"/>
        <v/>
      </c>
      <c r="GJ13" s="167" t="str">
        <f t="shared" si="226"/>
        <v/>
      </c>
      <c r="GK13" s="174" t="str">
        <f t="shared" si="59"/>
        <v/>
      </c>
      <c r="GL13" s="174" t="str">
        <f t="shared" si="227"/>
        <v/>
      </c>
      <c r="GM13" s="177" t="str">
        <f t="shared" si="248"/>
        <v/>
      </c>
      <c r="GN13" s="280" t="str">
        <f t="shared" si="228"/>
        <v/>
      </c>
      <c r="GO13" s="4" t="str">
        <f t="shared" si="229"/>
        <v/>
      </c>
      <c r="GP13" s="8" t="str">
        <f t="shared" si="249"/>
        <v/>
      </c>
      <c r="GQ13" s="177" t="str">
        <f t="shared" si="230"/>
        <v/>
      </c>
      <c r="GR13" s="371" t="str">
        <f t="shared" si="250"/>
        <v/>
      </c>
      <c r="GS13" s="342" t="str">
        <f t="shared" si="61"/>
        <v/>
      </c>
      <c r="GT13" s="343" t="str">
        <f t="shared" si="62"/>
        <v/>
      </c>
      <c r="GU13" s="344" t="str">
        <f t="shared" si="63"/>
        <v/>
      </c>
      <c r="GV13" s="343" t="str">
        <f>IF(ISNUMBER($AV13),GW13*$GL13,"")</f>
        <v/>
      </c>
      <c r="GW13" s="345" t="str">
        <f t="shared" si="64"/>
        <v/>
      </c>
      <c r="GX13" s="346" t="str">
        <f>IF(ISNUMBER($AV13),($GJ13/12)*$GV13,"")</f>
        <v/>
      </c>
      <c r="GY13" s="344" t="str">
        <f t="shared" si="66"/>
        <v/>
      </c>
      <c r="GZ13" s="345" t="str">
        <f t="shared" si="67"/>
        <v/>
      </c>
      <c r="HA13" s="342" t="str">
        <f t="shared" si="68"/>
        <v/>
      </c>
      <c r="HB13" s="5" t="str">
        <f t="shared" si="231"/>
        <v/>
      </c>
      <c r="HC13" s="343" t="str">
        <f t="shared" si="232"/>
        <v/>
      </c>
      <c r="HD13" s="345" t="str">
        <f t="shared" si="233"/>
        <v/>
      </c>
      <c r="HE13" s="344" t="str">
        <f t="shared" si="69"/>
        <v/>
      </c>
      <c r="HF13" s="5" t="str">
        <f t="shared" si="70"/>
        <v/>
      </c>
      <c r="HG13" s="343" t="str">
        <f t="shared" si="234"/>
        <v/>
      </c>
      <c r="HH13" s="349" t="str">
        <f t="shared" si="235"/>
        <v/>
      </c>
      <c r="HI13" s="317" t="str">
        <f t="shared" si="71"/>
        <v/>
      </c>
      <c r="HJ13" s="336"/>
      <c r="HK13" s="310" t="str">
        <f t="shared" si="137"/>
        <v/>
      </c>
      <c r="HL13" s="348" t="str">
        <f t="shared" si="72"/>
        <v/>
      </c>
      <c r="HM13" s="909" t="str">
        <f t="shared" si="138"/>
        <v/>
      </c>
      <c r="HN13" s="910" t="str">
        <f t="shared" si="73"/>
        <v/>
      </c>
      <c r="HO13" s="911"/>
      <c r="HP13" s="912"/>
      <c r="HQ13" s="910" t="str">
        <f t="shared" si="74"/>
        <v/>
      </c>
      <c r="HR13" s="913" t="str">
        <f t="shared" si="75"/>
        <v/>
      </c>
      <c r="HS13" s="865" t="str">
        <f t="shared" ref="HS13:HS41" si="251">IFERROR(SMALL($GJ$9:$GJ$150,($HK12+1)),"")</f>
        <v/>
      </c>
      <c r="HT13" s="875" t="str">
        <f t="shared" si="76"/>
        <v/>
      </c>
      <c r="HU13" s="876" t="str">
        <f t="shared" si="77"/>
        <v/>
      </c>
      <c r="HV13" s="872" t="str">
        <f t="shared" si="78"/>
        <v/>
      </c>
      <c r="HW13" s="866" t="str">
        <f t="shared" si="79"/>
        <v/>
      </c>
      <c r="HX13" s="867" t="str">
        <f t="shared" si="80"/>
        <v/>
      </c>
      <c r="HY13" s="866" t="str">
        <f t="shared" si="81"/>
        <v/>
      </c>
      <c r="HZ13" s="868" t="str">
        <f>IF(ISNUMBER($HL13),INDEX(GU$9:GU$150,MATCH($HL13,$AV$9:$AV$150,0)),"")</f>
        <v/>
      </c>
      <c r="IA13" s="869" t="str">
        <f t="shared" si="83"/>
        <v/>
      </c>
      <c r="IB13" s="870" t="str">
        <f t="shared" si="84"/>
        <v/>
      </c>
      <c r="IC13" s="841" t="str">
        <f t="shared" si="85"/>
        <v/>
      </c>
      <c r="ID13" s="351" t="str">
        <f t="shared" si="86"/>
        <v/>
      </c>
      <c r="IE13" s="843" t="str">
        <f t="shared" si="87"/>
        <v/>
      </c>
      <c r="IF13" s="844"/>
      <c r="IG13" s="790" t="str">
        <f>IFERROR(IF($IW13="","",IF($IW13&lt;(((Settings!$C$19/2)*-1)*$IG$8),"Taper","Nose")),"")</f>
        <v/>
      </c>
      <c r="IH13" s="482" t="str">
        <f>IFERROR(IF((((($IY13*COS(RADIANS(180-$JA13)))*COS(RADIANS($JA13)))-(($IZ13*SIN(RADIANS(180-$JA13)))*SIN(RADIANS($JA13))))+$IW13)&lt;(((Settings!$C$19+$IH$8)/2)*-1),"Gage",""),"")</f>
        <v/>
      </c>
      <c r="II13" s="788">
        <f t="shared" si="236"/>
        <v>1.117</v>
      </c>
      <c r="IJ13" s="674" t="str" cm="1">
        <f t="array" ref="IJ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K13" s="677" t="str" cm="1">
        <f t="array" ref="IK13">IFERROR(ROUND(VALUE(IF($IJ13&lt;1,$IJ13+LARGE((IF($M$9:$M$150="",0,$M$9:$M$150)-MOD(IF($M$9:$M$150="",0,$M$9:$M$150),1)),1),$IJ13)),4),"")</f>
        <v/>
      </c>
      <c r="IL13" s="482">
        <f t="shared" si="88"/>
        <v>1613</v>
      </c>
      <c r="IM13" s="482" t="str">
        <f t="shared" si="237"/>
        <v/>
      </c>
      <c r="IN13" s="670" t="str">
        <f t="shared" si="90"/>
        <v/>
      </c>
      <c r="IO13" s="702"/>
      <c r="IP13" s="5" t="str">
        <f t="shared" si="91"/>
        <v/>
      </c>
      <c r="IQ13" s="714"/>
      <c r="IR13" s="9" t="str">
        <f t="shared" si="139"/>
        <v/>
      </c>
      <c r="IS13" s="5" t="str">
        <f t="shared" si="92"/>
        <v/>
      </c>
      <c r="IT13" s="5" t="str">
        <f t="shared" si="93"/>
        <v/>
      </c>
      <c r="IU13" s="5" t="str">
        <f t="shared" si="94"/>
        <v/>
      </c>
      <c r="IV13" s="670" t="str">
        <f t="shared" si="95"/>
        <v/>
      </c>
      <c r="IW13" s="9" t="str">
        <f t="shared" si="96"/>
        <v/>
      </c>
      <c r="IX13" s="5" t="str">
        <f t="shared" si="97"/>
        <v/>
      </c>
      <c r="IY13" s="5" t="str">
        <f t="shared" si="98"/>
        <v/>
      </c>
      <c r="IZ13" s="5" t="str">
        <f t="shared" si="99"/>
        <v/>
      </c>
      <c r="JA13" s="705" t="str">
        <f t="shared" si="100"/>
        <v/>
      </c>
      <c r="JC13" s="731"/>
      <c r="JD13" s="728" t="str" cm="1">
        <f t="array" ref="JD13">IF($JC13="","",COUNT(IF(IF($IK$9:$IK$150="",$IL$9:$IL$150,"")=$JC13,$II$9:$II$150,"")))</f>
        <v/>
      </c>
      <c r="JE13" s="5"/>
      <c r="JF13" s="5"/>
      <c r="JG13" s="8"/>
      <c r="JH13" s="162"/>
      <c r="JI13" s="162"/>
    </row>
    <row r="14" spans="1:285" ht="15" customHeight="1" x14ac:dyDescent="0.25">
      <c r="A14" s="75">
        <f t="shared" si="1"/>
        <v>0.02</v>
      </c>
      <c r="B14" s="578">
        <f t="shared" si="2"/>
        <v>7.0554003240190788E-2</v>
      </c>
      <c r="C14" s="572">
        <f t="shared" si="3"/>
        <v>4.0334751993227815</v>
      </c>
      <c r="D14" s="576">
        <f t="shared" si="4"/>
        <v>-0.387275698883291</v>
      </c>
      <c r="E14" s="580">
        <f t="shared" si="5"/>
        <v>-0.9451157257678009</v>
      </c>
      <c r="F14" s="572">
        <f t="shared" si="6"/>
        <v>0.18593768732828911</v>
      </c>
      <c r="G14" s="579">
        <f t="shared" si="7"/>
        <v>0.26866976260348052</v>
      </c>
      <c r="H14" s="580">
        <f t="shared" si="8"/>
        <v>0.3125</v>
      </c>
      <c r="I14" s="572">
        <f t="shared" si="9"/>
        <v>0.52</v>
      </c>
      <c r="J14" s="483">
        <f t="shared" si="10"/>
        <v>1.123</v>
      </c>
      <c r="K14" s="806">
        <f t="shared" si="11"/>
        <v>1613</v>
      </c>
      <c r="L14" s="719" t="s">
        <v>358</v>
      </c>
      <c r="M14" s="164">
        <f t="shared" si="12"/>
        <v>1.123</v>
      </c>
      <c r="N14" s="575">
        <f t="shared" si="13"/>
        <v>7.0554003240190788E-2</v>
      </c>
      <c r="O14" s="572">
        <f t="shared" si="14"/>
        <v>4.0334751993227815</v>
      </c>
      <c r="P14" s="576">
        <f t="shared" si="15"/>
        <v>-0.387275698883291</v>
      </c>
      <c r="Q14" s="528">
        <f t="shared" si="140"/>
        <v>88.997877960118984</v>
      </c>
      <c r="R14" s="572">
        <f t="shared" si="101"/>
        <v>4.0340922214204733</v>
      </c>
      <c r="S14" s="577">
        <f>IF(M14="","",P14)</f>
        <v>-0.387275698883291</v>
      </c>
      <c r="T14" s="578">
        <f t="shared" si="103"/>
        <v>4.0338931337465258</v>
      </c>
      <c r="U14" s="572">
        <f t="shared" si="104"/>
        <v>-4.0077879657067085E-2</v>
      </c>
      <c r="V14" s="579">
        <f t="shared" si="141"/>
        <v>-0.387275698883291</v>
      </c>
      <c r="W14" s="528">
        <f>IF(M14="","",IF(Q14-$Q$8&lt;0,360+Q14-$Q$8,Q14-$Q$8))</f>
        <v>359.43076880599</v>
      </c>
      <c r="X14" s="572">
        <f t="shared" si="105"/>
        <v>4.0340922214204733</v>
      </c>
      <c r="Y14" s="573">
        <f t="shared" si="17"/>
        <v>-0.387275698883291</v>
      </c>
      <c r="Z14" s="575">
        <f t="shared" si="18"/>
        <v>0.9451157257678009</v>
      </c>
      <c r="AA14" s="572">
        <f t="shared" si="19"/>
        <v>-0.18593768732828911</v>
      </c>
      <c r="AB14" s="572">
        <f t="shared" si="20"/>
        <v>-0.26866976260348052</v>
      </c>
      <c r="AC14" s="579">
        <f t="shared" si="106"/>
        <v>1</v>
      </c>
      <c r="AD14" s="580">
        <f>IF(M14="","",Z14*(1/SQRT(Z14^2+AA14^2+AB14^2)))</f>
        <v>0.9451157257678009</v>
      </c>
      <c r="AE14" s="572">
        <f t="shared" si="107"/>
        <v>-0.18593768732828911</v>
      </c>
      <c r="AF14" s="576">
        <f t="shared" si="108"/>
        <v>-0.26866976260348052</v>
      </c>
      <c r="AG14" s="545">
        <f t="shared" si="109"/>
        <v>-34.685860385829443</v>
      </c>
      <c r="AH14" s="546">
        <f t="shared" si="110"/>
        <v>19.07076944118171</v>
      </c>
      <c r="AI14" s="528">
        <f t="shared" si="111"/>
        <v>-74.414874695223517</v>
      </c>
      <c r="AJ14" s="529">
        <f t="shared" si="112"/>
        <v>78.870035501738286</v>
      </c>
      <c r="AK14" s="578">
        <f>IF(M14="","",(COS(RADIANS((90-$Q$8)-W14))*AD14)+(-SIN(RADIANS((90-$Q$8)-W14))*AE14))</f>
        <v>0.94822311405208382</v>
      </c>
      <c r="AL14" s="572">
        <f t="shared" si="113"/>
        <v>-0.16937970551385015</v>
      </c>
      <c r="AM14" s="577">
        <f t="shared" si="114"/>
        <v>-0.26866976260348052</v>
      </c>
      <c r="AN14" s="524">
        <f t="shared" si="115"/>
        <v>-32.228901208944677</v>
      </c>
      <c r="AO14" s="525">
        <f t="shared" si="116"/>
        <v>18.518146153032774</v>
      </c>
      <c r="AP14" s="528">
        <f>IF(M14="","",DEGREES(ATAN2(AK14,AL14)))</f>
        <v>-10.127842458380719</v>
      </c>
      <c r="AQ14" s="529">
        <f t="shared" si="21"/>
        <v>1.1300837346607742</v>
      </c>
      <c r="AS14" s="932">
        <f t="shared" si="143"/>
        <v>359.43076880599</v>
      </c>
      <c r="AT14" s="928">
        <f>IF(M14="","",Y14+(((AS14-$AS$9)*$AS$6)*-1))</f>
        <v>-0.39020968085516239</v>
      </c>
      <c r="AU14" s="418"/>
      <c r="AV14" s="164" t="str">
        <f t="shared" si="23"/>
        <v/>
      </c>
      <c r="AW14" s="829" t="str">
        <f>IFERROR(INDEX(MassProp!C$9:C$150,MATCH($M14,MassProp!$B$9:$B$150,0)),"")</f>
        <v/>
      </c>
      <c r="AX14" s="830" t="str">
        <f>IFERROR(INDEX(MassProp!D$9:D$150,MATCH($M14,MassProp!$B$9:$B$150,0)),"")</f>
        <v/>
      </c>
      <c r="AY14" s="831" t="str">
        <f>IFERROR(INDEX(MassProp!E$9:E$150,MATCH($M14,MassProp!$B$9:$B$150,0)),"")</f>
        <v/>
      </c>
      <c r="AZ14" s="297" t="str">
        <f t="shared" si="144"/>
        <v/>
      </c>
      <c r="BA14" s="296" t="str">
        <f t="shared" si="24"/>
        <v/>
      </c>
      <c r="BB14" s="291" t="str">
        <f>IF(ISNUMBER($AV14),$AX14-($AT14+$AS$5),"")</f>
        <v/>
      </c>
      <c r="BC14" s="9"/>
      <c r="BD14" s="5" t="str">
        <f t="shared" si="146"/>
        <v/>
      </c>
      <c r="BE14" s="6" t="str">
        <f>IF(ISNUMBER(AV14),Y14+BB14,"")</f>
        <v/>
      </c>
      <c r="BF14" s="4" t="str">
        <f t="shared" si="26"/>
        <v/>
      </c>
      <c r="BG14" s="5" t="str">
        <f t="shared" si="27"/>
        <v/>
      </c>
      <c r="BH14" s="10" t="str">
        <f t="shared" si="28"/>
        <v/>
      </c>
      <c r="BI14" s="9" t="str">
        <f t="shared" si="147"/>
        <v/>
      </c>
      <c r="BJ14" s="5" t="str">
        <f t="shared" si="29"/>
        <v/>
      </c>
      <c r="BK14" s="8" t="str">
        <f t="shared" si="30"/>
        <v/>
      </c>
      <c r="BL14" s="173" t="str">
        <f t="shared" si="31"/>
        <v/>
      </c>
      <c r="BM14" s="5" t="str">
        <f t="shared" si="32"/>
        <v/>
      </c>
      <c r="BN14" s="6" t="str">
        <f t="shared" si="33"/>
        <v/>
      </c>
      <c r="BO14" s="4" t="str">
        <f t="shared" si="148"/>
        <v/>
      </c>
      <c r="BP14" s="5" t="str">
        <f t="shared" si="239"/>
        <v/>
      </c>
      <c r="BQ14" s="5" t="str">
        <f t="shared" si="149"/>
        <v/>
      </c>
      <c r="BR14" s="6" t="str">
        <f t="shared" si="150"/>
        <v/>
      </c>
      <c r="BS14" s="4" t="str">
        <f t="shared" si="118"/>
        <v/>
      </c>
      <c r="BT14" s="5" t="str">
        <f t="shared" si="118"/>
        <v/>
      </c>
      <c r="BU14" s="10" t="str">
        <f t="shared" si="119"/>
        <v/>
      </c>
      <c r="BV14" s="9" t="str">
        <f t="shared" si="120"/>
        <v/>
      </c>
      <c r="BW14" s="5" t="str">
        <f t="shared" si="121"/>
        <v/>
      </c>
      <c r="BX14" s="8" t="str">
        <f t="shared" si="122"/>
        <v/>
      </c>
      <c r="BY14" s="173" t="str">
        <f t="shared" si="123"/>
        <v/>
      </c>
      <c r="BZ14" s="5" t="str">
        <f t="shared" si="124"/>
        <v/>
      </c>
      <c r="CA14" s="6" t="str">
        <f t="shared" si="125"/>
        <v/>
      </c>
      <c r="CB14" s="4" t="str">
        <f t="shared" si="151"/>
        <v/>
      </c>
      <c r="CC14" s="5" t="str">
        <f t="shared" si="152"/>
        <v/>
      </c>
      <c r="CD14" s="5" t="str">
        <f t="shared" si="153"/>
        <v/>
      </c>
      <c r="CE14" s="6" t="str">
        <f t="shared" si="154"/>
        <v/>
      </c>
      <c r="CF14" s="4" t="str">
        <f t="shared" si="155"/>
        <v/>
      </c>
      <c r="CG14" s="5" t="str">
        <f t="shared" si="156"/>
        <v/>
      </c>
      <c r="CH14" s="5" t="str">
        <f t="shared" si="157"/>
        <v/>
      </c>
      <c r="CI14" s="4" t="str">
        <f t="shared" si="126"/>
        <v/>
      </c>
      <c r="CJ14" s="5" t="str">
        <f t="shared" si="127"/>
        <v/>
      </c>
      <c r="CK14" s="8" t="str">
        <f t="shared" si="128"/>
        <v/>
      </c>
      <c r="CL14" s="173" t="str">
        <f t="shared" si="129"/>
        <v/>
      </c>
      <c r="CM14" s="5" t="str">
        <f t="shared" si="130"/>
        <v/>
      </c>
      <c r="CN14" s="6" t="str">
        <f t="shared" si="131"/>
        <v/>
      </c>
      <c r="CO14" s="167" t="str">
        <f t="shared" si="35"/>
        <v/>
      </c>
      <c r="CP14" s="4" t="str">
        <f t="shared" si="240"/>
        <v/>
      </c>
      <c r="CQ14" s="5" t="str">
        <f t="shared" si="241"/>
        <v/>
      </c>
      <c r="CR14" s="5" t="str">
        <f t="shared" si="158"/>
        <v/>
      </c>
      <c r="CS14" s="8" t="str">
        <f t="shared" si="159"/>
        <v/>
      </c>
      <c r="CT14" s="9" t="str">
        <f t="shared" si="160"/>
        <v/>
      </c>
      <c r="CU14" s="6" t="str">
        <f t="shared" si="161"/>
        <v/>
      </c>
      <c r="CV14" s="4" t="str">
        <f>IF(ISNUMBER($AV14),CI14+($CT14*(CL14-CI14)),"")</f>
        <v/>
      </c>
      <c r="CW14" s="5" t="str">
        <f t="shared" si="162"/>
        <v/>
      </c>
      <c r="CX14" s="8" t="str">
        <f t="shared" si="163"/>
        <v/>
      </c>
      <c r="CY14" s="9" t="str">
        <f t="shared" si="164"/>
        <v/>
      </c>
      <c r="CZ14" s="5" t="str">
        <f t="shared" si="165"/>
        <v/>
      </c>
      <c r="DA14" s="6" t="str">
        <f t="shared" si="166"/>
        <v/>
      </c>
      <c r="DB14" s="4" t="str">
        <f t="shared" si="167"/>
        <v/>
      </c>
      <c r="DC14" s="5" t="str">
        <f t="shared" si="167"/>
        <v/>
      </c>
      <c r="DD14" s="10" t="str">
        <f t="shared" si="168"/>
        <v/>
      </c>
      <c r="DE14" s="9" t="str">
        <f t="shared" si="169"/>
        <v/>
      </c>
      <c r="DF14" s="5" t="str">
        <f t="shared" si="169"/>
        <v/>
      </c>
      <c r="DG14" s="10" t="str">
        <f t="shared" si="170"/>
        <v/>
      </c>
      <c r="DH14" s="70" t="str">
        <f t="shared" si="171"/>
        <v/>
      </c>
      <c r="DI14" s="4" t="str">
        <f t="shared" si="172"/>
        <v/>
      </c>
      <c r="DJ14" s="5" t="str">
        <f t="shared" si="173"/>
        <v/>
      </c>
      <c r="DK14" s="10" t="str">
        <f t="shared" si="174"/>
        <v/>
      </c>
      <c r="DL14" s="9" t="str">
        <f t="shared" si="175"/>
        <v/>
      </c>
      <c r="DM14" s="173" t="str">
        <f t="shared" si="176"/>
        <v/>
      </c>
      <c r="DN14" s="178" t="str">
        <f t="shared" si="177"/>
        <v/>
      </c>
      <c r="DO14" s="9" t="str">
        <f t="shared" si="178"/>
        <v/>
      </c>
      <c r="DP14" s="173" t="str">
        <f t="shared" si="179"/>
        <v/>
      </c>
      <c r="DQ14" s="11" t="str">
        <f t="shared" si="180"/>
        <v/>
      </c>
      <c r="DR14" s="173" t="str">
        <f t="shared" si="181"/>
        <v/>
      </c>
      <c r="DS14" s="5" t="str">
        <f t="shared" si="182"/>
        <v/>
      </c>
      <c r="DT14" s="5" t="str">
        <f t="shared" si="183"/>
        <v/>
      </c>
      <c r="DU14" s="5" t="str">
        <f t="shared" si="184"/>
        <v/>
      </c>
      <c r="DV14" s="5" t="str">
        <f t="shared" si="185"/>
        <v/>
      </c>
      <c r="DW14" s="5" t="str">
        <f t="shared" si="186"/>
        <v/>
      </c>
      <c r="DX14" s="167" t="str">
        <f t="shared" si="187"/>
        <v/>
      </c>
      <c r="DY14" s="9" t="str">
        <f t="shared" si="188"/>
        <v/>
      </c>
      <c r="DZ14" s="5" t="str">
        <f t="shared" si="189"/>
        <v/>
      </c>
      <c r="EA14" s="10" t="str">
        <f t="shared" si="190"/>
        <v/>
      </c>
      <c r="EB14" s="6" t="str">
        <f t="shared" si="191"/>
        <v/>
      </c>
      <c r="EC14" s="173" t="str">
        <f t="shared" si="192"/>
        <v/>
      </c>
      <c r="ED14" s="5" t="str">
        <f t="shared" si="193"/>
        <v/>
      </c>
      <c r="EE14" s="4" t="str">
        <f t="shared" si="194"/>
        <v/>
      </c>
      <c r="EF14" s="5" t="str">
        <f t="shared" si="195"/>
        <v/>
      </c>
      <c r="EG14" s="10" t="str">
        <f t="shared" si="196"/>
        <v/>
      </c>
      <c r="EH14" s="9" t="str">
        <f t="shared" si="197"/>
        <v/>
      </c>
      <c r="EI14" s="5" t="str">
        <f t="shared" si="198"/>
        <v/>
      </c>
      <c r="EJ14" s="6" t="str">
        <f t="shared" si="199"/>
        <v/>
      </c>
      <c r="EK14" s="236" t="str">
        <f t="shared" si="200"/>
        <v/>
      </c>
      <c r="EL14" s="238" t="str">
        <f t="shared" si="201"/>
        <v/>
      </c>
      <c r="EM14" s="4" t="str">
        <f t="shared" si="202"/>
        <v/>
      </c>
      <c r="EN14" s="5" t="str">
        <f t="shared" si="203"/>
        <v/>
      </c>
      <c r="EO14" s="10" t="str">
        <f t="shared" si="204"/>
        <v/>
      </c>
      <c r="EP14" s="9" t="str">
        <f>IF(ISNUMBER($AV14),IF(DEGREES(ATAN2(EM14,EN14))&lt;0,DEGREES(ATAN2(EM14,EN14))+360,IF(DEGREES(ATAN2(EM14,EN14))&gt;360,DEGREES(ATAN2(EM14,EN14))-360,DEGREES(ATAN2(EM14,EN14)))),"")</f>
        <v/>
      </c>
      <c r="EQ14" s="5" t="str">
        <f t="shared" si="206"/>
        <v/>
      </c>
      <c r="ER14" s="7" t="str">
        <f t="shared" si="207"/>
        <v/>
      </c>
      <c r="ES14" s="21" t="str">
        <f>IF(ISNUMBER($AV14),AD14,"")</f>
        <v/>
      </c>
      <c r="ET14" s="5" t="str">
        <f t="shared" si="44"/>
        <v/>
      </c>
      <c r="EU14" s="10" t="str">
        <f t="shared" si="45"/>
        <v/>
      </c>
      <c r="EV14" s="174" t="str">
        <f t="shared" si="46"/>
        <v/>
      </c>
      <c r="EW14" s="9" t="str">
        <f>IF(ISNUMBER($AV14),(COS(RADIANS($EV14))*ES14)+(-SIN(RADIANS($EV14))*ET14),"")</f>
        <v/>
      </c>
      <c r="EX14" s="5" t="str">
        <f t="shared" si="47"/>
        <v/>
      </c>
      <c r="EY14" s="6" t="str">
        <f t="shared" si="208"/>
        <v/>
      </c>
      <c r="EZ14" s="51" t="str">
        <f>IF(ISNUMBER($AV14),DEGREES(ATAN($AS$5/($EQ14*2*PI()))),"")</f>
        <v/>
      </c>
      <c r="FA14" s="266" t="str">
        <f>IF(ISNUMBER($AV14),SIN(RADIANS($EP14))*COS(RADIANS($EZ14)),"")</f>
        <v/>
      </c>
      <c r="FB14" s="267" t="str">
        <f>IF(ISNUMBER($AV14),-1*COS(RADIANS($EP14))*COS(RADIANS($EZ14)),"")</f>
        <v/>
      </c>
      <c r="FC14" s="269" t="str">
        <f>IF(ISNUMBER($AV14),-1*SIN(RADIANS($EZ14)),"")</f>
        <v/>
      </c>
      <c r="FD14" s="4" t="str">
        <f>IF(ISNUMBER($AV14),(COS(RADIANS($EV14))*FA14)+(-SIN(RADIANS($EV14))*FB14),"")</f>
        <v/>
      </c>
      <c r="FE14" s="5" t="str">
        <f t="shared" si="49"/>
        <v/>
      </c>
      <c r="FF14" s="7" t="str">
        <f t="shared" si="210"/>
        <v/>
      </c>
      <c r="FG14" s="173" t="str">
        <f>IF(ISNUMBER($AV14),EW14-FD14,"")</f>
        <v/>
      </c>
      <c r="FH14" s="5" t="str">
        <f>IF(ISNUMBER($AV14),EX14-FE14,"")</f>
        <v/>
      </c>
      <c r="FI14" s="10" t="str">
        <f>IF(ISNUMBER($AV14),EY14-FF14,"")</f>
        <v/>
      </c>
      <c r="FJ14" s="967" t="str">
        <f>IF(ISNUMBER($AV14),DEGREES(ACOS((2-SQRT((FG14)^2+(FH14)^2+(FI14)^2)^2)/2)),"")</f>
        <v/>
      </c>
      <c r="FK14" s="4" t="str">
        <f t="shared" si="52"/>
        <v/>
      </c>
      <c r="FL14" s="5" t="str">
        <f t="shared" si="213"/>
        <v/>
      </c>
      <c r="FM14" s="8" t="str">
        <f t="shared" si="214"/>
        <v/>
      </c>
      <c r="FN14" s="9" t="str">
        <f>IF(ISNUMBER($AV14),DEGREES(ACOS((FK14^2+FL14^2-FM14^2)/(2*FK14*FL14))),"")</f>
        <v/>
      </c>
      <c r="FO14" s="10" t="str">
        <f t="shared" si="53"/>
        <v/>
      </c>
      <c r="FP14" s="277" t="str">
        <f>IF(ISNUMBER($AV14),FN14*FO14,"")</f>
        <v/>
      </c>
      <c r="FQ14" s="173" t="str">
        <f t="shared" si="243"/>
        <v/>
      </c>
      <c r="FR14" s="10" t="str">
        <f t="shared" si="216"/>
        <v/>
      </c>
      <c r="FS14" s="9" t="str">
        <f t="shared" si="217"/>
        <v/>
      </c>
      <c r="FT14" s="6" t="str">
        <f t="shared" si="218"/>
        <v/>
      </c>
      <c r="FU14" s="4" t="str">
        <f t="shared" si="219"/>
        <v/>
      </c>
      <c r="FV14" s="5" t="str">
        <f t="shared" si="220"/>
        <v/>
      </c>
      <c r="FW14" s="8" t="str">
        <f t="shared" si="244"/>
        <v/>
      </c>
      <c r="FX14" s="9" t="str">
        <f t="shared" si="245"/>
        <v/>
      </c>
      <c r="FY14" s="10" t="str">
        <f t="shared" si="55"/>
        <v/>
      </c>
      <c r="FZ14" s="277" t="str">
        <f t="shared" si="246"/>
        <v/>
      </c>
      <c r="GA14" s="177" t="str">
        <f t="shared" si="221"/>
        <v/>
      </c>
      <c r="GB14" s="4" t="str">
        <f>IF(ISNUMBER($AV14),COS(RADIANS(FP14+90))*COS(RADIANS(FZ14)),"")</f>
        <v/>
      </c>
      <c r="GC14" s="5" t="str">
        <f t="shared" si="223"/>
        <v/>
      </c>
      <c r="GD14" s="10" t="str">
        <f t="shared" si="224"/>
        <v/>
      </c>
      <c r="GE14" s="311" t="str">
        <f t="shared" si="225"/>
        <v/>
      </c>
      <c r="GF14" s="341" t="str">
        <f>IF(ISNUMBER($AV14),1/GE14,"")</f>
        <v/>
      </c>
      <c r="GG14" s="285" t="str">
        <f>IF(ISNUMBER($AV14),ABS(GB14)/(ABS($GB14)+ABS($GC14)+ABS($GD14)),"")</f>
        <v/>
      </c>
      <c r="GH14" s="286" t="str">
        <f>IF(ISNUMBER($AV14),ABS(GC14)/(ABS($GB14)+ABS($GC14)+ABS($GD14)),"")</f>
        <v/>
      </c>
      <c r="GI14" s="281" t="str">
        <f t="shared" si="58"/>
        <v/>
      </c>
      <c r="GJ14" s="167" t="str">
        <f t="shared" si="226"/>
        <v/>
      </c>
      <c r="GK14" s="174" t="str">
        <f t="shared" si="59"/>
        <v/>
      </c>
      <c r="GL14" s="174" t="str">
        <f t="shared" si="227"/>
        <v/>
      </c>
      <c r="GM14" s="177" t="str">
        <f t="shared" si="248"/>
        <v/>
      </c>
      <c r="GN14" s="280" t="str">
        <f t="shared" si="228"/>
        <v/>
      </c>
      <c r="GO14" s="4" t="str">
        <f t="shared" si="229"/>
        <v/>
      </c>
      <c r="GP14" s="8" t="str">
        <f t="shared" si="249"/>
        <v/>
      </c>
      <c r="GQ14" s="177" t="str">
        <f t="shared" si="230"/>
        <v/>
      </c>
      <c r="GR14" s="371" t="str">
        <f t="shared" si="250"/>
        <v/>
      </c>
      <c r="GS14" s="342" t="str">
        <f>IF(ISNUMBER($AV14),GU14/GH14*GG14,"")</f>
        <v/>
      </c>
      <c r="GT14" s="343" t="str">
        <f t="shared" si="62"/>
        <v/>
      </c>
      <c r="GU14" s="344" t="str">
        <f t="shared" si="63"/>
        <v/>
      </c>
      <c r="GV14" s="343" t="str">
        <f t="shared" ref="GV14:GV74" si="252">IF(ISNUMBER($AV14),GW14*$GL14,"")</f>
        <v/>
      </c>
      <c r="GW14" s="345" t="str">
        <f t="shared" si="64"/>
        <v/>
      </c>
      <c r="GX14" s="346" t="str">
        <f t="shared" si="65"/>
        <v/>
      </c>
      <c r="GY14" s="344" t="str">
        <f t="shared" si="66"/>
        <v/>
      </c>
      <c r="GZ14" s="345" t="str">
        <f t="shared" si="67"/>
        <v/>
      </c>
      <c r="HA14" s="342" t="str">
        <f t="shared" si="68"/>
        <v/>
      </c>
      <c r="HB14" s="5" t="str">
        <f t="shared" si="231"/>
        <v/>
      </c>
      <c r="HC14" s="343" t="str">
        <f t="shared" si="232"/>
        <v/>
      </c>
      <c r="HD14" s="345" t="str">
        <f t="shared" si="233"/>
        <v/>
      </c>
      <c r="HE14" s="344" t="str">
        <f t="shared" si="69"/>
        <v/>
      </c>
      <c r="HF14" s="5" t="str">
        <f t="shared" si="70"/>
        <v/>
      </c>
      <c r="HG14" s="343" t="str">
        <f t="shared" si="234"/>
        <v/>
      </c>
      <c r="HH14" s="349" t="str">
        <f t="shared" si="235"/>
        <v/>
      </c>
      <c r="HI14" s="317" t="str">
        <f t="shared" si="71"/>
        <v/>
      </c>
      <c r="HJ14" s="336"/>
      <c r="HK14" s="310" t="str">
        <f t="shared" si="137"/>
        <v/>
      </c>
      <c r="HL14" s="348" t="str">
        <f t="shared" si="72"/>
        <v/>
      </c>
      <c r="HM14" s="909" t="str">
        <f t="shared" si="138"/>
        <v/>
      </c>
      <c r="HN14" s="910" t="str">
        <f t="shared" si="73"/>
        <v/>
      </c>
      <c r="HO14" s="911"/>
      <c r="HP14" s="912"/>
      <c r="HQ14" s="910" t="str">
        <f t="shared" si="74"/>
        <v/>
      </c>
      <c r="HR14" s="913" t="str">
        <f t="shared" si="75"/>
        <v/>
      </c>
      <c r="HS14" s="865" t="str">
        <f t="shared" si="251"/>
        <v/>
      </c>
      <c r="HT14" s="875" t="str">
        <f t="shared" si="76"/>
        <v/>
      </c>
      <c r="HU14" s="876" t="str">
        <f t="shared" si="77"/>
        <v/>
      </c>
      <c r="HV14" s="872" t="str">
        <f t="shared" si="78"/>
        <v/>
      </c>
      <c r="HW14" s="866" t="str">
        <f t="shared" si="79"/>
        <v/>
      </c>
      <c r="HX14" s="867" t="str">
        <f t="shared" si="80"/>
        <v/>
      </c>
      <c r="HY14" s="866" t="str">
        <f t="shared" si="81"/>
        <v/>
      </c>
      <c r="HZ14" s="868" t="str">
        <f t="shared" si="82"/>
        <v/>
      </c>
      <c r="IA14" s="869" t="str">
        <f t="shared" si="83"/>
        <v/>
      </c>
      <c r="IB14" s="870" t="str">
        <f t="shared" si="84"/>
        <v/>
      </c>
      <c r="IC14" s="841" t="str">
        <f t="shared" si="85"/>
        <v/>
      </c>
      <c r="ID14" s="351" t="str">
        <f t="shared" si="86"/>
        <v/>
      </c>
      <c r="IE14" s="843" t="str">
        <f t="shared" si="87"/>
        <v/>
      </c>
      <c r="IF14" s="844"/>
      <c r="IG14" s="790" t="str">
        <f>IFERROR(IF($IW14="","",IF($IW14&lt;(((Settings!$C$19/2)*-1)*$IG$8),"Taper","Nose")),"")</f>
        <v/>
      </c>
      <c r="IH14" s="482" t="str">
        <f>IFERROR(IF((((($IY14*COS(RADIANS(180-$JA14)))*COS(RADIANS($JA14)))-(($IZ14*SIN(RADIANS(180-$JA14)))*SIN(RADIANS($JA14))))+$IW14)&lt;(((Settings!$C$19+$IH$8)/2)*-1),"Gage",""),"")</f>
        <v/>
      </c>
      <c r="II14" s="788">
        <f t="shared" si="236"/>
        <v>1.123</v>
      </c>
      <c r="IJ14" s="674" t="str" cm="1">
        <f t="array" ref="IJ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K14" s="677" t="str" cm="1">
        <f t="array" ref="IK14">IFERROR(ROUND(VALUE(IF($IJ14&lt;1,$IJ14+LARGE((IF($M$9:$M$150="",0,$M$9:$M$150)-MOD(IF($M$9:$M$150="",0,$M$9:$M$150),1)),1),$IJ14)),4),"")</f>
        <v/>
      </c>
      <c r="IL14" s="482">
        <f t="shared" si="88"/>
        <v>1613</v>
      </c>
      <c r="IM14" s="482" t="str">
        <f t="shared" si="237"/>
        <v/>
      </c>
      <c r="IN14" s="670" t="str">
        <f t="shared" si="90"/>
        <v/>
      </c>
      <c r="IO14" s="702"/>
      <c r="IP14" s="5" t="str">
        <f t="shared" si="91"/>
        <v/>
      </c>
      <c r="IQ14" s="714"/>
      <c r="IR14" s="9" t="str">
        <f t="shared" si="139"/>
        <v/>
      </c>
      <c r="IS14" s="5" t="str">
        <f t="shared" si="92"/>
        <v/>
      </c>
      <c r="IT14" s="5" t="str">
        <f t="shared" si="93"/>
        <v/>
      </c>
      <c r="IU14" s="5" t="str">
        <f t="shared" si="94"/>
        <v/>
      </c>
      <c r="IV14" s="670" t="str">
        <f t="shared" si="95"/>
        <v/>
      </c>
      <c r="IW14" s="9" t="str">
        <f t="shared" si="96"/>
        <v/>
      </c>
      <c r="IX14" s="5" t="str">
        <f t="shared" si="97"/>
        <v/>
      </c>
      <c r="IY14" s="5" t="str">
        <f t="shared" si="98"/>
        <v/>
      </c>
      <c r="IZ14" s="5" t="str">
        <f t="shared" si="99"/>
        <v/>
      </c>
      <c r="JA14" s="705" t="str">
        <f t="shared" si="100"/>
        <v/>
      </c>
      <c r="JC14" s="732"/>
      <c r="JD14" s="729" t="str" cm="1">
        <f t="array" ref="JD14">IF($JC14="","",COUNT(IF(IF($IK$9:$IK$150="",$IL$9:$IL$150,"")=$JC14,$II$9:$II$150,"")))</f>
        <v/>
      </c>
      <c r="JE14" s="175"/>
      <c r="JF14" s="175"/>
      <c r="JG14" s="665"/>
      <c r="JH14" s="162"/>
      <c r="JI14" s="162"/>
    </row>
    <row r="15" spans="1:285" ht="15" customHeight="1" x14ac:dyDescent="0.25">
      <c r="A15" s="75">
        <f t="shared" si="1"/>
        <v>0.02</v>
      </c>
      <c r="B15" s="578">
        <f t="shared" si="2"/>
        <v>0.1362734339743896</v>
      </c>
      <c r="C15" s="572">
        <f t="shared" si="3"/>
        <v>4.5971335030292799</v>
      </c>
      <c r="D15" s="576">
        <f t="shared" si="4"/>
        <v>-0.90492359121278754</v>
      </c>
      <c r="E15" s="580">
        <f t="shared" si="5"/>
        <v>-0.91482010490391252</v>
      </c>
      <c r="F15" s="572">
        <f t="shared" si="6"/>
        <v>0.32414112389035665</v>
      </c>
      <c r="G15" s="579">
        <f t="shared" si="7"/>
        <v>0.24090808925125587</v>
      </c>
      <c r="H15" s="580">
        <f t="shared" si="8"/>
        <v>0.3125</v>
      </c>
      <c r="I15" s="572">
        <f t="shared" si="9"/>
        <v>0.52</v>
      </c>
      <c r="J15" s="483">
        <f t="shared" si="10"/>
        <v>1.129</v>
      </c>
      <c r="K15" s="806">
        <f t="shared" si="11"/>
        <v>1613</v>
      </c>
      <c r="L15" s="814">
        <f>IF($L14=$JJ$22,$JJ$29,IF($L14=$JK$22,$JK$29,""))</f>
        <v>760</v>
      </c>
      <c r="M15" s="164">
        <f t="shared" si="12"/>
        <v>1.129</v>
      </c>
      <c r="N15" s="575">
        <f t="shared" si="13"/>
        <v>0.1362734339743896</v>
      </c>
      <c r="O15" s="572">
        <f t="shared" si="14"/>
        <v>4.5971335030292799</v>
      </c>
      <c r="P15" s="576">
        <f t="shared" si="15"/>
        <v>-0.90492359121278754</v>
      </c>
      <c r="Q15" s="528">
        <f t="shared" si="140"/>
        <v>88.302070876366017</v>
      </c>
      <c r="R15" s="572">
        <f t="shared" si="101"/>
        <v>4.599152845196758</v>
      </c>
      <c r="S15" s="577">
        <f t="shared" si="102"/>
        <v>-0.90492359121278754</v>
      </c>
      <c r="T15" s="578">
        <f t="shared" si="103"/>
        <v>4.5980318796284703</v>
      </c>
      <c r="U15" s="572">
        <f t="shared" si="104"/>
        <v>-0.1015368278099736</v>
      </c>
      <c r="V15" s="579">
        <f t="shared" si="141"/>
        <v>-0.90492359121278754</v>
      </c>
      <c r="W15" s="528">
        <f t="shared" ref="W15:W78" si="253">IF(M15="","",IF(Q15-$Q$8&lt;0,360+Q15-$Q$8,Q15-$Q$8))</f>
        <v>358.73496172223702</v>
      </c>
      <c r="X15" s="572">
        <f>IF(M15="","",R15)</f>
        <v>4.599152845196758</v>
      </c>
      <c r="Y15" s="573">
        <f t="shared" si="17"/>
        <v>-0.90492359121278754</v>
      </c>
      <c r="Z15" s="575">
        <f t="shared" si="18"/>
        <v>0.91482010490391252</v>
      </c>
      <c r="AA15" s="572">
        <f t="shared" si="19"/>
        <v>-0.32414112389035665</v>
      </c>
      <c r="AB15" s="572">
        <f t="shared" si="20"/>
        <v>-0.24090808925125587</v>
      </c>
      <c r="AC15" s="579">
        <f t="shared" si="106"/>
        <v>1</v>
      </c>
      <c r="AD15" s="580">
        <f t="shared" si="142"/>
        <v>0.91482010490391252</v>
      </c>
      <c r="AE15" s="572">
        <f t="shared" si="107"/>
        <v>-0.32414112389035665</v>
      </c>
      <c r="AF15" s="576">
        <f t="shared" si="108"/>
        <v>-0.24090808925125587</v>
      </c>
      <c r="AG15" s="545">
        <f t="shared" si="109"/>
        <v>-53.379539118739778</v>
      </c>
      <c r="AH15" s="546">
        <f t="shared" si="110"/>
        <v>23.819807529347141</v>
      </c>
      <c r="AI15" s="528">
        <f t="shared" si="111"/>
        <v>-76.059857288774083</v>
      </c>
      <c r="AJ15" s="529">
        <f t="shared" si="112"/>
        <v>70.489630810408201</v>
      </c>
      <c r="AK15" s="578">
        <f t="shared" si="238"/>
        <v>0.92402277562523238</v>
      </c>
      <c r="AL15" s="572">
        <f t="shared" si="113"/>
        <v>-0.29689257764240329</v>
      </c>
      <c r="AM15" s="577">
        <f t="shared" si="114"/>
        <v>-0.24090808925125587</v>
      </c>
      <c r="AN15" s="524">
        <f>IF(M15="","",DEGREES(ATAN2(-AM15,AL15)))</f>
        <v>-50.943025181030578</v>
      </c>
      <c r="AO15" s="525">
        <f t="shared" si="116"/>
        <v>22.478543785706282</v>
      </c>
      <c r="AP15" s="528">
        <f t="shared" si="117"/>
        <v>-17.812440065957855</v>
      </c>
      <c r="AQ15" s="529">
        <f t="shared" si="21"/>
        <v>0.99126915198165444</v>
      </c>
      <c r="AS15" s="932">
        <f t="shared" si="143"/>
        <v>358.73496172223702</v>
      </c>
      <c r="AT15" s="928">
        <f t="shared" si="22"/>
        <v>-0.90689117445722423</v>
      </c>
      <c r="AU15" s="418"/>
      <c r="AV15" s="164" t="str">
        <f t="shared" si="23"/>
        <v/>
      </c>
      <c r="AW15" s="829" t="str">
        <f>IFERROR(INDEX(MassProp!C$9:C$150,MATCH($M15,MassProp!$B$9:$B$150,0)),"")</f>
        <v/>
      </c>
      <c r="AX15" s="830" t="str">
        <f>IFERROR(INDEX(MassProp!D$9:D$150,MATCH($M15,MassProp!$B$9:$B$150,0)),"")</f>
        <v/>
      </c>
      <c r="AY15" s="831" t="str">
        <f>IFERROR(INDEX(MassProp!E$9:E$150,MATCH($M15,MassProp!$B$9:$B$150,0)),"")</f>
        <v/>
      </c>
      <c r="AZ15" s="297" t="str">
        <f>IF(ISNUMBER(AV15),$AY15*SQRT((2*PI()*$AW15)^2+$AS$5^2),"")</f>
        <v/>
      </c>
      <c r="BA15" s="296" t="str">
        <f t="shared" si="24"/>
        <v/>
      </c>
      <c r="BB15" s="291" t="str">
        <f t="shared" si="145"/>
        <v/>
      </c>
      <c r="BC15" s="9"/>
      <c r="BD15" s="5" t="str">
        <f t="shared" si="146"/>
        <v/>
      </c>
      <c r="BE15" s="6" t="str">
        <f t="shared" si="25"/>
        <v/>
      </c>
      <c r="BF15" s="4" t="str">
        <f t="shared" si="26"/>
        <v/>
      </c>
      <c r="BG15" s="5" t="str">
        <f t="shared" si="27"/>
        <v/>
      </c>
      <c r="BH15" s="10" t="str">
        <f t="shared" si="28"/>
        <v/>
      </c>
      <c r="BI15" s="9" t="str">
        <f t="shared" si="147"/>
        <v/>
      </c>
      <c r="BJ15" s="5" t="str">
        <f t="shared" si="29"/>
        <v/>
      </c>
      <c r="BK15" s="8" t="str">
        <f t="shared" si="30"/>
        <v/>
      </c>
      <c r="BL15" s="173" t="str">
        <f t="shared" si="31"/>
        <v/>
      </c>
      <c r="BM15" s="5" t="str">
        <f t="shared" si="32"/>
        <v/>
      </c>
      <c r="BN15" s="6" t="str">
        <f t="shared" si="33"/>
        <v/>
      </c>
      <c r="BO15" s="4" t="str">
        <f t="shared" si="148"/>
        <v/>
      </c>
      <c r="BP15" s="5" t="str">
        <f t="shared" si="239"/>
        <v/>
      </c>
      <c r="BQ15" s="5" t="str">
        <f t="shared" si="149"/>
        <v/>
      </c>
      <c r="BR15" s="6" t="str">
        <f t="shared" si="150"/>
        <v/>
      </c>
      <c r="BS15" s="4" t="str">
        <f t="shared" si="118"/>
        <v/>
      </c>
      <c r="BT15" s="5" t="str">
        <f t="shared" si="118"/>
        <v/>
      </c>
      <c r="BU15" s="10" t="str">
        <f t="shared" si="119"/>
        <v/>
      </c>
      <c r="BV15" s="9" t="str">
        <f t="shared" si="120"/>
        <v/>
      </c>
      <c r="BW15" s="5" t="str">
        <f t="shared" si="121"/>
        <v/>
      </c>
      <c r="BX15" s="8" t="str">
        <f t="shared" si="122"/>
        <v/>
      </c>
      <c r="BY15" s="173" t="str">
        <f t="shared" si="123"/>
        <v/>
      </c>
      <c r="BZ15" s="5" t="str">
        <f t="shared" si="124"/>
        <v/>
      </c>
      <c r="CA15" s="6" t="str">
        <f t="shared" si="125"/>
        <v/>
      </c>
      <c r="CB15" s="4" t="str">
        <f t="shared" si="151"/>
        <v/>
      </c>
      <c r="CC15" s="5" t="str">
        <f t="shared" si="152"/>
        <v/>
      </c>
      <c r="CD15" s="5" t="str">
        <f t="shared" si="153"/>
        <v/>
      </c>
      <c r="CE15" s="6" t="str">
        <f t="shared" si="154"/>
        <v/>
      </c>
      <c r="CF15" s="4" t="str">
        <f t="shared" si="155"/>
        <v/>
      </c>
      <c r="CG15" s="5" t="str">
        <f t="shared" si="156"/>
        <v/>
      </c>
      <c r="CH15" s="5" t="str">
        <f t="shared" si="157"/>
        <v/>
      </c>
      <c r="CI15" s="4" t="str">
        <f t="shared" si="126"/>
        <v/>
      </c>
      <c r="CJ15" s="5" t="str">
        <f t="shared" si="127"/>
        <v/>
      </c>
      <c r="CK15" s="8" t="str">
        <f t="shared" si="128"/>
        <v/>
      </c>
      <c r="CL15" s="173" t="str">
        <f t="shared" si="129"/>
        <v/>
      </c>
      <c r="CM15" s="5" t="str">
        <f t="shared" si="130"/>
        <v/>
      </c>
      <c r="CN15" s="6" t="str">
        <f t="shared" si="131"/>
        <v/>
      </c>
      <c r="CO15" s="167" t="str">
        <f t="shared" si="35"/>
        <v/>
      </c>
      <c r="CP15" s="4" t="str">
        <f t="shared" si="240"/>
        <v/>
      </c>
      <c r="CQ15" s="5" t="str">
        <f t="shared" si="241"/>
        <v/>
      </c>
      <c r="CR15" s="5" t="str">
        <f t="shared" si="158"/>
        <v/>
      </c>
      <c r="CS15" s="8" t="str">
        <f t="shared" si="159"/>
        <v/>
      </c>
      <c r="CT15" s="9" t="str">
        <f t="shared" si="160"/>
        <v/>
      </c>
      <c r="CU15" s="6" t="str">
        <f t="shared" si="161"/>
        <v/>
      </c>
      <c r="CV15" s="4" t="str">
        <f t="shared" si="242"/>
        <v/>
      </c>
      <c r="CW15" s="5" t="str">
        <f t="shared" si="162"/>
        <v/>
      </c>
      <c r="CX15" s="8" t="str">
        <f t="shared" si="163"/>
        <v/>
      </c>
      <c r="CY15" s="9" t="str">
        <f t="shared" si="164"/>
        <v/>
      </c>
      <c r="CZ15" s="5" t="str">
        <f t="shared" si="165"/>
        <v/>
      </c>
      <c r="DA15" s="6" t="str">
        <f t="shared" si="166"/>
        <v/>
      </c>
      <c r="DB15" s="4" t="str">
        <f t="shared" si="167"/>
        <v/>
      </c>
      <c r="DC15" s="5" t="str">
        <f t="shared" si="167"/>
        <v/>
      </c>
      <c r="DD15" s="10" t="str">
        <f t="shared" si="168"/>
        <v/>
      </c>
      <c r="DE15" s="9" t="str">
        <f t="shared" si="169"/>
        <v/>
      </c>
      <c r="DF15" s="5" t="str">
        <f t="shared" si="169"/>
        <v/>
      </c>
      <c r="DG15" s="10" t="str">
        <f t="shared" si="170"/>
        <v/>
      </c>
      <c r="DH15" s="70" t="str">
        <f t="shared" si="171"/>
        <v/>
      </c>
      <c r="DI15" s="4" t="str">
        <f t="shared" si="172"/>
        <v/>
      </c>
      <c r="DJ15" s="5" t="str">
        <f t="shared" si="173"/>
        <v/>
      </c>
      <c r="DK15" s="10" t="str">
        <f t="shared" si="174"/>
        <v/>
      </c>
      <c r="DL15" s="9" t="str">
        <f t="shared" si="175"/>
        <v/>
      </c>
      <c r="DM15" s="173" t="str">
        <f t="shared" si="176"/>
        <v/>
      </c>
      <c r="DN15" s="178" t="str">
        <f t="shared" si="177"/>
        <v/>
      </c>
      <c r="DO15" s="9" t="str">
        <f t="shared" si="178"/>
        <v/>
      </c>
      <c r="DP15" s="173" t="str">
        <f t="shared" si="179"/>
        <v/>
      </c>
      <c r="DQ15" s="11" t="str">
        <f t="shared" si="180"/>
        <v/>
      </c>
      <c r="DR15" s="173" t="str">
        <f t="shared" si="181"/>
        <v/>
      </c>
      <c r="DS15" s="5" t="str">
        <f t="shared" si="182"/>
        <v/>
      </c>
      <c r="DT15" s="5" t="str">
        <f t="shared" si="183"/>
        <v/>
      </c>
      <c r="DU15" s="5" t="str">
        <f t="shared" si="184"/>
        <v/>
      </c>
      <c r="DV15" s="5" t="str">
        <f t="shared" si="185"/>
        <v/>
      </c>
      <c r="DW15" s="5" t="str">
        <f t="shared" si="186"/>
        <v/>
      </c>
      <c r="DX15" s="167" t="str">
        <f t="shared" si="187"/>
        <v/>
      </c>
      <c r="DY15" s="9" t="str">
        <f t="shared" si="188"/>
        <v/>
      </c>
      <c r="DZ15" s="5" t="str">
        <f t="shared" si="189"/>
        <v/>
      </c>
      <c r="EA15" s="10" t="str">
        <f t="shared" si="190"/>
        <v/>
      </c>
      <c r="EB15" s="6" t="str">
        <f t="shared" si="191"/>
        <v/>
      </c>
      <c r="EC15" s="173" t="str">
        <f t="shared" si="192"/>
        <v/>
      </c>
      <c r="ED15" s="5" t="str">
        <f t="shared" si="193"/>
        <v/>
      </c>
      <c r="EE15" s="4" t="str">
        <f t="shared" si="194"/>
        <v/>
      </c>
      <c r="EF15" s="5" t="str">
        <f t="shared" si="195"/>
        <v/>
      </c>
      <c r="EG15" s="10" t="str">
        <f t="shared" si="196"/>
        <v/>
      </c>
      <c r="EH15" s="9" t="str">
        <f t="shared" si="197"/>
        <v/>
      </c>
      <c r="EI15" s="5" t="str">
        <f t="shared" si="198"/>
        <v/>
      </c>
      <c r="EJ15" s="6" t="str">
        <f t="shared" si="199"/>
        <v/>
      </c>
      <c r="EK15" s="236" t="str">
        <f t="shared" si="200"/>
        <v/>
      </c>
      <c r="EL15" s="238" t="str">
        <f t="shared" si="201"/>
        <v/>
      </c>
      <c r="EM15" s="4" t="str">
        <f t="shared" si="202"/>
        <v/>
      </c>
      <c r="EN15" s="5" t="str">
        <f t="shared" si="203"/>
        <v/>
      </c>
      <c r="EO15" s="10" t="str">
        <f t="shared" si="204"/>
        <v/>
      </c>
      <c r="EP15" s="9" t="str">
        <f t="shared" si="205"/>
        <v/>
      </c>
      <c r="EQ15" s="5" t="str">
        <f t="shared" si="206"/>
        <v/>
      </c>
      <c r="ER15" s="7" t="str">
        <f t="shared" si="207"/>
        <v/>
      </c>
      <c r="ES15" s="21" t="str">
        <f t="shared" si="132"/>
        <v/>
      </c>
      <c r="ET15" s="5" t="str">
        <f t="shared" si="44"/>
        <v/>
      </c>
      <c r="EU15" s="10" t="str">
        <f t="shared" si="45"/>
        <v/>
      </c>
      <c r="EV15" s="174" t="str">
        <f t="shared" ref="EV15:EV40" si="254">IF(ISNUMBER($AV15),IF(($EV$1-EP15)&lt;0,(360+($EV$1-EP15)),($EV$1-EP15)),"")</f>
        <v/>
      </c>
      <c r="EW15" s="9" t="str">
        <f>IF(ISNUMBER($AV15),(COS(RADIANS($EV15))*ES15)+(-SIN(RADIANS($EV15))*ET15),"")</f>
        <v/>
      </c>
      <c r="EX15" s="5" t="str">
        <f t="shared" si="47"/>
        <v/>
      </c>
      <c r="EY15" s="6" t="str">
        <f t="shared" si="208"/>
        <v/>
      </c>
      <c r="EZ15" s="51" t="str">
        <f>IF(ISNUMBER($AV15),DEGREES(ATAN($AS$5/($EQ15*2*PI()))),"")</f>
        <v/>
      </c>
      <c r="FA15" s="266" t="str">
        <f t="shared" si="134"/>
        <v/>
      </c>
      <c r="FB15" s="267" t="str">
        <f t="shared" si="135"/>
        <v/>
      </c>
      <c r="FC15" s="269" t="str">
        <f t="shared" si="48"/>
        <v/>
      </c>
      <c r="FD15" s="4" t="str">
        <f t="shared" si="136"/>
        <v/>
      </c>
      <c r="FE15" s="5" t="str">
        <f t="shared" si="49"/>
        <v/>
      </c>
      <c r="FF15" s="7" t="str">
        <f t="shared" si="210"/>
        <v/>
      </c>
      <c r="FG15" s="173" t="str">
        <f t="shared" si="211"/>
        <v/>
      </c>
      <c r="FH15" s="5" t="str">
        <f t="shared" si="50"/>
        <v/>
      </c>
      <c r="FI15" s="10" t="str">
        <f t="shared" si="51"/>
        <v/>
      </c>
      <c r="FJ15" s="279" t="str">
        <f t="shared" si="212"/>
        <v/>
      </c>
      <c r="FK15" s="4" t="str">
        <f t="shared" si="52"/>
        <v/>
      </c>
      <c r="FL15" s="5" t="str">
        <f t="shared" si="213"/>
        <v/>
      </c>
      <c r="FM15" s="8" t="str">
        <f t="shared" si="214"/>
        <v/>
      </c>
      <c r="FN15" s="9" t="str">
        <f t="shared" si="215"/>
        <v/>
      </c>
      <c r="FO15" s="10" t="str">
        <f t="shared" si="53"/>
        <v/>
      </c>
      <c r="FP15" s="277" t="str">
        <f t="shared" si="54"/>
        <v/>
      </c>
      <c r="FQ15" s="173" t="str">
        <f>IF(ISNUMBER($AV15),SIN(RADIANS(FN15)),"")</f>
        <v/>
      </c>
      <c r="FR15" s="10" t="str">
        <f t="shared" si="216"/>
        <v/>
      </c>
      <c r="FS15" s="9" t="str">
        <f>IF(ISNUMBER($AV15),FQ15/(FQ15+FR15),"")</f>
        <v/>
      </c>
      <c r="FT15" s="6" t="str">
        <f t="shared" si="218"/>
        <v/>
      </c>
      <c r="FU15" s="4" t="str">
        <f t="shared" si="219"/>
        <v/>
      </c>
      <c r="FV15" s="5" t="str">
        <f t="shared" si="220"/>
        <v/>
      </c>
      <c r="FW15" s="8" t="str">
        <f t="shared" si="244"/>
        <v/>
      </c>
      <c r="FX15" s="9" t="str">
        <f t="shared" si="245"/>
        <v/>
      </c>
      <c r="FY15" s="10" t="str">
        <f t="shared" si="55"/>
        <v/>
      </c>
      <c r="FZ15" s="277" t="str">
        <f t="shared" si="246"/>
        <v/>
      </c>
      <c r="GA15" s="177" t="str">
        <f t="shared" si="221"/>
        <v/>
      </c>
      <c r="GB15" s="4" t="str">
        <f t="shared" si="222"/>
        <v/>
      </c>
      <c r="GC15" s="5" t="str">
        <f t="shared" si="223"/>
        <v/>
      </c>
      <c r="GD15" s="10" t="str">
        <f t="shared" si="224"/>
        <v/>
      </c>
      <c r="GE15" s="311" t="str">
        <f t="shared" si="225"/>
        <v/>
      </c>
      <c r="GF15" s="341" t="str">
        <f t="shared" si="247"/>
        <v/>
      </c>
      <c r="GG15" s="285" t="str">
        <f t="shared" si="56"/>
        <v/>
      </c>
      <c r="GH15" s="286" t="str">
        <f t="shared" si="57"/>
        <v/>
      </c>
      <c r="GI15" s="281" t="str">
        <f t="shared" si="58"/>
        <v/>
      </c>
      <c r="GJ15" s="167" t="str">
        <f t="shared" si="226"/>
        <v/>
      </c>
      <c r="GK15" s="174" t="str">
        <f t="shared" si="59"/>
        <v/>
      </c>
      <c r="GL15" s="174" t="str">
        <f t="shared" si="227"/>
        <v/>
      </c>
      <c r="GM15" s="177" t="str">
        <f t="shared" si="248"/>
        <v/>
      </c>
      <c r="GN15" s="280" t="str">
        <f t="shared" si="228"/>
        <v/>
      </c>
      <c r="GO15" s="4" t="str">
        <f t="shared" si="229"/>
        <v/>
      </c>
      <c r="GP15" s="8" t="str">
        <f t="shared" si="249"/>
        <v/>
      </c>
      <c r="GQ15" s="177" t="str">
        <f t="shared" si="230"/>
        <v/>
      </c>
      <c r="GR15" s="371" t="str">
        <f t="shared" si="250"/>
        <v/>
      </c>
      <c r="GS15" s="342" t="str">
        <f t="shared" si="61"/>
        <v/>
      </c>
      <c r="GT15" s="343" t="str">
        <f t="shared" si="62"/>
        <v/>
      </c>
      <c r="GU15" s="344" t="str">
        <f>IF(ISNUMBER($AV15),$GV15*$GK15,"")</f>
        <v/>
      </c>
      <c r="GV15" s="343" t="str">
        <f t="shared" si="252"/>
        <v/>
      </c>
      <c r="GW15" s="345" t="str">
        <f t="shared" si="64"/>
        <v/>
      </c>
      <c r="GX15" s="346" t="str">
        <f t="shared" si="65"/>
        <v/>
      </c>
      <c r="GY15" s="344" t="str">
        <f t="shared" si="66"/>
        <v/>
      </c>
      <c r="GZ15" s="345" t="str">
        <f t="shared" si="67"/>
        <v/>
      </c>
      <c r="HA15" s="342" t="str">
        <f t="shared" si="68"/>
        <v/>
      </c>
      <c r="HB15" s="5" t="str">
        <f t="shared" si="231"/>
        <v/>
      </c>
      <c r="HC15" s="343" t="str">
        <f t="shared" si="232"/>
        <v/>
      </c>
      <c r="HD15" s="345" t="str">
        <f t="shared" si="233"/>
        <v/>
      </c>
      <c r="HE15" s="344" t="str">
        <f t="shared" si="69"/>
        <v/>
      </c>
      <c r="HF15" s="5" t="str">
        <f t="shared" si="70"/>
        <v/>
      </c>
      <c r="HG15" s="343" t="str">
        <f t="shared" si="234"/>
        <v/>
      </c>
      <c r="HH15" s="349" t="str">
        <f t="shared" si="235"/>
        <v/>
      </c>
      <c r="HI15" s="317" t="str">
        <f t="shared" si="71"/>
        <v/>
      </c>
      <c r="HJ15" s="336"/>
      <c r="HK15" s="310" t="str">
        <f t="shared" si="137"/>
        <v/>
      </c>
      <c r="HL15" s="348" t="str">
        <f t="shared" si="72"/>
        <v/>
      </c>
      <c r="HM15" s="909" t="str">
        <f t="shared" si="138"/>
        <v/>
      </c>
      <c r="HN15" s="910" t="str">
        <f t="shared" si="73"/>
        <v/>
      </c>
      <c r="HO15" s="911"/>
      <c r="HP15" s="912"/>
      <c r="HQ15" s="910" t="str">
        <f t="shared" si="74"/>
        <v/>
      </c>
      <c r="HR15" s="913" t="str">
        <f t="shared" si="75"/>
        <v/>
      </c>
      <c r="HS15" s="865" t="str">
        <f t="shared" si="251"/>
        <v/>
      </c>
      <c r="HT15" s="875" t="str">
        <f t="shared" si="76"/>
        <v/>
      </c>
      <c r="HU15" s="876" t="str">
        <f t="shared" si="77"/>
        <v/>
      </c>
      <c r="HV15" s="872" t="str">
        <f t="shared" si="78"/>
        <v/>
      </c>
      <c r="HW15" s="866" t="str">
        <f t="shared" si="79"/>
        <v/>
      </c>
      <c r="HX15" s="867" t="str">
        <f t="shared" si="80"/>
        <v/>
      </c>
      <c r="HY15" s="866" t="str">
        <f t="shared" si="81"/>
        <v/>
      </c>
      <c r="HZ15" s="868" t="str">
        <f t="shared" si="82"/>
        <v/>
      </c>
      <c r="IA15" s="869" t="str">
        <f t="shared" si="83"/>
        <v/>
      </c>
      <c r="IB15" s="870" t="str">
        <f t="shared" si="84"/>
        <v/>
      </c>
      <c r="IC15" s="841" t="str">
        <f t="shared" si="85"/>
        <v/>
      </c>
      <c r="ID15" s="351" t="str">
        <f t="shared" si="86"/>
        <v/>
      </c>
      <c r="IE15" s="843" t="str">
        <f t="shared" si="87"/>
        <v/>
      </c>
      <c r="IF15" s="844"/>
      <c r="IG15" s="790" t="str">
        <f>IFERROR(IF($IW15="","",IF($IW15&lt;(((Settings!$C$19/2)*-1)*$IG$8),"Taper","Nose")),"")</f>
        <v/>
      </c>
      <c r="IH15" s="482" t="str">
        <f>IFERROR(IF((((($IY15*COS(RADIANS(180-$JA15)))*COS(RADIANS($JA15)))-(($IZ15*SIN(RADIANS(180-$JA15)))*SIN(RADIANS($JA15))))+$IW15)&lt;(((Settings!$C$19+$IH$8)/2)*-1),"Gage",""),"")</f>
        <v/>
      </c>
      <c r="II15" s="788">
        <f t="shared" si="236"/>
        <v>1.129</v>
      </c>
      <c r="IJ15" s="674" t="str" cm="1">
        <f t="array" ref="IJ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K15" s="677" t="str" cm="1">
        <f t="array" ref="IK15">IFERROR(ROUND(VALUE(IF($IJ15&lt;1,$IJ15+LARGE((IF($M$9:$M$150="",0,$M$9:$M$150)-MOD(IF($M$9:$M$150="",0,$M$9:$M$150),1)),1),$IJ15)),4),"")</f>
        <v/>
      </c>
      <c r="IL15" s="482">
        <f t="shared" si="88"/>
        <v>1613</v>
      </c>
      <c r="IM15" s="482" t="str">
        <f t="shared" si="237"/>
        <v/>
      </c>
      <c r="IN15" s="670" t="str">
        <f t="shared" si="90"/>
        <v/>
      </c>
      <c r="IO15" s="702"/>
      <c r="IP15" s="5" t="str">
        <f t="shared" si="91"/>
        <v/>
      </c>
      <c r="IQ15" s="714"/>
      <c r="IR15" s="9" t="str">
        <f t="shared" si="139"/>
        <v/>
      </c>
      <c r="IS15" s="5" t="str">
        <f t="shared" si="92"/>
        <v/>
      </c>
      <c r="IT15" s="5" t="str">
        <f t="shared" si="93"/>
        <v/>
      </c>
      <c r="IU15" s="5" t="str">
        <f t="shared" si="94"/>
        <v/>
      </c>
      <c r="IV15" s="670" t="str">
        <f t="shared" si="95"/>
        <v/>
      </c>
      <c r="IW15" s="9" t="str">
        <f t="shared" si="96"/>
        <v/>
      </c>
      <c r="IX15" s="5" t="str">
        <f t="shared" si="97"/>
        <v/>
      </c>
      <c r="IY15" s="5" t="str">
        <f t="shared" si="98"/>
        <v/>
      </c>
      <c r="IZ15" s="5" t="str">
        <f t="shared" si="99"/>
        <v/>
      </c>
      <c r="JA15" s="705" t="str">
        <f t="shared" si="100"/>
        <v/>
      </c>
      <c r="JC15" s="419" t="s">
        <v>380</v>
      </c>
      <c r="JD15" s="745" cm="1">
        <f t="array" ref="JD15">IF(AND(ISNUMBER(_xlfn.ANCHORARRAY($JC$9))=FALSE),"",SUM(COUNTIFS($IL$9:$IL$150,_xlfn.ANCHORARRAY($JC$9),$IK$9:$IK$150,"",$IL$9:$IL$150,IF(ISNUMBER(_xlfn.ANCHORARRAY($JC$9)),_xlfn.ANCHORARRAY($JC$9),""))))</f>
        <v>55</v>
      </c>
      <c r="JE15" s="31"/>
      <c r="JF15" s="219"/>
      <c r="JG15" s="219"/>
      <c r="JH15" s="219"/>
      <c r="JI15" s="219"/>
    </row>
    <row r="16" spans="1:285" ht="15" customHeight="1" x14ac:dyDescent="0.25">
      <c r="A16" s="75">
        <f t="shared" si="1"/>
        <v>0.02</v>
      </c>
      <c r="B16" s="578">
        <f t="shared" si="2"/>
        <v>0.18933483126253856</v>
      </c>
      <c r="C16" s="572">
        <f t="shared" si="3"/>
        <v>4.9393217428090388</v>
      </c>
      <c r="D16" s="576">
        <f t="shared" si="4"/>
        <v>-1.5894253922584844</v>
      </c>
      <c r="E16" s="580">
        <f t="shared" si="5"/>
        <v>-0.87861683332969831</v>
      </c>
      <c r="F16" s="572">
        <f t="shared" si="6"/>
        <v>0.45139956533975029</v>
      </c>
      <c r="G16" s="579">
        <f t="shared" si="7"/>
        <v>0.15579118267982281</v>
      </c>
      <c r="H16" s="580">
        <f t="shared" si="8"/>
        <v>0.3125</v>
      </c>
      <c r="I16" s="572">
        <f t="shared" si="9"/>
        <v>0.52</v>
      </c>
      <c r="J16" s="483">
        <f t="shared" si="10"/>
        <v>1.135</v>
      </c>
      <c r="K16" s="806">
        <f t="shared" si="11"/>
        <v>1613</v>
      </c>
      <c r="L16" s="309"/>
      <c r="M16" s="164">
        <f t="shared" si="12"/>
        <v>1.135</v>
      </c>
      <c r="N16" s="575">
        <f t="shared" si="13"/>
        <v>0.18933483126253856</v>
      </c>
      <c r="O16" s="572">
        <f t="shared" si="14"/>
        <v>4.9393217428090388</v>
      </c>
      <c r="P16" s="576">
        <f t="shared" si="15"/>
        <v>-1.5894253922584844</v>
      </c>
      <c r="Q16" s="528">
        <f>IF(M16="","",IF(DEGREES(ATAN2(N16,O16))&lt;0,DEGREES(ATAN2(N16,O16))+360,IF(DEGREES(ATAN2(N16,O16))&gt;360,DEGREES(ATAN2(N16,O16))-360,DEGREES(ATAN2(N16,O16)))))</f>
        <v>87.804804229412483</v>
      </c>
      <c r="R16" s="572">
        <f t="shared" si="101"/>
        <v>4.9429492165422184</v>
      </c>
      <c r="S16" s="577">
        <f t="shared" si="102"/>
        <v>-1.5894253922584844</v>
      </c>
      <c r="T16" s="578">
        <f t="shared" si="103"/>
        <v>4.94061124748717</v>
      </c>
      <c r="U16" s="572">
        <f t="shared" si="104"/>
        <v>-0.15201137628020786</v>
      </c>
      <c r="V16" s="579">
        <f t="shared" si="141"/>
        <v>-1.5894253922584844</v>
      </c>
      <c r="W16" s="528">
        <f>IF(M16="","",IF(Q16-$Q$8&lt;0,360+Q16-$Q$8,Q16-$Q$8))</f>
        <v>358.23769507528345</v>
      </c>
      <c r="X16" s="572">
        <f t="shared" si="105"/>
        <v>4.9429492165422184</v>
      </c>
      <c r="Y16" s="573">
        <f t="shared" ref="Y16:Y75" si="255">IF(M16="","",S16)</f>
        <v>-1.5894253922584844</v>
      </c>
      <c r="Z16" s="575">
        <f t="shared" si="18"/>
        <v>0.87861683332969831</v>
      </c>
      <c r="AA16" s="572">
        <f t="shared" si="19"/>
        <v>-0.45139956533975029</v>
      </c>
      <c r="AB16" s="572">
        <f t="shared" si="20"/>
        <v>-0.15579118267982281</v>
      </c>
      <c r="AC16" s="579">
        <f t="shared" si="106"/>
        <v>1</v>
      </c>
      <c r="AD16" s="580">
        <f t="shared" si="142"/>
        <v>0.87861683332969831</v>
      </c>
      <c r="AE16" s="572">
        <f t="shared" si="107"/>
        <v>-0.45139956533975029</v>
      </c>
      <c r="AF16" s="576">
        <f t="shared" si="108"/>
        <v>-0.15579118267982281</v>
      </c>
      <c r="AG16" s="545">
        <f t="shared" si="109"/>
        <v>-70.958949332556287</v>
      </c>
      <c r="AH16" s="546">
        <f t="shared" si="110"/>
        <v>28.524039648290334</v>
      </c>
      <c r="AI16" s="528">
        <f t="shared" si="111"/>
        <v>-81.037314874080266</v>
      </c>
      <c r="AJ16" s="529">
        <f t="shared" si="112"/>
        <v>62.807643123400808</v>
      </c>
      <c r="AK16" s="578">
        <f t="shared" si="238"/>
        <v>0.89526246278018828</v>
      </c>
      <c r="AL16" s="572">
        <f t="shared" si="113"/>
        <v>-0.41741373975466389</v>
      </c>
      <c r="AM16" s="577">
        <f t="shared" si="114"/>
        <v>-0.15579118267982281</v>
      </c>
      <c r="AN16" s="524">
        <f t="shared" si="115"/>
        <v>-69.53293472939626</v>
      </c>
      <c r="AO16" s="525">
        <f t="shared" si="116"/>
        <v>26.457837763909776</v>
      </c>
      <c r="AP16" s="528">
        <f t="shared" si="117"/>
        <v>-24.997161106011674</v>
      </c>
      <c r="AQ16" s="529">
        <f t="shared" si="21"/>
        <v>0.92233587948715368</v>
      </c>
      <c r="AS16" s="932">
        <f t="shared" si="143"/>
        <v>358.23769507528345</v>
      </c>
      <c r="AT16" s="928">
        <f t="shared" si="22"/>
        <v>-1.5907023273821523</v>
      </c>
      <c r="AU16" s="418"/>
      <c r="AV16" s="164" t="str">
        <f t="shared" si="23"/>
        <v/>
      </c>
      <c r="AW16" s="829" t="str">
        <f>IFERROR(INDEX(MassProp!C$9:C$150,MATCH($M16,MassProp!$B$9:$B$150,0)),"")</f>
        <v/>
      </c>
      <c r="AX16" s="830" t="str">
        <f>IFERROR(INDEX(MassProp!D$9:D$150,MATCH($M16,MassProp!$B$9:$B$150,0)),"")</f>
        <v/>
      </c>
      <c r="AY16" s="831" t="str">
        <f>IFERROR(INDEX(MassProp!E$9:E$150,MATCH($M16,MassProp!$B$9:$B$150,0)),"")</f>
        <v/>
      </c>
      <c r="AZ16" s="297" t="str">
        <f t="shared" si="144"/>
        <v/>
      </c>
      <c r="BA16" s="296" t="str">
        <f t="shared" si="24"/>
        <v/>
      </c>
      <c r="BB16" s="291" t="str">
        <f t="shared" si="145"/>
        <v/>
      </c>
      <c r="BC16" s="9"/>
      <c r="BD16" s="5" t="str">
        <f t="shared" si="146"/>
        <v/>
      </c>
      <c r="BE16" s="6" t="str">
        <f t="shared" si="25"/>
        <v/>
      </c>
      <c r="BF16" s="4" t="str">
        <f t="shared" si="26"/>
        <v/>
      </c>
      <c r="BG16" s="5" t="str">
        <f t="shared" si="27"/>
        <v/>
      </c>
      <c r="BH16" s="10" t="str">
        <f t="shared" si="28"/>
        <v/>
      </c>
      <c r="BI16" s="9" t="str">
        <f t="shared" si="147"/>
        <v/>
      </c>
      <c r="BJ16" s="5" t="str">
        <f t="shared" si="29"/>
        <v/>
      </c>
      <c r="BK16" s="8" t="str">
        <f t="shared" si="30"/>
        <v/>
      </c>
      <c r="BL16" s="173" t="str">
        <f t="shared" si="31"/>
        <v/>
      </c>
      <c r="BM16" s="5" t="str">
        <f t="shared" si="32"/>
        <v/>
      </c>
      <c r="BN16" s="6" t="str">
        <f t="shared" si="33"/>
        <v/>
      </c>
      <c r="BO16" s="4" t="str">
        <f t="shared" si="148"/>
        <v/>
      </c>
      <c r="BP16" s="5" t="str">
        <f t="shared" si="239"/>
        <v/>
      </c>
      <c r="BQ16" s="5" t="str">
        <f t="shared" si="149"/>
        <v/>
      </c>
      <c r="BR16" s="6" t="str">
        <f t="shared" si="150"/>
        <v/>
      </c>
      <c r="BS16" s="4" t="str">
        <f t="shared" si="118"/>
        <v/>
      </c>
      <c r="BT16" s="5" t="str">
        <f t="shared" si="118"/>
        <v/>
      </c>
      <c r="BU16" s="10" t="str">
        <f t="shared" si="119"/>
        <v/>
      </c>
      <c r="BV16" s="9" t="str">
        <f t="shared" si="120"/>
        <v/>
      </c>
      <c r="BW16" s="5" t="str">
        <f t="shared" si="121"/>
        <v/>
      </c>
      <c r="BX16" s="8" t="str">
        <f t="shared" si="122"/>
        <v/>
      </c>
      <c r="BY16" s="173" t="str">
        <f t="shared" si="123"/>
        <v/>
      </c>
      <c r="BZ16" s="5" t="str">
        <f t="shared" si="124"/>
        <v/>
      </c>
      <c r="CA16" s="6" t="str">
        <f t="shared" si="125"/>
        <v/>
      </c>
      <c r="CB16" s="4" t="str">
        <f t="shared" si="151"/>
        <v/>
      </c>
      <c r="CC16" s="5" t="str">
        <f t="shared" si="152"/>
        <v/>
      </c>
      <c r="CD16" s="5" t="str">
        <f t="shared" si="153"/>
        <v/>
      </c>
      <c r="CE16" s="6" t="str">
        <f t="shared" si="154"/>
        <v/>
      </c>
      <c r="CF16" s="4" t="str">
        <f t="shared" si="155"/>
        <v/>
      </c>
      <c r="CG16" s="5" t="str">
        <f t="shared" si="156"/>
        <v/>
      </c>
      <c r="CH16" s="5" t="str">
        <f t="shared" si="157"/>
        <v/>
      </c>
      <c r="CI16" s="4" t="str">
        <f t="shared" si="126"/>
        <v/>
      </c>
      <c r="CJ16" s="5" t="str">
        <f t="shared" si="127"/>
        <v/>
      </c>
      <c r="CK16" s="8" t="str">
        <f t="shared" si="128"/>
        <v/>
      </c>
      <c r="CL16" s="173" t="str">
        <f t="shared" si="129"/>
        <v/>
      </c>
      <c r="CM16" s="5" t="str">
        <f t="shared" si="130"/>
        <v/>
      </c>
      <c r="CN16" s="6" t="str">
        <f t="shared" si="131"/>
        <v/>
      </c>
      <c r="CO16" s="167" t="str">
        <f t="shared" si="35"/>
        <v/>
      </c>
      <c r="CP16" s="4" t="str">
        <f t="shared" si="240"/>
        <v/>
      </c>
      <c r="CQ16" s="5" t="str">
        <f t="shared" si="241"/>
        <v/>
      </c>
      <c r="CR16" s="5" t="str">
        <f>IF(ISNUMBER($AV16),BF16^2+BG16^2+BH16^2+CI16^2+CJ16^2+CK16^2-2*(BF16*CI16+BG16*CJ16+BH16*CK16)-CO16^2,"")</f>
        <v/>
      </c>
      <c r="CS16" s="8" t="str">
        <f t="shared" si="159"/>
        <v/>
      </c>
      <c r="CT16" s="9" t="str">
        <f t="shared" si="160"/>
        <v/>
      </c>
      <c r="CU16" s="6" t="str">
        <f t="shared" si="161"/>
        <v/>
      </c>
      <c r="CV16" s="4" t="str">
        <f t="shared" si="242"/>
        <v/>
      </c>
      <c r="CW16" s="5" t="str">
        <f t="shared" si="162"/>
        <v/>
      </c>
      <c r="CX16" s="8" t="str">
        <f t="shared" si="163"/>
        <v/>
      </c>
      <c r="CY16" s="9" t="str">
        <f t="shared" si="164"/>
        <v/>
      </c>
      <c r="CZ16" s="5" t="str">
        <f t="shared" si="165"/>
        <v/>
      </c>
      <c r="DA16" s="6" t="str">
        <f t="shared" si="166"/>
        <v/>
      </c>
      <c r="DB16" s="4" t="str">
        <f t="shared" si="167"/>
        <v/>
      </c>
      <c r="DC16" s="5" t="str">
        <f t="shared" si="167"/>
        <v/>
      </c>
      <c r="DD16" s="10" t="str">
        <f>IF(ISNUMBER($AV16),-10,"")</f>
        <v/>
      </c>
      <c r="DE16" s="9" t="str">
        <f t="shared" si="169"/>
        <v/>
      </c>
      <c r="DF16" s="5" t="str">
        <f t="shared" si="169"/>
        <v/>
      </c>
      <c r="DG16" s="10" t="str">
        <f t="shared" si="170"/>
        <v/>
      </c>
      <c r="DH16" s="70" t="str">
        <f t="shared" si="171"/>
        <v/>
      </c>
      <c r="DI16" s="4" t="str">
        <f t="shared" si="172"/>
        <v/>
      </c>
      <c r="DJ16" s="5" t="str">
        <f t="shared" si="173"/>
        <v/>
      </c>
      <c r="DK16" s="10" t="str">
        <f t="shared" si="174"/>
        <v/>
      </c>
      <c r="DL16" s="9" t="str">
        <f t="shared" si="175"/>
        <v/>
      </c>
      <c r="DM16" s="173" t="str">
        <f t="shared" si="176"/>
        <v/>
      </c>
      <c r="DN16" s="178" t="str">
        <f t="shared" si="177"/>
        <v/>
      </c>
      <c r="DO16" s="9" t="str">
        <f t="shared" si="178"/>
        <v/>
      </c>
      <c r="DP16" s="173" t="str">
        <f t="shared" si="179"/>
        <v/>
      </c>
      <c r="DQ16" s="11" t="str">
        <f t="shared" si="180"/>
        <v/>
      </c>
      <c r="DR16" s="173" t="str">
        <f t="shared" si="181"/>
        <v/>
      </c>
      <c r="DS16" s="5" t="str">
        <f t="shared" si="182"/>
        <v/>
      </c>
      <c r="DT16" s="5" t="str">
        <f t="shared" si="183"/>
        <v/>
      </c>
      <c r="DU16" s="5" t="str">
        <f t="shared" si="184"/>
        <v/>
      </c>
      <c r="DV16" s="5" t="str">
        <f t="shared" si="185"/>
        <v/>
      </c>
      <c r="DW16" s="5" t="str">
        <f t="shared" si="186"/>
        <v/>
      </c>
      <c r="DX16" s="167" t="str">
        <f t="shared" si="187"/>
        <v/>
      </c>
      <c r="DY16" s="9" t="str">
        <f t="shared" si="188"/>
        <v/>
      </c>
      <c r="DZ16" s="5" t="str">
        <f t="shared" si="189"/>
        <v/>
      </c>
      <c r="EA16" s="10" t="str">
        <f t="shared" si="190"/>
        <v/>
      </c>
      <c r="EB16" s="6" t="str">
        <f t="shared" si="191"/>
        <v/>
      </c>
      <c r="EC16" s="173" t="str">
        <f t="shared" si="192"/>
        <v/>
      </c>
      <c r="ED16" s="5" t="str">
        <f t="shared" si="193"/>
        <v/>
      </c>
      <c r="EE16" s="4" t="str">
        <f t="shared" si="194"/>
        <v/>
      </c>
      <c r="EF16" s="5" t="str">
        <f t="shared" si="195"/>
        <v/>
      </c>
      <c r="EG16" s="10" t="str">
        <f t="shared" si="196"/>
        <v/>
      </c>
      <c r="EH16" s="9" t="str">
        <f t="shared" si="197"/>
        <v/>
      </c>
      <c r="EI16" s="5" t="str">
        <f t="shared" si="198"/>
        <v/>
      </c>
      <c r="EJ16" s="6" t="str">
        <f t="shared" si="199"/>
        <v/>
      </c>
      <c r="EK16" s="236" t="str">
        <f t="shared" si="200"/>
        <v/>
      </c>
      <c r="EL16" s="238" t="str">
        <f t="shared" si="201"/>
        <v/>
      </c>
      <c r="EM16" s="4" t="str">
        <f t="shared" si="202"/>
        <v/>
      </c>
      <c r="EN16" s="5" t="str">
        <f t="shared" si="203"/>
        <v/>
      </c>
      <c r="EO16" s="10" t="str">
        <f t="shared" si="204"/>
        <v/>
      </c>
      <c r="EP16" s="9" t="str">
        <f t="shared" si="205"/>
        <v/>
      </c>
      <c r="EQ16" s="5" t="str">
        <f t="shared" si="206"/>
        <v/>
      </c>
      <c r="ER16" s="7" t="str">
        <f t="shared" si="207"/>
        <v/>
      </c>
      <c r="ES16" s="21" t="str">
        <f t="shared" si="132"/>
        <v/>
      </c>
      <c r="ET16" s="5" t="str">
        <f t="shared" si="44"/>
        <v/>
      </c>
      <c r="EU16" s="10" t="str">
        <f t="shared" si="45"/>
        <v/>
      </c>
      <c r="EV16" s="174" t="str">
        <f t="shared" si="254"/>
        <v/>
      </c>
      <c r="EW16" s="9" t="str">
        <f t="shared" si="133"/>
        <v/>
      </c>
      <c r="EX16" s="5" t="str">
        <f t="shared" si="47"/>
        <v/>
      </c>
      <c r="EY16" s="6" t="str">
        <f t="shared" si="208"/>
        <v/>
      </c>
      <c r="EZ16" s="51" t="str">
        <f t="shared" si="209"/>
        <v/>
      </c>
      <c r="FA16" s="266" t="str">
        <f>IF(ISNUMBER($AV16),SIN(RADIANS($EP16))*COS(RADIANS($EZ16)),"")</f>
        <v/>
      </c>
      <c r="FB16" s="267" t="str">
        <f t="shared" si="135"/>
        <v/>
      </c>
      <c r="FC16" s="269" t="str">
        <f t="shared" si="48"/>
        <v/>
      </c>
      <c r="FD16" s="4" t="str">
        <f t="shared" si="136"/>
        <v/>
      </c>
      <c r="FE16" s="5" t="str">
        <f t="shared" si="49"/>
        <v/>
      </c>
      <c r="FF16" s="7" t="str">
        <f t="shared" si="210"/>
        <v/>
      </c>
      <c r="FG16" s="173" t="str">
        <f t="shared" si="211"/>
        <v/>
      </c>
      <c r="FH16" s="5" t="str">
        <f t="shared" si="50"/>
        <v/>
      </c>
      <c r="FI16" s="10" t="str">
        <f t="shared" si="51"/>
        <v/>
      </c>
      <c r="FJ16" s="279" t="str">
        <f t="shared" si="212"/>
        <v/>
      </c>
      <c r="FK16" s="4" t="str">
        <f t="shared" si="52"/>
        <v/>
      </c>
      <c r="FL16" s="5" t="str">
        <f t="shared" si="213"/>
        <v/>
      </c>
      <c r="FM16" s="8" t="str">
        <f t="shared" si="214"/>
        <v/>
      </c>
      <c r="FN16" s="9" t="str">
        <f t="shared" si="215"/>
        <v/>
      </c>
      <c r="FO16" s="10" t="str">
        <f t="shared" si="53"/>
        <v/>
      </c>
      <c r="FP16" s="277" t="str">
        <f t="shared" si="54"/>
        <v/>
      </c>
      <c r="FQ16" s="173" t="str">
        <f t="shared" si="243"/>
        <v/>
      </c>
      <c r="FR16" s="10" t="str">
        <f t="shared" si="216"/>
        <v/>
      </c>
      <c r="FS16" s="9" t="str">
        <f t="shared" si="217"/>
        <v/>
      </c>
      <c r="FT16" s="6" t="str">
        <f t="shared" si="218"/>
        <v/>
      </c>
      <c r="FU16" s="4" t="str">
        <f t="shared" si="219"/>
        <v/>
      </c>
      <c r="FV16" s="5" t="str">
        <f t="shared" si="220"/>
        <v/>
      </c>
      <c r="FW16" s="8" t="str">
        <f t="shared" si="244"/>
        <v/>
      </c>
      <c r="FX16" s="9" t="str">
        <f t="shared" si="245"/>
        <v/>
      </c>
      <c r="FY16" s="10" t="str">
        <f t="shared" si="55"/>
        <v/>
      </c>
      <c r="FZ16" s="277" t="str">
        <f t="shared" si="246"/>
        <v/>
      </c>
      <c r="GA16" s="177" t="str">
        <f t="shared" si="221"/>
        <v/>
      </c>
      <c r="GB16" s="4" t="str">
        <f t="shared" si="222"/>
        <v/>
      </c>
      <c r="GC16" s="5" t="str">
        <f t="shared" si="223"/>
        <v/>
      </c>
      <c r="GD16" s="10" t="str">
        <f t="shared" si="224"/>
        <v/>
      </c>
      <c r="GE16" s="311" t="str">
        <f t="shared" si="225"/>
        <v/>
      </c>
      <c r="GF16" s="341" t="str">
        <f t="shared" si="247"/>
        <v/>
      </c>
      <c r="GG16" s="285" t="str">
        <f t="shared" si="56"/>
        <v/>
      </c>
      <c r="GH16" s="286" t="str">
        <f t="shared" si="57"/>
        <v/>
      </c>
      <c r="GI16" s="281" t="str">
        <f t="shared" si="58"/>
        <v/>
      </c>
      <c r="GJ16" s="167" t="str">
        <f t="shared" si="226"/>
        <v/>
      </c>
      <c r="GK16" s="174" t="str">
        <f t="shared" si="59"/>
        <v/>
      </c>
      <c r="GL16" s="174" t="str">
        <f t="shared" si="227"/>
        <v/>
      </c>
      <c r="GM16" s="177" t="str">
        <f t="shared" si="248"/>
        <v/>
      </c>
      <c r="GN16" s="280" t="str">
        <f t="shared" si="228"/>
        <v/>
      </c>
      <c r="GO16" s="4" t="str">
        <f t="shared" si="229"/>
        <v/>
      </c>
      <c r="GP16" s="8" t="str">
        <f t="shared" si="249"/>
        <v/>
      </c>
      <c r="GQ16" s="177" t="str">
        <f t="shared" si="230"/>
        <v/>
      </c>
      <c r="GR16" s="371" t="str">
        <f t="shared" si="250"/>
        <v/>
      </c>
      <c r="GS16" s="342" t="str">
        <f t="shared" si="61"/>
        <v/>
      </c>
      <c r="GT16" s="343" t="str">
        <f t="shared" si="62"/>
        <v/>
      </c>
      <c r="GU16" s="344" t="str">
        <f t="shared" si="63"/>
        <v/>
      </c>
      <c r="GV16" s="343" t="str">
        <f t="shared" si="252"/>
        <v/>
      </c>
      <c r="GW16" s="345" t="str">
        <f t="shared" si="64"/>
        <v/>
      </c>
      <c r="GX16" s="346" t="str">
        <f t="shared" si="65"/>
        <v/>
      </c>
      <c r="GY16" s="344" t="str">
        <f t="shared" si="66"/>
        <v/>
      </c>
      <c r="GZ16" s="345" t="str">
        <f t="shared" si="67"/>
        <v/>
      </c>
      <c r="HA16" s="342" t="str">
        <f t="shared" si="68"/>
        <v/>
      </c>
      <c r="HB16" s="5" t="str">
        <f t="shared" si="231"/>
        <v/>
      </c>
      <c r="HC16" s="343" t="str">
        <f t="shared" si="232"/>
        <v/>
      </c>
      <c r="HD16" s="345" t="str">
        <f t="shared" si="233"/>
        <v/>
      </c>
      <c r="HE16" s="344" t="str">
        <f t="shared" si="69"/>
        <v/>
      </c>
      <c r="HF16" s="5" t="str">
        <f t="shared" si="70"/>
        <v/>
      </c>
      <c r="HG16" s="343" t="str">
        <f t="shared" si="234"/>
        <v/>
      </c>
      <c r="HH16" s="349" t="str">
        <f t="shared" si="235"/>
        <v/>
      </c>
      <c r="HI16" s="317" t="str">
        <f t="shared" si="71"/>
        <v/>
      </c>
      <c r="HJ16" s="336"/>
      <c r="HK16" s="310" t="str">
        <f t="shared" si="137"/>
        <v/>
      </c>
      <c r="HL16" s="348" t="str">
        <f t="shared" si="72"/>
        <v/>
      </c>
      <c r="HM16" s="909" t="str">
        <f t="shared" si="138"/>
        <v/>
      </c>
      <c r="HN16" s="910" t="str">
        <f t="shared" si="73"/>
        <v/>
      </c>
      <c r="HO16" s="911"/>
      <c r="HP16" s="912"/>
      <c r="HQ16" s="910" t="str">
        <f t="shared" si="74"/>
        <v/>
      </c>
      <c r="HR16" s="913" t="str">
        <f t="shared" si="75"/>
        <v/>
      </c>
      <c r="HS16" s="865" t="str">
        <f t="shared" si="251"/>
        <v/>
      </c>
      <c r="HT16" s="875" t="str">
        <f t="shared" si="76"/>
        <v/>
      </c>
      <c r="HU16" s="876" t="str">
        <f t="shared" si="77"/>
        <v/>
      </c>
      <c r="HV16" s="872" t="str">
        <f t="shared" si="78"/>
        <v/>
      </c>
      <c r="HW16" s="866" t="str">
        <f t="shared" si="79"/>
        <v/>
      </c>
      <c r="HX16" s="867" t="str">
        <f t="shared" si="80"/>
        <v/>
      </c>
      <c r="HY16" s="866" t="str">
        <f t="shared" si="81"/>
        <v/>
      </c>
      <c r="HZ16" s="868" t="str">
        <f t="shared" si="82"/>
        <v/>
      </c>
      <c r="IA16" s="869" t="str">
        <f t="shared" si="83"/>
        <v/>
      </c>
      <c r="IB16" s="870" t="str">
        <f t="shared" si="84"/>
        <v/>
      </c>
      <c r="IC16" s="841" t="str">
        <f t="shared" si="85"/>
        <v/>
      </c>
      <c r="ID16" s="351" t="str">
        <f t="shared" si="86"/>
        <v/>
      </c>
      <c r="IE16" s="843" t="str">
        <f t="shared" si="87"/>
        <v/>
      </c>
      <c r="IF16" s="844"/>
      <c r="IG16" s="790" t="str">
        <f>IFERROR(IF($IW16="","",IF($IW16&lt;(((Settings!$C$19/2)*-1)*$IG$8),"Taper","Nose")),"")</f>
        <v/>
      </c>
      <c r="IH16" s="482" t="str">
        <f>IFERROR(IF((((($IY16*COS(RADIANS(180-$JA16)))*COS(RADIANS($JA16)))-(($IZ16*SIN(RADIANS(180-$JA16)))*SIN(RADIANS($JA16))))+$IW16)&lt;(((Settings!$C$19+$IH$8)/2)*-1),"Gage",""),"")</f>
        <v/>
      </c>
      <c r="II16" s="788">
        <f t="shared" si="236"/>
        <v>1.135</v>
      </c>
      <c r="IJ16" s="674" t="str" cm="1">
        <f t="array" ref="IJ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K16" s="677" t="str" cm="1">
        <f t="array" ref="IK16">IFERROR(ROUND(VALUE(IF($IJ16&lt;1,$IJ16+LARGE((IF($M$9:$M$150="",0,$M$9:$M$150)-MOD(IF($M$9:$M$150="",0,$M$9:$M$150),1)),1),$IJ16)),4),"")</f>
        <v/>
      </c>
      <c r="IL16" s="482">
        <f t="shared" si="88"/>
        <v>1613</v>
      </c>
      <c r="IM16" s="482" t="str">
        <f t="shared" si="237"/>
        <v/>
      </c>
      <c r="IN16" s="670" t="str">
        <f t="shared" si="90"/>
        <v/>
      </c>
      <c r="IO16" s="702"/>
      <c r="IP16" s="5" t="str">
        <f t="shared" si="91"/>
        <v/>
      </c>
      <c r="IQ16" s="714"/>
      <c r="IR16" s="9" t="str">
        <f t="shared" si="139"/>
        <v/>
      </c>
      <c r="IS16" s="5" t="str">
        <f t="shared" si="92"/>
        <v/>
      </c>
      <c r="IT16" s="5" t="str">
        <f t="shared" si="93"/>
        <v/>
      </c>
      <c r="IU16" s="5" t="str">
        <f t="shared" si="94"/>
        <v/>
      </c>
      <c r="IV16" s="670" t="str">
        <f t="shared" si="95"/>
        <v/>
      </c>
      <c r="IW16" s="9" t="str">
        <f t="shared" si="96"/>
        <v/>
      </c>
      <c r="IX16" s="5" t="str">
        <f t="shared" si="97"/>
        <v/>
      </c>
      <c r="IY16" s="5" t="str">
        <f t="shared" si="98"/>
        <v/>
      </c>
      <c r="IZ16" s="5" t="str">
        <f t="shared" si="99"/>
        <v/>
      </c>
      <c r="JA16" s="705" t="str">
        <f t="shared" si="100"/>
        <v/>
      </c>
      <c r="JC16" s="31" t="s">
        <v>322</v>
      </c>
      <c r="JD16" s="745" t="str" cm="1">
        <f t="array" ref="JD16">IF($JC$9="","",IF(AND(ISTEXT(_xlfn.ANCHORARRAY($JC$9))=FALSE),"",SUM(COUNTIFS($IL$9:$IL$150,_xlfn.ANCHORARRAY($JC$9),$IK$9:$IK$150,"",$IL$9:$IL$150,IF(ISTEXT(_xlfn.ANCHORARRAY($JC$9)),_xlfn.ANCHORARRAY($JC$9),"")))))</f>
        <v/>
      </c>
      <c r="JG16" s="31"/>
      <c r="JH16" s="31"/>
      <c r="JI16" s="31"/>
    </row>
    <row r="17" spans="1:271" ht="15" customHeight="1" x14ac:dyDescent="0.25">
      <c r="A17" s="75">
        <f t="shared" si="1"/>
        <v>0.02</v>
      </c>
      <c r="B17" s="578">
        <f t="shared" si="2"/>
        <v>0.20362314266058476</v>
      </c>
      <c r="C17" s="572">
        <f t="shared" si="3"/>
        <v>5.0228784071199728</v>
      </c>
      <c r="D17" s="576">
        <f t="shared" si="4"/>
        <v>-2.3485852153236326</v>
      </c>
      <c r="E17" s="580">
        <f t="shared" si="5"/>
        <v>-0.84714778051037243</v>
      </c>
      <c r="F17" s="572">
        <f t="shared" si="6"/>
        <v>0.52956944831640185</v>
      </c>
      <c r="G17" s="579">
        <f t="shared" si="7"/>
        <v>4.3552696658322988E-2</v>
      </c>
      <c r="H17" s="580">
        <f t="shared" si="8"/>
        <v>0.3125</v>
      </c>
      <c r="I17" s="572">
        <f t="shared" si="9"/>
        <v>0.52</v>
      </c>
      <c r="J17" s="483">
        <f t="shared" si="10"/>
        <v>1.141</v>
      </c>
      <c r="K17" s="806">
        <f t="shared" si="11"/>
        <v>1613</v>
      </c>
      <c r="M17" s="164">
        <f t="shared" si="12"/>
        <v>1.141</v>
      </c>
      <c r="N17" s="575">
        <f t="shared" si="13"/>
        <v>0.20362314266058476</v>
      </c>
      <c r="O17" s="572">
        <f t="shared" si="14"/>
        <v>5.0228784071199728</v>
      </c>
      <c r="P17" s="576">
        <f t="shared" si="15"/>
        <v>-2.3485852153236326</v>
      </c>
      <c r="Q17" s="528">
        <f>IF(M17="","",IF(DEGREES(ATAN2(N17,O17))&lt;0,DEGREES(ATAN2(N17,O17))+360,IF(DEGREES(ATAN2(N17,O17))&gt;360,DEGREES(ATAN2(N17,O17))-360,DEGREES(ATAN2(N17,O17)))))</f>
        <v>87.678549845722486</v>
      </c>
      <c r="R17" s="572">
        <f>IF(M17="","",SQRT(N17^2+O17^2))</f>
        <v>5.0270040657372705</v>
      </c>
      <c r="S17" s="577">
        <f>IF(M17="","",P17)</f>
        <v>-2.3485852153236326</v>
      </c>
      <c r="T17" s="578">
        <f>IF(M17="","",X17*COS(RADIANS(W17)))</f>
        <v>5.0242734794110913</v>
      </c>
      <c r="U17" s="572">
        <f>IF(M17="","",X17*SIN(RADIANS(W17)))</f>
        <v>-0.16566798431022653</v>
      </c>
      <c r="V17" s="579">
        <f>IF(M17="","",Y17)</f>
        <v>-2.3485852153236326</v>
      </c>
      <c r="W17" s="528">
        <f t="shared" si="253"/>
        <v>358.11144069159349</v>
      </c>
      <c r="X17" s="572">
        <f>IF(M17="","",R17)</f>
        <v>5.0270040657372705</v>
      </c>
      <c r="Y17" s="573">
        <f t="shared" si="255"/>
        <v>-2.3485852153236326</v>
      </c>
      <c r="Z17" s="575">
        <f t="shared" si="18"/>
        <v>0.84714778051037243</v>
      </c>
      <c r="AA17" s="572">
        <f t="shared" si="19"/>
        <v>-0.52956944831640185</v>
      </c>
      <c r="AB17" s="572">
        <f t="shared" si="20"/>
        <v>-4.3552696658322988E-2</v>
      </c>
      <c r="AC17" s="579">
        <f>IF(M17="","",SQRT(Z17^2+AA17^2+AB17^2))</f>
        <v>1</v>
      </c>
      <c r="AD17" s="580">
        <f>IF(M17="","",Z17*(1/SQRT(Z17^2+AA17^2+AB17^2)))</f>
        <v>0.84714778051037243</v>
      </c>
      <c r="AE17" s="572">
        <f>IF(M17="","",AA17*(1/SQRT(Z17^2+AA17^2+AB17^2)))</f>
        <v>-0.52956944831640185</v>
      </c>
      <c r="AF17" s="576">
        <f>IF(M17="","",AB17*(1/SQRT(Z17^2+AA17^2+AB17^2)))</f>
        <v>-4.3552696658322988E-2</v>
      </c>
      <c r="AG17" s="545">
        <f>IF(M17="","",DEGREES(ATAN2(-AF17,AE17)))</f>
        <v>-85.298477995064843</v>
      </c>
      <c r="AH17" s="546">
        <f>IF(M17="","",DEGREES(ACOS(AD17)))</f>
        <v>32.097211741920567</v>
      </c>
      <c r="AI17" s="528">
        <f>IF(M17="","",DEGREES(-ACOS(-AF17)))</f>
        <v>-87.50382473077525</v>
      </c>
      <c r="AJ17" s="529">
        <f>IF(M17="","",DEGREES(ATAN2(-AE17,AD17)))</f>
        <v>57.989652081178271</v>
      </c>
      <c r="AK17" s="578">
        <f>IF(M17="","",(COS(RADIANS((90-$Q$8)-W17))*AD17)+(-SIN(RADIANS((90-$Q$8)-W17))*AE17))</f>
        <v>0.86790319495166313</v>
      </c>
      <c r="AL17" s="572">
        <f>IF(M17="","",(SIN(RADIANS((90-$Q$8)-W17))*AD17)+(COS(RADIANS((90-$Q$8)-W17))*AE17))</f>
        <v>-0.49482037832579578</v>
      </c>
      <c r="AM17" s="577">
        <f>IF(M17="","",AF17)</f>
        <v>-4.3552696658322988E-2</v>
      </c>
      <c r="AN17" s="524">
        <f>IF(M17="","",DEGREES(ATAN2(-AM17,AL17)))</f>
        <v>-84.96994937215598</v>
      </c>
      <c r="AO17" s="525">
        <f t="shared" si="116"/>
        <v>29.784116024848295</v>
      </c>
      <c r="AP17" s="528">
        <f>IF(M17="","",DEGREES(ATAN2(AK17,AL17)))</f>
        <v>-29.68889776454423</v>
      </c>
      <c r="AQ17" s="529">
        <f t="shared" si="21"/>
        <v>0.90691640828340914</v>
      </c>
      <c r="AS17" s="932">
        <f t="shared" si="143"/>
        <v>358.11144069159349</v>
      </c>
      <c r="AT17" s="928">
        <f t="shared" si="22"/>
        <v>-2.34968679713662</v>
      </c>
      <c r="AU17" s="418"/>
      <c r="AV17" s="164" t="str">
        <f t="shared" si="23"/>
        <v/>
      </c>
      <c r="AW17" s="829" t="str">
        <f>IFERROR(INDEX(MassProp!C$9:C$150,MATCH($M17,MassProp!$B$9:$B$150,0)),"")</f>
        <v/>
      </c>
      <c r="AX17" s="830" t="str">
        <f>IFERROR(INDEX(MassProp!D$9:D$150,MATCH($M17,MassProp!$B$9:$B$150,0)),"")</f>
        <v/>
      </c>
      <c r="AY17" s="831" t="str">
        <f>IFERROR(INDEX(MassProp!E$9:E$150,MATCH($M17,MassProp!$B$9:$B$150,0)),"")</f>
        <v/>
      </c>
      <c r="AZ17" s="297" t="str">
        <f t="shared" si="144"/>
        <v/>
      </c>
      <c r="BA17" s="296" t="str">
        <f t="shared" si="24"/>
        <v/>
      </c>
      <c r="BB17" s="190" t="str">
        <f t="shared" si="145"/>
        <v/>
      </c>
      <c r="BC17" s="9"/>
      <c r="BD17" s="5" t="str">
        <f t="shared" si="146"/>
        <v/>
      </c>
      <c r="BE17" s="6" t="str">
        <f t="shared" si="25"/>
        <v/>
      </c>
      <c r="BF17" s="4" t="str">
        <f t="shared" si="26"/>
        <v/>
      </c>
      <c r="BG17" s="5" t="str">
        <f t="shared" si="27"/>
        <v/>
      </c>
      <c r="BH17" s="10" t="str">
        <f t="shared" si="28"/>
        <v/>
      </c>
      <c r="BI17" s="9" t="str">
        <f t="shared" si="147"/>
        <v/>
      </c>
      <c r="BJ17" s="5" t="str">
        <f t="shared" si="29"/>
        <v/>
      </c>
      <c r="BK17" s="8" t="str">
        <f t="shared" si="30"/>
        <v/>
      </c>
      <c r="BL17" s="173" t="str">
        <f t="shared" si="31"/>
        <v/>
      </c>
      <c r="BM17" s="5" t="str">
        <f t="shared" si="32"/>
        <v/>
      </c>
      <c r="BN17" s="6" t="str">
        <f t="shared" si="33"/>
        <v/>
      </c>
      <c r="BO17" s="4" t="str">
        <f t="shared" si="148"/>
        <v/>
      </c>
      <c r="BP17" s="5" t="str">
        <f t="shared" si="239"/>
        <v/>
      </c>
      <c r="BQ17" s="5" t="str">
        <f t="shared" si="149"/>
        <v/>
      </c>
      <c r="BR17" s="6" t="str">
        <f t="shared" si="150"/>
        <v/>
      </c>
      <c r="BS17" s="4" t="str">
        <f t="shared" si="118"/>
        <v/>
      </c>
      <c r="BT17" s="5" t="str">
        <f t="shared" si="118"/>
        <v/>
      </c>
      <c r="BU17" s="10" t="str">
        <f t="shared" si="119"/>
        <v/>
      </c>
      <c r="BV17" s="9" t="str">
        <f t="shared" si="120"/>
        <v/>
      </c>
      <c r="BW17" s="5" t="str">
        <f t="shared" si="121"/>
        <v/>
      </c>
      <c r="BX17" s="8" t="str">
        <f t="shared" si="122"/>
        <v/>
      </c>
      <c r="BY17" s="173" t="str">
        <f t="shared" si="123"/>
        <v/>
      </c>
      <c r="BZ17" s="5" t="str">
        <f t="shared" si="124"/>
        <v/>
      </c>
      <c r="CA17" s="6" t="str">
        <f t="shared" si="125"/>
        <v/>
      </c>
      <c r="CB17" s="4" t="str">
        <f t="shared" si="151"/>
        <v/>
      </c>
      <c r="CC17" s="5" t="str">
        <f t="shared" si="152"/>
        <v/>
      </c>
      <c r="CD17" s="5" t="str">
        <f t="shared" si="153"/>
        <v/>
      </c>
      <c r="CE17" s="6" t="str">
        <f t="shared" si="154"/>
        <v/>
      </c>
      <c r="CF17" s="4" t="str">
        <f t="shared" si="155"/>
        <v/>
      </c>
      <c r="CG17" s="5" t="str">
        <f t="shared" si="156"/>
        <v/>
      </c>
      <c r="CH17" s="5" t="str">
        <f t="shared" si="157"/>
        <v/>
      </c>
      <c r="CI17" s="4" t="str">
        <f t="shared" si="126"/>
        <v/>
      </c>
      <c r="CJ17" s="5" t="str">
        <f t="shared" si="127"/>
        <v/>
      </c>
      <c r="CK17" s="8" t="str">
        <f t="shared" si="128"/>
        <v/>
      </c>
      <c r="CL17" s="173" t="str">
        <f t="shared" si="129"/>
        <v/>
      </c>
      <c r="CM17" s="5" t="str">
        <f t="shared" si="130"/>
        <v/>
      </c>
      <c r="CN17" s="6" t="str">
        <f t="shared" si="131"/>
        <v/>
      </c>
      <c r="CO17" s="167" t="str">
        <f t="shared" si="35"/>
        <v/>
      </c>
      <c r="CP17" s="4" t="str">
        <f t="shared" si="240"/>
        <v/>
      </c>
      <c r="CQ17" s="5" t="str">
        <f t="shared" si="241"/>
        <v/>
      </c>
      <c r="CR17" s="5" t="str">
        <f t="shared" si="158"/>
        <v/>
      </c>
      <c r="CS17" s="8" t="str">
        <f t="shared" si="159"/>
        <v/>
      </c>
      <c r="CT17" s="9" t="str">
        <f t="shared" si="160"/>
        <v/>
      </c>
      <c r="CU17" s="6" t="str">
        <f t="shared" si="161"/>
        <v/>
      </c>
      <c r="CV17" s="4" t="str">
        <f t="shared" si="242"/>
        <v/>
      </c>
      <c r="CW17" s="5" t="str">
        <f t="shared" si="162"/>
        <v/>
      </c>
      <c r="CX17" s="8" t="str">
        <f t="shared" si="163"/>
        <v/>
      </c>
      <c r="CY17" s="9" t="str">
        <f t="shared" si="164"/>
        <v/>
      </c>
      <c r="CZ17" s="5" t="str">
        <f t="shared" si="165"/>
        <v/>
      </c>
      <c r="DA17" s="6" t="str">
        <f t="shared" si="166"/>
        <v/>
      </c>
      <c r="DB17" s="4" t="str">
        <f t="shared" si="167"/>
        <v/>
      </c>
      <c r="DC17" s="5" t="str">
        <f t="shared" si="167"/>
        <v/>
      </c>
      <c r="DD17" s="10" t="str">
        <f t="shared" si="168"/>
        <v/>
      </c>
      <c r="DE17" s="9" t="str">
        <f t="shared" si="169"/>
        <v/>
      </c>
      <c r="DF17" s="5" t="str">
        <f t="shared" si="169"/>
        <v/>
      </c>
      <c r="DG17" s="10" t="str">
        <f t="shared" si="170"/>
        <v/>
      </c>
      <c r="DH17" s="70" t="str">
        <f t="shared" si="171"/>
        <v/>
      </c>
      <c r="DI17" s="4" t="str">
        <f t="shared" si="172"/>
        <v/>
      </c>
      <c r="DJ17" s="5" t="str">
        <f t="shared" si="173"/>
        <v/>
      </c>
      <c r="DK17" s="10" t="str">
        <f t="shared" si="174"/>
        <v/>
      </c>
      <c r="DL17" s="9" t="str">
        <f t="shared" si="175"/>
        <v/>
      </c>
      <c r="DM17" s="173" t="str">
        <f t="shared" si="176"/>
        <v/>
      </c>
      <c r="DN17" s="178" t="str">
        <f t="shared" si="177"/>
        <v/>
      </c>
      <c r="DO17" s="9" t="str">
        <f t="shared" si="178"/>
        <v/>
      </c>
      <c r="DP17" s="173" t="str">
        <f t="shared" si="179"/>
        <v/>
      </c>
      <c r="DQ17" s="11" t="str">
        <f t="shared" si="180"/>
        <v/>
      </c>
      <c r="DR17" s="173" t="str">
        <f t="shared" si="181"/>
        <v/>
      </c>
      <c r="DS17" s="5" t="str">
        <f t="shared" si="182"/>
        <v/>
      </c>
      <c r="DT17" s="5" t="str">
        <f t="shared" si="183"/>
        <v/>
      </c>
      <c r="DU17" s="5" t="str">
        <f t="shared" si="184"/>
        <v/>
      </c>
      <c r="DV17" s="5" t="str">
        <f t="shared" si="185"/>
        <v/>
      </c>
      <c r="DW17" s="5" t="str">
        <f t="shared" si="186"/>
        <v/>
      </c>
      <c r="DX17" s="167" t="str">
        <f t="shared" si="187"/>
        <v/>
      </c>
      <c r="DY17" s="9" t="str">
        <f t="shared" si="188"/>
        <v/>
      </c>
      <c r="DZ17" s="5" t="str">
        <f t="shared" si="189"/>
        <v/>
      </c>
      <c r="EA17" s="10" t="str">
        <f t="shared" si="190"/>
        <v/>
      </c>
      <c r="EB17" s="6" t="str">
        <f t="shared" si="191"/>
        <v/>
      </c>
      <c r="EC17" s="173" t="str">
        <f t="shared" si="192"/>
        <v/>
      </c>
      <c r="ED17" s="5" t="str">
        <f t="shared" si="193"/>
        <v/>
      </c>
      <c r="EE17" s="4" t="str">
        <f t="shared" si="194"/>
        <v/>
      </c>
      <c r="EF17" s="5" t="str">
        <f t="shared" si="195"/>
        <v/>
      </c>
      <c r="EG17" s="10" t="str">
        <f t="shared" si="196"/>
        <v/>
      </c>
      <c r="EH17" s="9" t="str">
        <f t="shared" si="197"/>
        <v/>
      </c>
      <c r="EI17" s="5" t="str">
        <f t="shared" si="198"/>
        <v/>
      </c>
      <c r="EJ17" s="6" t="str">
        <f t="shared" si="199"/>
        <v/>
      </c>
      <c r="EK17" s="236" t="str">
        <f t="shared" si="200"/>
        <v/>
      </c>
      <c r="EL17" s="238" t="str">
        <f t="shared" si="201"/>
        <v/>
      </c>
      <c r="EM17" s="4" t="str">
        <f t="shared" si="202"/>
        <v/>
      </c>
      <c r="EN17" s="5" t="str">
        <f t="shared" si="203"/>
        <v/>
      </c>
      <c r="EO17" s="10" t="str">
        <f t="shared" si="204"/>
        <v/>
      </c>
      <c r="EP17" s="9" t="str">
        <f t="shared" si="205"/>
        <v/>
      </c>
      <c r="EQ17" s="5" t="str">
        <f t="shared" si="206"/>
        <v/>
      </c>
      <c r="ER17" s="7" t="str">
        <f t="shared" si="207"/>
        <v/>
      </c>
      <c r="ES17" s="21" t="str">
        <f t="shared" si="132"/>
        <v/>
      </c>
      <c r="ET17" s="5" t="str">
        <f t="shared" si="44"/>
        <v/>
      </c>
      <c r="EU17" s="10" t="str">
        <f t="shared" si="45"/>
        <v/>
      </c>
      <c r="EV17" s="174" t="str">
        <f t="shared" si="254"/>
        <v/>
      </c>
      <c r="EW17" s="9" t="str">
        <f t="shared" si="133"/>
        <v/>
      </c>
      <c r="EX17" s="5" t="str">
        <f t="shared" si="47"/>
        <v/>
      </c>
      <c r="EY17" s="6" t="str">
        <f t="shared" si="208"/>
        <v/>
      </c>
      <c r="EZ17" s="51" t="str">
        <f t="shared" si="209"/>
        <v/>
      </c>
      <c r="FA17" s="266" t="str">
        <f t="shared" si="134"/>
        <v/>
      </c>
      <c r="FB17" s="267" t="str">
        <f t="shared" si="135"/>
        <v/>
      </c>
      <c r="FC17" s="269" t="str">
        <f t="shared" si="48"/>
        <v/>
      </c>
      <c r="FD17" s="4" t="str">
        <f t="shared" si="136"/>
        <v/>
      </c>
      <c r="FE17" s="5" t="str">
        <f t="shared" si="49"/>
        <v/>
      </c>
      <c r="FF17" s="7" t="str">
        <f t="shared" si="210"/>
        <v/>
      </c>
      <c r="FG17" s="173" t="str">
        <f t="shared" si="211"/>
        <v/>
      </c>
      <c r="FH17" s="5" t="str">
        <f t="shared" si="50"/>
        <v/>
      </c>
      <c r="FI17" s="10" t="str">
        <f t="shared" si="51"/>
        <v/>
      </c>
      <c r="FJ17" s="279" t="str">
        <f t="shared" si="212"/>
        <v/>
      </c>
      <c r="FK17" s="4" t="str">
        <f t="shared" si="52"/>
        <v/>
      </c>
      <c r="FL17" s="5" t="str">
        <f t="shared" si="213"/>
        <v/>
      </c>
      <c r="FM17" s="8" t="str">
        <f t="shared" si="214"/>
        <v/>
      </c>
      <c r="FN17" s="9" t="str">
        <f t="shared" si="215"/>
        <v/>
      </c>
      <c r="FO17" s="10" t="str">
        <f t="shared" si="53"/>
        <v/>
      </c>
      <c r="FP17" s="277" t="str">
        <f t="shared" si="54"/>
        <v/>
      </c>
      <c r="FQ17" s="173" t="str">
        <f t="shared" si="243"/>
        <v/>
      </c>
      <c r="FR17" s="10" t="str">
        <f t="shared" si="216"/>
        <v/>
      </c>
      <c r="FS17" s="9" t="str">
        <f t="shared" si="217"/>
        <v/>
      </c>
      <c r="FT17" s="6" t="str">
        <f t="shared" si="218"/>
        <v/>
      </c>
      <c r="FU17" s="4" t="str">
        <f t="shared" si="219"/>
        <v/>
      </c>
      <c r="FV17" s="5" t="str">
        <f t="shared" si="220"/>
        <v/>
      </c>
      <c r="FW17" s="8" t="str">
        <f t="shared" si="244"/>
        <v/>
      </c>
      <c r="FX17" s="9" t="str">
        <f t="shared" si="245"/>
        <v/>
      </c>
      <c r="FY17" s="10" t="str">
        <f t="shared" si="55"/>
        <v/>
      </c>
      <c r="FZ17" s="277" t="str">
        <f t="shared" si="246"/>
        <v/>
      </c>
      <c r="GA17" s="177" t="str">
        <f t="shared" si="221"/>
        <v/>
      </c>
      <c r="GB17" s="4" t="str">
        <f t="shared" si="222"/>
        <v/>
      </c>
      <c r="GC17" s="5" t="str">
        <f t="shared" si="223"/>
        <v/>
      </c>
      <c r="GD17" s="10" t="str">
        <f t="shared" si="224"/>
        <v/>
      </c>
      <c r="GE17" s="311" t="str">
        <f t="shared" si="225"/>
        <v/>
      </c>
      <c r="GF17" s="341" t="str">
        <f t="shared" si="247"/>
        <v/>
      </c>
      <c r="GG17" s="285" t="str">
        <f t="shared" si="56"/>
        <v/>
      </c>
      <c r="GH17" s="286" t="str">
        <f t="shared" si="57"/>
        <v/>
      </c>
      <c r="GI17" s="281" t="str">
        <f t="shared" si="58"/>
        <v/>
      </c>
      <c r="GJ17" s="167" t="str">
        <f t="shared" si="226"/>
        <v/>
      </c>
      <c r="GK17" s="174" t="str">
        <f t="shared" si="59"/>
        <v/>
      </c>
      <c r="GL17" s="174" t="str">
        <f t="shared" si="227"/>
        <v/>
      </c>
      <c r="GM17" s="177" t="str">
        <f t="shared" si="248"/>
        <v/>
      </c>
      <c r="GN17" s="280" t="str">
        <f t="shared" si="228"/>
        <v/>
      </c>
      <c r="GO17" s="4" t="str">
        <f t="shared" si="229"/>
        <v/>
      </c>
      <c r="GP17" s="8" t="str">
        <f t="shared" si="249"/>
        <v/>
      </c>
      <c r="GQ17" s="177" t="str">
        <f t="shared" si="230"/>
        <v/>
      </c>
      <c r="GR17" s="371" t="str">
        <f t="shared" si="250"/>
        <v/>
      </c>
      <c r="GS17" s="342" t="str">
        <f t="shared" si="61"/>
        <v/>
      </c>
      <c r="GT17" s="343" t="str">
        <f t="shared" si="62"/>
        <v/>
      </c>
      <c r="GU17" s="344" t="str">
        <f t="shared" si="63"/>
        <v/>
      </c>
      <c r="GV17" s="343" t="str">
        <f t="shared" si="252"/>
        <v/>
      </c>
      <c r="GW17" s="345" t="str">
        <f t="shared" si="64"/>
        <v/>
      </c>
      <c r="GX17" s="346" t="str">
        <f t="shared" si="65"/>
        <v/>
      </c>
      <c r="GY17" s="344" t="str">
        <f t="shared" si="66"/>
        <v/>
      </c>
      <c r="GZ17" s="345" t="str">
        <f t="shared" si="67"/>
        <v/>
      </c>
      <c r="HA17" s="342" t="str">
        <f t="shared" si="68"/>
        <v/>
      </c>
      <c r="HB17" s="5" t="str">
        <f t="shared" si="231"/>
        <v/>
      </c>
      <c r="HC17" s="343" t="str">
        <f t="shared" si="232"/>
        <v/>
      </c>
      <c r="HD17" s="345" t="str">
        <f t="shared" si="233"/>
        <v/>
      </c>
      <c r="HE17" s="344" t="str">
        <f t="shared" si="69"/>
        <v/>
      </c>
      <c r="HF17" s="5" t="str">
        <f t="shared" si="70"/>
        <v/>
      </c>
      <c r="HG17" s="343" t="str">
        <f t="shared" si="234"/>
        <v/>
      </c>
      <c r="HH17" s="349" t="str">
        <f t="shared" si="235"/>
        <v/>
      </c>
      <c r="HI17" s="317" t="str">
        <f t="shared" si="71"/>
        <v/>
      </c>
      <c r="HJ17" s="336"/>
      <c r="HK17" s="310" t="str">
        <f t="shared" si="137"/>
        <v/>
      </c>
      <c r="HL17" s="348" t="str">
        <f t="shared" si="72"/>
        <v/>
      </c>
      <c r="HM17" s="909" t="str">
        <f t="shared" si="138"/>
        <v/>
      </c>
      <c r="HN17" s="910" t="str">
        <f t="shared" si="73"/>
        <v/>
      </c>
      <c r="HO17" s="911"/>
      <c r="HP17" s="912"/>
      <c r="HQ17" s="910" t="str">
        <f t="shared" si="74"/>
        <v/>
      </c>
      <c r="HR17" s="913" t="str">
        <f t="shared" si="75"/>
        <v/>
      </c>
      <c r="HS17" s="865" t="str">
        <f t="shared" si="251"/>
        <v/>
      </c>
      <c r="HT17" s="875" t="str">
        <f t="shared" si="76"/>
        <v/>
      </c>
      <c r="HU17" s="876" t="str">
        <f t="shared" si="77"/>
        <v/>
      </c>
      <c r="HV17" s="872" t="str">
        <f t="shared" si="78"/>
        <v/>
      </c>
      <c r="HW17" s="866" t="str">
        <f t="shared" si="79"/>
        <v/>
      </c>
      <c r="HX17" s="867" t="str">
        <f t="shared" si="80"/>
        <v/>
      </c>
      <c r="HY17" s="866" t="str">
        <f t="shared" si="81"/>
        <v/>
      </c>
      <c r="HZ17" s="868" t="str">
        <f t="shared" si="82"/>
        <v/>
      </c>
      <c r="IA17" s="869" t="str">
        <f t="shared" si="83"/>
        <v/>
      </c>
      <c r="IB17" s="870" t="str">
        <f t="shared" si="84"/>
        <v/>
      </c>
      <c r="IC17" s="841" t="str">
        <f t="shared" si="85"/>
        <v/>
      </c>
      <c r="ID17" s="351" t="str">
        <f t="shared" si="86"/>
        <v/>
      </c>
      <c r="IE17" s="843" t="str">
        <f t="shared" si="87"/>
        <v/>
      </c>
      <c r="IF17" s="844"/>
      <c r="IG17" s="790" t="str">
        <f>IFERROR(IF($IW17="","",IF($IW17&lt;(((Settings!$C$19/2)*-1)*$IG$8),"Taper","Nose")),"")</f>
        <v/>
      </c>
      <c r="IH17" s="482" t="str">
        <f>IFERROR(IF((((($IY17*COS(RADIANS(180-$JA17)))*COS(RADIANS($JA17)))-(($IZ17*SIN(RADIANS(180-$JA17)))*SIN(RADIANS($JA17))))+$IW17)&lt;(((Settings!$C$19+$IH$8)/2)*-1),"Gage",""),"")</f>
        <v/>
      </c>
      <c r="II17" s="788">
        <f t="shared" si="236"/>
        <v>1.141</v>
      </c>
      <c r="IJ17" s="674" t="str" cm="1">
        <f t="array" ref="IJ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K17" s="677" t="str" cm="1">
        <f t="array" ref="IK17">IFERROR(ROUND(VALUE(IF($IJ17&lt;1,$IJ17+LARGE((IF($M$9:$M$150="",0,$M$9:$M$150)-MOD(IF($M$9:$M$150="",0,$M$9:$M$150),1)),1),$IJ17)),4),"")</f>
        <v/>
      </c>
      <c r="IL17" s="482">
        <f t="shared" si="88"/>
        <v>1613</v>
      </c>
      <c r="IM17" s="482" t="str">
        <f t="shared" si="237"/>
        <v/>
      </c>
      <c r="IN17" s="670" t="str">
        <f t="shared" si="90"/>
        <v/>
      </c>
      <c r="IO17" s="702"/>
      <c r="IP17" s="5" t="str">
        <f t="shared" si="91"/>
        <v/>
      </c>
      <c r="IQ17" s="714"/>
      <c r="IR17" s="9" t="str">
        <f t="shared" si="139"/>
        <v/>
      </c>
      <c r="IS17" s="5" t="str">
        <f t="shared" si="92"/>
        <v/>
      </c>
      <c r="IT17" s="5" t="str">
        <f t="shared" si="93"/>
        <v/>
      </c>
      <c r="IU17" s="5" t="str">
        <f t="shared" si="94"/>
        <v/>
      </c>
      <c r="IV17" s="670" t="str">
        <f t="shared" si="95"/>
        <v/>
      </c>
      <c r="IW17" s="9" t="str">
        <f t="shared" si="96"/>
        <v/>
      </c>
      <c r="IX17" s="5" t="str">
        <f t="shared" si="97"/>
        <v/>
      </c>
      <c r="IY17" s="5" t="str">
        <f t="shared" si="98"/>
        <v/>
      </c>
      <c r="IZ17" s="5" t="str">
        <f t="shared" si="99"/>
        <v/>
      </c>
      <c r="JA17" s="705" t="str">
        <f t="shared" si="100"/>
        <v/>
      </c>
    </row>
    <row r="18" spans="1:271" ht="15" customHeight="1" x14ac:dyDescent="0.25">
      <c r="A18" s="75">
        <f t="shared" si="1"/>
        <v>0.02</v>
      </c>
      <c r="B18" s="578">
        <f t="shared" si="2"/>
        <v>0.21118737343543167</v>
      </c>
      <c r="C18" s="572">
        <f t="shared" si="3"/>
        <v>5.0506754598838572</v>
      </c>
      <c r="D18" s="576">
        <f t="shared" si="4"/>
        <v>-3.1000897483921412</v>
      </c>
      <c r="E18" s="580">
        <f t="shared" si="5"/>
        <v>-0.84646311228494375</v>
      </c>
      <c r="F18" s="572">
        <f t="shared" si="6"/>
        <v>0.53066313434671042</v>
      </c>
      <c r="G18" s="579">
        <f t="shared" si="7"/>
        <v>4.355269665832287E-2</v>
      </c>
      <c r="H18" s="580">
        <f t="shared" si="8"/>
        <v>0.3125</v>
      </c>
      <c r="I18" s="572">
        <f t="shared" si="9"/>
        <v>0.52</v>
      </c>
      <c r="J18" s="483">
        <f t="shared" si="10"/>
        <v>1.147</v>
      </c>
      <c r="K18" s="806">
        <f t="shared" si="11"/>
        <v>1613</v>
      </c>
      <c r="L18" s="720" t="s">
        <v>322</v>
      </c>
      <c r="M18" s="164">
        <f t="shared" si="12"/>
        <v>1.147</v>
      </c>
      <c r="N18" s="575">
        <f t="shared" si="13"/>
        <v>0.21118737343543167</v>
      </c>
      <c r="O18" s="572">
        <f t="shared" si="14"/>
        <v>5.0506754598838572</v>
      </c>
      <c r="P18" s="576">
        <f t="shared" si="15"/>
        <v>-3.1000897483921412</v>
      </c>
      <c r="Q18" s="528">
        <f t="shared" si="140"/>
        <v>87.605646855295348</v>
      </c>
      <c r="R18" s="572">
        <f>IF(M18="","",SQRT(N18^2+O18^2))</f>
        <v>5.0550887932628417</v>
      </c>
      <c r="S18" s="577">
        <f>IF(M18="","",P18)</f>
        <v>-3.1000897483921412</v>
      </c>
      <c r="T18" s="578">
        <f>IF(M18="","",X18*COS(RADIANS(W18)))</f>
        <v>5.0521268888232882</v>
      </c>
      <c r="U18" s="572">
        <f>IF(M18="","",X18*SIN(RADIANS(W18)))</f>
        <v>-0.17302198415316611</v>
      </c>
      <c r="V18" s="579">
        <f>IF(M18="","",Y18)</f>
        <v>-3.1000897483921412</v>
      </c>
      <c r="W18" s="528">
        <f t="shared" si="253"/>
        <v>358.03853770116632</v>
      </c>
      <c r="X18" s="572">
        <f>IF(M18="","",R18)</f>
        <v>5.0550887932628417</v>
      </c>
      <c r="Y18" s="573">
        <f t="shared" si="255"/>
        <v>-3.1000897483921412</v>
      </c>
      <c r="Z18" s="575">
        <f t="shared" si="18"/>
        <v>0.84646311228494375</v>
      </c>
      <c r="AA18" s="572">
        <f t="shared" si="19"/>
        <v>-0.53066313434671042</v>
      </c>
      <c r="AB18" s="572">
        <f t="shared" si="20"/>
        <v>-4.355269665832287E-2</v>
      </c>
      <c r="AC18" s="579">
        <f>IF(M18="","",SQRT(Z18^2+AA18^2+AB18^2))</f>
        <v>1</v>
      </c>
      <c r="AD18" s="580">
        <f>IF(M18="","",Z18*(1/SQRT(Z18^2+AA18^2+AB18^2)))</f>
        <v>0.84646311228494375</v>
      </c>
      <c r="AE18" s="572">
        <f>IF(M18="","",AA18*(1/SQRT(Z18^2+AA18^2+AB18^2)))</f>
        <v>-0.53066313434671042</v>
      </c>
      <c r="AF18" s="576">
        <f>IF(M18="","",AB18*(1/SQRT(Z18^2+AA18^2+AB18^2)))</f>
        <v>-4.355269665832287E-2</v>
      </c>
      <c r="AG18" s="545">
        <f>IF(M18="","",DEGREES(ATAN2(-AF18,AE18)))</f>
        <v>-85.308124432890722</v>
      </c>
      <c r="AH18" s="546">
        <f>IF(M18="","",DEGREES(ACOS(AD18)))</f>
        <v>32.170963236814053</v>
      </c>
      <c r="AI18" s="528">
        <f>IF(M18="","",DEGREES(-ACOS(-AF18)))</f>
        <v>-87.50382473077525</v>
      </c>
      <c r="AJ18" s="529">
        <f>IF(M18="","",DEGREES(ATAN2(-AE18,AD18)))</f>
        <v>57.915652102546815</v>
      </c>
      <c r="AK18" s="578">
        <f>IF(M18="","",(COS(RADIANS((90-$Q$8)-W18))*AD18)+(-SIN(RADIANS((90-$Q$8)-W18))*AE18))</f>
        <v>0.86789372093390582</v>
      </c>
      <c r="AL18" s="572">
        <f>IF(M18="","",(SIN(RADIANS((90-$Q$8)-W18))*AD18)+(COS(RADIANS((90-$Q$8)-W18))*AE18))</f>
        <v>-0.49483699515829238</v>
      </c>
      <c r="AM18" s="577">
        <f>IF(M18="","",AF18)</f>
        <v>-4.355269665832287E-2</v>
      </c>
      <c r="AN18" s="524">
        <f>IF(M18="","",DEGREES(ATAN2(-AM18,AL18)))</f>
        <v>-84.970117416838434</v>
      </c>
      <c r="AO18" s="525">
        <f t="shared" si="116"/>
        <v>29.785208788526894</v>
      </c>
      <c r="AP18" s="528">
        <f>IF(M18="","",DEGREES(ATAN2(AK18,AL18)))</f>
        <v>-29.689994752748529</v>
      </c>
      <c r="AQ18" s="529">
        <f t="shared" si="21"/>
        <v>0.90187865672700995</v>
      </c>
      <c r="AS18" s="932">
        <f t="shared" si="143"/>
        <v>358.03853770116632</v>
      </c>
      <c r="AT18" s="928">
        <f t="shared" si="22"/>
        <v>-3.1010900760517575</v>
      </c>
      <c r="AU18" s="418"/>
      <c r="AV18" s="164" t="str">
        <f t="shared" si="23"/>
        <v/>
      </c>
      <c r="AW18" s="829" t="str">
        <f>IFERROR(INDEX(MassProp!C$9:C$150,MATCH($M18,MassProp!$B$9:$B$150,0)),"")</f>
        <v/>
      </c>
      <c r="AX18" s="830" t="str">
        <f>IFERROR(INDEX(MassProp!D$9:D$150,MATCH($M18,MassProp!$B$9:$B$150,0)),"")</f>
        <v/>
      </c>
      <c r="AY18" s="831" t="str">
        <f>IFERROR(INDEX(MassProp!E$9:E$150,MATCH($M18,MassProp!$B$9:$B$150,0)),"")</f>
        <v/>
      </c>
      <c r="AZ18" s="297" t="str">
        <f t="shared" si="144"/>
        <v/>
      </c>
      <c r="BA18" s="296" t="str">
        <f t="shared" si="24"/>
        <v/>
      </c>
      <c r="BB18" s="190" t="str">
        <f t="shared" si="145"/>
        <v/>
      </c>
      <c r="BC18" s="9"/>
      <c r="BD18" s="5" t="str">
        <f t="shared" si="146"/>
        <v/>
      </c>
      <c r="BE18" s="6" t="str">
        <f t="shared" si="25"/>
        <v/>
      </c>
      <c r="BF18" s="4" t="str">
        <f t="shared" si="26"/>
        <v/>
      </c>
      <c r="BG18" s="5" t="str">
        <f t="shared" si="27"/>
        <v/>
      </c>
      <c r="BH18" s="10" t="str">
        <f t="shared" si="28"/>
        <v/>
      </c>
      <c r="BI18" s="9" t="str">
        <f t="shared" si="147"/>
        <v/>
      </c>
      <c r="BJ18" s="5" t="str">
        <f t="shared" si="29"/>
        <v/>
      </c>
      <c r="BK18" s="8" t="str">
        <f t="shared" si="30"/>
        <v/>
      </c>
      <c r="BL18" s="173" t="str">
        <f t="shared" si="31"/>
        <v/>
      </c>
      <c r="BM18" s="5" t="str">
        <f t="shared" si="32"/>
        <v/>
      </c>
      <c r="BN18" s="6" t="str">
        <f t="shared" si="33"/>
        <v/>
      </c>
      <c r="BO18" s="4" t="str">
        <f t="shared" si="148"/>
        <v/>
      </c>
      <c r="BP18" s="5" t="str">
        <f t="shared" si="239"/>
        <v/>
      </c>
      <c r="BQ18" s="5" t="str">
        <f t="shared" si="149"/>
        <v/>
      </c>
      <c r="BR18" s="6" t="str">
        <f t="shared" si="150"/>
        <v/>
      </c>
      <c r="BS18" s="4" t="str">
        <f t="shared" si="118"/>
        <v/>
      </c>
      <c r="BT18" s="5" t="str">
        <f t="shared" si="118"/>
        <v/>
      </c>
      <c r="BU18" s="10" t="str">
        <f t="shared" si="119"/>
        <v/>
      </c>
      <c r="BV18" s="9" t="str">
        <f t="shared" si="120"/>
        <v/>
      </c>
      <c r="BW18" s="5" t="str">
        <f t="shared" si="121"/>
        <v/>
      </c>
      <c r="BX18" s="8" t="str">
        <f t="shared" si="122"/>
        <v/>
      </c>
      <c r="BY18" s="173" t="str">
        <f t="shared" si="123"/>
        <v/>
      </c>
      <c r="BZ18" s="5" t="str">
        <f t="shared" si="124"/>
        <v/>
      </c>
      <c r="CA18" s="6" t="str">
        <f t="shared" si="125"/>
        <v/>
      </c>
      <c r="CB18" s="4" t="str">
        <f t="shared" si="151"/>
        <v/>
      </c>
      <c r="CC18" s="5" t="str">
        <f t="shared" si="152"/>
        <v/>
      </c>
      <c r="CD18" s="5" t="str">
        <f t="shared" si="153"/>
        <v/>
      </c>
      <c r="CE18" s="6" t="str">
        <f t="shared" si="154"/>
        <v/>
      </c>
      <c r="CF18" s="4" t="str">
        <f t="shared" si="155"/>
        <v/>
      </c>
      <c r="CG18" s="5" t="str">
        <f t="shared" si="156"/>
        <v/>
      </c>
      <c r="CH18" s="5" t="str">
        <f t="shared" si="157"/>
        <v/>
      </c>
      <c r="CI18" s="4" t="str">
        <f t="shared" si="126"/>
        <v/>
      </c>
      <c r="CJ18" s="5" t="str">
        <f t="shared" si="127"/>
        <v/>
      </c>
      <c r="CK18" s="8" t="str">
        <f t="shared" si="128"/>
        <v/>
      </c>
      <c r="CL18" s="173" t="str">
        <f t="shared" si="129"/>
        <v/>
      </c>
      <c r="CM18" s="5" t="str">
        <f t="shared" si="130"/>
        <v/>
      </c>
      <c r="CN18" s="6" t="str">
        <f t="shared" si="131"/>
        <v/>
      </c>
      <c r="CO18" s="167" t="str">
        <f t="shared" si="35"/>
        <v/>
      </c>
      <c r="CP18" s="4" t="str">
        <f t="shared" si="240"/>
        <v/>
      </c>
      <c r="CQ18" s="5" t="str">
        <f t="shared" si="241"/>
        <v/>
      </c>
      <c r="CR18" s="5" t="str">
        <f t="shared" si="158"/>
        <v/>
      </c>
      <c r="CS18" s="8" t="str">
        <f t="shared" si="159"/>
        <v/>
      </c>
      <c r="CT18" s="9" t="str">
        <f>IF(ISNUMBER($AV18),(-CQ18+SQRT(CS18))/(CP18*2),"")</f>
        <v/>
      </c>
      <c r="CU18" s="6" t="str">
        <f t="shared" si="161"/>
        <v/>
      </c>
      <c r="CV18" s="4" t="str">
        <f>IF(ISNUMBER($AV18),CI18+($CT18*(CL18-CI18)),"")</f>
        <v/>
      </c>
      <c r="CW18" s="5" t="str">
        <f t="shared" si="162"/>
        <v/>
      </c>
      <c r="CX18" s="8" t="str">
        <f t="shared" si="163"/>
        <v/>
      </c>
      <c r="CY18" s="9" t="str">
        <f t="shared" si="164"/>
        <v/>
      </c>
      <c r="CZ18" s="5" t="str">
        <f t="shared" si="165"/>
        <v/>
      </c>
      <c r="DA18" s="6" t="str">
        <f t="shared" si="166"/>
        <v/>
      </c>
      <c r="DB18" s="4" t="str">
        <f t="shared" si="167"/>
        <v/>
      </c>
      <c r="DC18" s="5" t="str">
        <f t="shared" si="167"/>
        <v/>
      </c>
      <c r="DD18" s="10" t="str">
        <f t="shared" si="168"/>
        <v/>
      </c>
      <c r="DE18" s="9" t="str">
        <f t="shared" si="169"/>
        <v/>
      </c>
      <c r="DF18" s="5" t="str">
        <f t="shared" si="169"/>
        <v/>
      </c>
      <c r="DG18" s="10" t="str">
        <f t="shared" si="170"/>
        <v/>
      </c>
      <c r="DH18" s="70" t="str">
        <f t="shared" si="171"/>
        <v/>
      </c>
      <c r="DI18" s="4" t="str">
        <f t="shared" si="172"/>
        <v/>
      </c>
      <c r="DJ18" s="5" t="str">
        <f t="shared" si="173"/>
        <v/>
      </c>
      <c r="DK18" s="10" t="str">
        <f t="shared" si="174"/>
        <v/>
      </c>
      <c r="DL18" s="9" t="str">
        <f>IF(ISNUMBER($AV18),CV18-DB18,"")</f>
        <v/>
      </c>
      <c r="DM18" s="173" t="str">
        <f t="shared" si="176"/>
        <v/>
      </c>
      <c r="DN18" s="178" t="str">
        <f t="shared" si="177"/>
        <v/>
      </c>
      <c r="DO18" s="9" t="str">
        <f t="shared" si="178"/>
        <v/>
      </c>
      <c r="DP18" s="173" t="str">
        <f t="shared" si="179"/>
        <v/>
      </c>
      <c r="DQ18" s="11" t="str">
        <f t="shared" si="180"/>
        <v/>
      </c>
      <c r="DR18" s="173" t="str">
        <f t="shared" si="181"/>
        <v/>
      </c>
      <c r="DS18" s="5" t="str">
        <f t="shared" si="182"/>
        <v/>
      </c>
      <c r="DT18" s="5" t="str">
        <f t="shared" si="183"/>
        <v/>
      </c>
      <c r="DU18" s="5" t="str">
        <f t="shared" si="184"/>
        <v/>
      </c>
      <c r="DV18" s="5" t="str">
        <f t="shared" si="185"/>
        <v/>
      </c>
      <c r="DW18" s="5" t="str">
        <f t="shared" si="186"/>
        <v/>
      </c>
      <c r="DX18" s="167" t="str">
        <f t="shared" si="187"/>
        <v/>
      </c>
      <c r="DY18" s="9" t="str">
        <f t="shared" si="188"/>
        <v/>
      </c>
      <c r="DZ18" s="5" t="str">
        <f t="shared" si="189"/>
        <v/>
      </c>
      <c r="EA18" s="10" t="str">
        <f t="shared" si="190"/>
        <v/>
      </c>
      <c r="EB18" s="6" t="str">
        <f t="shared" si="191"/>
        <v/>
      </c>
      <c r="EC18" s="173" t="str">
        <f t="shared" si="192"/>
        <v/>
      </c>
      <c r="ED18" s="5" t="str">
        <f t="shared" si="193"/>
        <v/>
      </c>
      <c r="EE18" s="4" t="str">
        <f t="shared" si="194"/>
        <v/>
      </c>
      <c r="EF18" s="5" t="str">
        <f t="shared" si="195"/>
        <v/>
      </c>
      <c r="EG18" s="10" t="str">
        <f t="shared" si="196"/>
        <v/>
      </c>
      <c r="EH18" s="9" t="str">
        <f t="shared" si="197"/>
        <v/>
      </c>
      <c r="EI18" s="5" t="str">
        <f t="shared" si="198"/>
        <v/>
      </c>
      <c r="EJ18" s="6" t="str">
        <f t="shared" si="199"/>
        <v/>
      </c>
      <c r="EK18" s="236" t="str">
        <f t="shared" si="200"/>
        <v/>
      </c>
      <c r="EL18" s="238" t="str">
        <f t="shared" si="201"/>
        <v/>
      </c>
      <c r="EM18" s="4" t="str">
        <f t="shared" si="202"/>
        <v/>
      </c>
      <c r="EN18" s="5" t="str">
        <f t="shared" si="203"/>
        <v/>
      </c>
      <c r="EO18" s="10" t="str">
        <f t="shared" si="204"/>
        <v/>
      </c>
      <c r="EP18" s="9" t="str">
        <f t="shared" si="205"/>
        <v/>
      </c>
      <c r="EQ18" s="5" t="str">
        <f t="shared" si="206"/>
        <v/>
      </c>
      <c r="ER18" s="7" t="str">
        <f t="shared" si="207"/>
        <v/>
      </c>
      <c r="ES18" s="21" t="str">
        <f t="shared" si="132"/>
        <v/>
      </c>
      <c r="ET18" s="5" t="str">
        <f t="shared" si="44"/>
        <v/>
      </c>
      <c r="EU18" s="10" t="str">
        <f t="shared" si="45"/>
        <v/>
      </c>
      <c r="EV18" s="174" t="str">
        <f t="shared" si="254"/>
        <v/>
      </c>
      <c r="EW18" s="9" t="str">
        <f t="shared" si="133"/>
        <v/>
      </c>
      <c r="EX18" s="5" t="str">
        <f t="shared" si="47"/>
        <v/>
      </c>
      <c r="EY18" s="6" t="str">
        <f t="shared" si="208"/>
        <v/>
      </c>
      <c r="EZ18" s="51" t="str">
        <f t="shared" si="209"/>
        <v/>
      </c>
      <c r="FA18" s="266" t="str">
        <f t="shared" si="134"/>
        <v/>
      </c>
      <c r="FB18" s="267" t="str">
        <f t="shared" si="135"/>
        <v/>
      </c>
      <c r="FC18" s="269" t="str">
        <f t="shared" si="48"/>
        <v/>
      </c>
      <c r="FD18" s="4" t="str">
        <f t="shared" si="136"/>
        <v/>
      </c>
      <c r="FE18" s="5" t="str">
        <f t="shared" si="49"/>
        <v/>
      </c>
      <c r="FF18" s="7" t="str">
        <f t="shared" si="210"/>
        <v/>
      </c>
      <c r="FG18" s="173" t="str">
        <f t="shared" si="211"/>
        <v/>
      </c>
      <c r="FH18" s="5" t="str">
        <f t="shared" si="50"/>
        <v/>
      </c>
      <c r="FI18" s="10" t="str">
        <f t="shared" si="51"/>
        <v/>
      </c>
      <c r="FJ18" s="279" t="str">
        <f t="shared" si="212"/>
        <v/>
      </c>
      <c r="FK18" s="4" t="str">
        <f t="shared" si="52"/>
        <v/>
      </c>
      <c r="FL18" s="5" t="str">
        <f t="shared" si="213"/>
        <v/>
      </c>
      <c r="FM18" s="8" t="str">
        <f t="shared" si="214"/>
        <v/>
      </c>
      <c r="FN18" s="9" t="str">
        <f t="shared" si="215"/>
        <v/>
      </c>
      <c r="FO18" s="10" t="str">
        <f t="shared" si="53"/>
        <v/>
      </c>
      <c r="FP18" s="277" t="str">
        <f t="shared" si="54"/>
        <v/>
      </c>
      <c r="FQ18" s="173" t="str">
        <f t="shared" si="243"/>
        <v/>
      </c>
      <c r="FR18" s="10" t="str">
        <f t="shared" si="216"/>
        <v/>
      </c>
      <c r="FS18" s="9" t="str">
        <f t="shared" si="217"/>
        <v/>
      </c>
      <c r="FT18" s="6" t="str">
        <f t="shared" si="218"/>
        <v/>
      </c>
      <c r="FU18" s="4" t="str">
        <f t="shared" si="219"/>
        <v/>
      </c>
      <c r="FV18" s="5" t="str">
        <f t="shared" si="220"/>
        <v/>
      </c>
      <c r="FW18" s="8" t="str">
        <f t="shared" si="244"/>
        <v/>
      </c>
      <c r="FX18" s="9" t="str">
        <f t="shared" si="245"/>
        <v/>
      </c>
      <c r="FY18" s="10" t="str">
        <f t="shared" si="55"/>
        <v/>
      </c>
      <c r="FZ18" s="277" t="str">
        <f t="shared" si="246"/>
        <v/>
      </c>
      <c r="GA18" s="177" t="str">
        <f t="shared" si="221"/>
        <v/>
      </c>
      <c r="GB18" s="4" t="str">
        <f t="shared" si="222"/>
        <v/>
      </c>
      <c r="GC18" s="5" t="str">
        <f t="shared" si="223"/>
        <v/>
      </c>
      <c r="GD18" s="10" t="str">
        <f t="shared" si="224"/>
        <v/>
      </c>
      <c r="GE18" s="311" t="str">
        <f t="shared" si="225"/>
        <v/>
      </c>
      <c r="GF18" s="341" t="str">
        <f t="shared" si="247"/>
        <v/>
      </c>
      <c r="GG18" s="285" t="str">
        <f t="shared" si="56"/>
        <v/>
      </c>
      <c r="GH18" s="286" t="str">
        <f t="shared" si="57"/>
        <v/>
      </c>
      <c r="GI18" s="281" t="str">
        <f t="shared" si="58"/>
        <v/>
      </c>
      <c r="GJ18" s="167" t="str">
        <f t="shared" si="226"/>
        <v/>
      </c>
      <c r="GK18" s="174" t="str">
        <f t="shared" si="59"/>
        <v/>
      </c>
      <c r="GL18" s="174" t="str">
        <f t="shared" si="227"/>
        <v/>
      </c>
      <c r="GM18" s="177" t="str">
        <f t="shared" si="248"/>
        <v/>
      </c>
      <c r="GN18" s="280" t="str">
        <f t="shared" si="228"/>
        <v/>
      </c>
      <c r="GO18" s="4" t="str">
        <f t="shared" si="229"/>
        <v/>
      </c>
      <c r="GP18" s="8" t="str">
        <f t="shared" si="249"/>
        <v/>
      </c>
      <c r="GQ18" s="177" t="str">
        <f t="shared" si="230"/>
        <v/>
      </c>
      <c r="GR18" s="371" t="str">
        <f t="shared" si="250"/>
        <v/>
      </c>
      <c r="GS18" s="342" t="str">
        <f t="shared" si="61"/>
        <v/>
      </c>
      <c r="GT18" s="343" t="str">
        <f t="shared" si="62"/>
        <v/>
      </c>
      <c r="GU18" s="344" t="str">
        <f t="shared" si="63"/>
        <v/>
      </c>
      <c r="GV18" s="343" t="str">
        <f t="shared" si="252"/>
        <v/>
      </c>
      <c r="GW18" s="345" t="str">
        <f t="shared" si="64"/>
        <v/>
      </c>
      <c r="GX18" s="346" t="str">
        <f t="shared" si="65"/>
        <v/>
      </c>
      <c r="GY18" s="344" t="str">
        <f t="shared" si="66"/>
        <v/>
      </c>
      <c r="GZ18" s="345" t="str">
        <f t="shared" si="67"/>
        <v/>
      </c>
      <c r="HA18" s="342" t="str">
        <f t="shared" si="68"/>
        <v/>
      </c>
      <c r="HB18" s="5" t="str">
        <f t="shared" si="231"/>
        <v/>
      </c>
      <c r="HC18" s="343" t="str">
        <f t="shared" si="232"/>
        <v/>
      </c>
      <c r="HD18" s="345" t="str">
        <f t="shared" si="233"/>
        <v/>
      </c>
      <c r="HE18" s="344" t="str">
        <f t="shared" si="69"/>
        <v/>
      </c>
      <c r="HF18" s="5" t="str">
        <f t="shared" si="70"/>
        <v/>
      </c>
      <c r="HG18" s="343" t="str">
        <f t="shared" si="234"/>
        <v/>
      </c>
      <c r="HH18" s="349" t="str">
        <f t="shared" si="235"/>
        <v/>
      </c>
      <c r="HI18" s="317" t="str">
        <f t="shared" si="71"/>
        <v/>
      </c>
      <c r="HJ18" s="336"/>
      <c r="HK18" s="310" t="str">
        <f t="shared" si="137"/>
        <v/>
      </c>
      <c r="HL18" s="348" t="str">
        <f t="shared" si="72"/>
        <v/>
      </c>
      <c r="HM18" s="909" t="str">
        <f t="shared" si="138"/>
        <v/>
      </c>
      <c r="HN18" s="910" t="str">
        <f t="shared" si="73"/>
        <v/>
      </c>
      <c r="HO18" s="911"/>
      <c r="HP18" s="912"/>
      <c r="HQ18" s="910" t="str">
        <f t="shared" si="74"/>
        <v/>
      </c>
      <c r="HR18" s="913" t="str">
        <f t="shared" si="75"/>
        <v/>
      </c>
      <c r="HS18" s="865" t="str">
        <f t="shared" si="251"/>
        <v/>
      </c>
      <c r="HT18" s="875" t="str">
        <f t="shared" si="76"/>
        <v/>
      </c>
      <c r="HU18" s="876" t="str">
        <f t="shared" si="77"/>
        <v/>
      </c>
      <c r="HV18" s="872" t="str">
        <f t="shared" si="78"/>
        <v/>
      </c>
      <c r="HW18" s="866" t="str">
        <f t="shared" si="79"/>
        <v/>
      </c>
      <c r="HX18" s="867" t="str">
        <f t="shared" si="80"/>
        <v/>
      </c>
      <c r="HY18" s="866" t="str">
        <f t="shared" si="81"/>
        <v/>
      </c>
      <c r="HZ18" s="868" t="str">
        <f t="shared" si="82"/>
        <v/>
      </c>
      <c r="IA18" s="869" t="str">
        <f t="shared" si="83"/>
        <v/>
      </c>
      <c r="IB18" s="870" t="str">
        <f t="shared" si="84"/>
        <v/>
      </c>
      <c r="IC18" s="841" t="str">
        <f t="shared" si="85"/>
        <v/>
      </c>
      <c r="ID18" s="351" t="str">
        <f t="shared" si="86"/>
        <v/>
      </c>
      <c r="IE18" s="843" t="str">
        <f t="shared" si="87"/>
        <v/>
      </c>
      <c r="IF18" s="844"/>
      <c r="IG18" s="790" t="str">
        <f>IFERROR(IF($IW18="","",IF($IW18&lt;(((Settings!$C$19/2)*-1)*$IG$8),"Taper","Nose")),"")</f>
        <v/>
      </c>
      <c r="IH18" s="482" t="str">
        <f>IFERROR(IF((((($IY18*COS(RADIANS(180-$JA18)))*COS(RADIANS($JA18)))-(($IZ18*SIN(RADIANS(180-$JA18)))*SIN(RADIANS($JA18))))+$IW18)&lt;(((Settings!$C$19+$IH$8)/2)*-1),"Gage",""),"")</f>
        <v/>
      </c>
      <c r="II18" s="788">
        <f t="shared" si="236"/>
        <v>1.147</v>
      </c>
      <c r="IJ18" s="674" t="str" cm="1">
        <f t="array" ref="IJ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K18" s="677" t="str" cm="1">
        <f t="array" ref="IK18">IFERROR(ROUND(VALUE(IF($IJ18&lt;1,$IJ18+LARGE((IF($M$9:$M$150="",0,$M$9:$M$150)-MOD(IF($M$9:$M$150="",0,$M$9:$M$150),1)),1),$IJ18)),4),"")</f>
        <v/>
      </c>
      <c r="IL18" s="482">
        <f t="shared" si="88"/>
        <v>1613</v>
      </c>
      <c r="IM18" s="482" t="str">
        <f t="shared" si="237"/>
        <v/>
      </c>
      <c r="IN18" s="670" t="str">
        <f t="shared" si="90"/>
        <v/>
      </c>
      <c r="IO18" s="702"/>
      <c r="IP18" s="5" t="str">
        <f t="shared" si="91"/>
        <v/>
      </c>
      <c r="IQ18" s="714"/>
      <c r="IR18" s="9" t="str">
        <f t="shared" si="139"/>
        <v/>
      </c>
      <c r="IS18" s="5" t="str">
        <f t="shared" si="92"/>
        <v/>
      </c>
      <c r="IT18" s="5" t="str">
        <f t="shared" si="93"/>
        <v/>
      </c>
      <c r="IU18" s="5" t="str">
        <f t="shared" si="94"/>
        <v/>
      </c>
      <c r="IV18" s="670" t="str">
        <f t="shared" si="95"/>
        <v/>
      </c>
      <c r="IW18" s="9" t="str">
        <f t="shared" si="96"/>
        <v/>
      </c>
      <c r="IX18" s="5" t="str">
        <f t="shared" si="97"/>
        <v/>
      </c>
      <c r="IY18" s="5" t="str">
        <f t="shared" si="98"/>
        <v/>
      </c>
      <c r="IZ18" s="5" t="str">
        <f t="shared" si="99"/>
        <v/>
      </c>
      <c r="JA18" s="705" t="str">
        <f t="shared" si="100"/>
        <v/>
      </c>
    </row>
    <row r="19" spans="1:271" ht="15" customHeight="1" thickBot="1" x14ac:dyDescent="0.3">
      <c r="A19" s="75">
        <f t="shared" si="1"/>
        <v>0</v>
      </c>
      <c r="B19" s="578">
        <f t="shared" si="2"/>
        <v>1.0430133809359119</v>
      </c>
      <c r="C19" s="572">
        <f t="shared" si="3"/>
        <v>3.1520927613063705</v>
      </c>
      <c r="D19" s="576">
        <f t="shared" si="4"/>
        <v>-0.13926712580907585</v>
      </c>
      <c r="E19" s="580">
        <f t="shared" si="5"/>
        <v>3.2836989647781638E-2</v>
      </c>
      <c r="F19" s="572">
        <f t="shared" si="6"/>
        <v>9.923673009735301E-2</v>
      </c>
      <c r="G19" s="579">
        <f t="shared" si="7"/>
        <v>0.99452189694870807</v>
      </c>
      <c r="H19" s="580">
        <f>W174</f>
        <v>0.255</v>
      </c>
      <c r="I19" s="572">
        <f t="shared" si="9"/>
        <v>0.41499999999999992</v>
      </c>
      <c r="J19" s="483">
        <f t="shared" si="10"/>
        <v>1.2170000000000001</v>
      </c>
      <c r="K19" s="806" t="str">
        <f t="shared" si="11"/>
        <v>CPS-32193r1</v>
      </c>
      <c r="L19" s="718" t="s">
        <v>357</v>
      </c>
      <c r="M19" s="164">
        <f t="shared" si="12"/>
        <v>1.2170000000000001</v>
      </c>
      <c r="N19" s="575">
        <f t="shared" si="13"/>
        <v>1.0430133809359119</v>
      </c>
      <c r="O19" s="572">
        <f t="shared" si="14"/>
        <v>3.1520927613063705</v>
      </c>
      <c r="P19" s="576">
        <f t="shared" si="15"/>
        <v>-0.13926712580907585</v>
      </c>
      <c r="Q19" s="528">
        <f t="shared" si="140"/>
        <v>71.690851627850435</v>
      </c>
      <c r="R19" s="572">
        <f>IF(M19="","",SQRT(N19^2+O19^2))</f>
        <v>3.3201755508845281</v>
      </c>
      <c r="S19" s="577">
        <f>IF(M19="","",P19)</f>
        <v>-0.13926712580907585</v>
      </c>
      <c r="T19" s="578">
        <f>IF(M19="","",X19*COS(RADIANS(W19)))</f>
        <v>3.1598830729161418</v>
      </c>
      <c r="U19" s="572">
        <f>IF(M19="","",X19*SIN(RADIANS(W19)))</f>
        <v>-1.0191686093033971</v>
      </c>
      <c r="V19" s="579">
        <f>IF(M19="","",Y19)</f>
        <v>-0.13926712580907585</v>
      </c>
      <c r="W19" s="528">
        <f t="shared" si="253"/>
        <v>342.12374247372139</v>
      </c>
      <c r="X19" s="572">
        <f>IF(M19="","",R19)</f>
        <v>3.3201755508845281</v>
      </c>
      <c r="Y19" s="573">
        <f t="shared" si="255"/>
        <v>-0.13926712580907585</v>
      </c>
      <c r="Z19" s="575">
        <f t="shared" si="18"/>
        <v>-3.2836989647781638E-2</v>
      </c>
      <c r="AA19" s="572">
        <f t="shared" si="19"/>
        <v>-9.923673009735301E-2</v>
      </c>
      <c r="AB19" s="572">
        <f t="shared" si="20"/>
        <v>-0.99452189694870807</v>
      </c>
      <c r="AC19" s="579">
        <f>IF(M19="","",SQRT(Z19^2+AA19^2+AB19^2))</f>
        <v>1</v>
      </c>
      <c r="AD19" s="580">
        <f>IF(M19="","",Z19*(1/SQRT(Z19^2+AA19^2+AB19^2)))</f>
        <v>-3.2836989647781638E-2</v>
      </c>
      <c r="AE19" s="572">
        <f>IF(M19="","",AA19*(1/SQRT(Z19^2+AA19^2+AB19^2)))</f>
        <v>-9.923673009735301E-2</v>
      </c>
      <c r="AF19" s="576">
        <f>IF(M19="","",AB19*(1/SQRT(Z19^2+AA19^2+AB19^2)))</f>
        <v>-0.99452189694870807</v>
      </c>
      <c r="AG19" s="545">
        <f>IF(M19="","",DEGREES(ATAN2(-AF19,AE19)))</f>
        <v>-5.6983028494310455</v>
      </c>
      <c r="AH19" s="546">
        <f>IF(M19="","",DEGREES(ACOS(AD19)))</f>
        <v>91.881759195524339</v>
      </c>
      <c r="AI19" s="528">
        <f>IF(M19="","",DEGREES(-ACOS(-AF19)))</f>
        <v>-5.9999991337072789</v>
      </c>
      <c r="AJ19" s="529">
        <f>IF(M19="","",DEGREES(ATAN2(-AE19,AD19)))</f>
        <v>-18.309148372149565</v>
      </c>
      <c r="AK19" s="578">
        <f>IF(M19="","",(COS(RADIANS((90-$Q$8)-W19))*AD19)+(-SIN(RADIANS((90-$Q$8)-W19))*AE19))</f>
        <v>9.3675067702747583E-17</v>
      </c>
      <c r="AL19" s="572">
        <f>IF(M19="","",(SIN(RADIANS((90-$Q$8)-W19))*AD19)+(COS(RADIANS((90-$Q$8)-W19))*AE19))</f>
        <v>-0.10452844823082091</v>
      </c>
      <c r="AM19" s="577">
        <f>IF(M19="","",AF19)</f>
        <v>-0.99452189694870807</v>
      </c>
      <c r="AN19" s="524">
        <f>IF(M19="","",DEGREES(ATAN2(-AM19,AL19)))</f>
        <v>-5.9999991337073153</v>
      </c>
      <c r="AO19" s="525">
        <f t="shared" si="116"/>
        <v>0</v>
      </c>
      <c r="AP19" s="528">
        <f>IF(M19="","",DEGREES(ATAN2(AK19,AL19)))</f>
        <v>-89.999999999999943</v>
      </c>
      <c r="AQ19" s="529">
        <f t="shared" si="21"/>
        <v>1.3729938142080733</v>
      </c>
      <c r="AS19" s="932">
        <f t="shared" si="143"/>
        <v>342.12374247372139</v>
      </c>
      <c r="AT19" s="928">
        <f t="shared" si="22"/>
        <v>-0.11816357120835194</v>
      </c>
      <c r="AU19" s="418"/>
      <c r="AV19" s="164" t="str">
        <f t="shared" si="23"/>
        <v/>
      </c>
      <c r="AW19" s="829" t="str">
        <f>IFERROR(INDEX(MassProp!C$9:C$150,MATCH($M19,MassProp!$B$9:$B$150,0)),"")</f>
        <v/>
      </c>
      <c r="AX19" s="830" t="str">
        <f>IFERROR(INDEX(MassProp!D$9:D$150,MATCH($M19,MassProp!$B$9:$B$150,0)),"")</f>
        <v/>
      </c>
      <c r="AY19" s="831" t="str">
        <f>IFERROR(INDEX(MassProp!E$9:E$150,MATCH($M19,MassProp!$B$9:$B$150,0)),"")</f>
        <v/>
      </c>
      <c r="AZ19" s="297" t="str">
        <f t="shared" si="144"/>
        <v/>
      </c>
      <c r="BA19" s="296" t="str">
        <f t="shared" si="24"/>
        <v/>
      </c>
      <c r="BB19" s="190" t="str">
        <f t="shared" si="145"/>
        <v/>
      </c>
      <c r="BC19" s="9"/>
      <c r="BD19" s="5" t="str">
        <f t="shared" si="146"/>
        <v/>
      </c>
      <c r="BE19" s="6" t="str">
        <f t="shared" si="25"/>
        <v/>
      </c>
      <c r="BF19" s="4" t="str">
        <f t="shared" si="26"/>
        <v/>
      </c>
      <c r="BG19" s="5" t="str">
        <f t="shared" si="27"/>
        <v/>
      </c>
      <c r="BH19" s="10" t="str">
        <f t="shared" si="28"/>
        <v/>
      </c>
      <c r="BI19" s="9" t="str">
        <f t="shared" si="147"/>
        <v/>
      </c>
      <c r="BJ19" s="5" t="str">
        <f t="shared" si="29"/>
        <v/>
      </c>
      <c r="BK19" s="8" t="str">
        <f t="shared" si="30"/>
        <v/>
      </c>
      <c r="BL19" s="173" t="str">
        <f t="shared" si="31"/>
        <v/>
      </c>
      <c r="BM19" s="5" t="str">
        <f t="shared" si="32"/>
        <v/>
      </c>
      <c r="BN19" s="6" t="str">
        <f t="shared" si="33"/>
        <v/>
      </c>
      <c r="BO19" s="4" t="str">
        <f t="shared" si="148"/>
        <v/>
      </c>
      <c r="BP19" s="5" t="str">
        <f t="shared" si="239"/>
        <v/>
      </c>
      <c r="BQ19" s="5" t="str">
        <f t="shared" si="149"/>
        <v/>
      </c>
      <c r="BR19" s="6" t="str">
        <f t="shared" si="150"/>
        <v/>
      </c>
      <c r="BS19" s="4" t="str">
        <f t="shared" si="118"/>
        <v/>
      </c>
      <c r="BT19" s="5" t="str">
        <f t="shared" si="118"/>
        <v/>
      </c>
      <c r="BU19" s="10" t="str">
        <f t="shared" si="119"/>
        <v/>
      </c>
      <c r="BV19" s="9" t="str">
        <f t="shared" si="120"/>
        <v/>
      </c>
      <c r="BW19" s="5" t="str">
        <f t="shared" si="121"/>
        <v/>
      </c>
      <c r="BX19" s="8" t="str">
        <f t="shared" si="122"/>
        <v/>
      </c>
      <c r="BY19" s="173" t="str">
        <f t="shared" si="123"/>
        <v/>
      </c>
      <c r="BZ19" s="5" t="str">
        <f t="shared" si="124"/>
        <v/>
      </c>
      <c r="CA19" s="6" t="str">
        <f t="shared" si="125"/>
        <v/>
      </c>
      <c r="CB19" s="4" t="str">
        <f t="shared" si="151"/>
        <v/>
      </c>
      <c r="CC19" s="5" t="str">
        <f t="shared" si="152"/>
        <v/>
      </c>
      <c r="CD19" s="5" t="str">
        <f t="shared" si="153"/>
        <v/>
      </c>
      <c r="CE19" s="6" t="str">
        <f t="shared" si="154"/>
        <v/>
      </c>
      <c r="CF19" s="4" t="str">
        <f t="shared" si="155"/>
        <v/>
      </c>
      <c r="CG19" s="5" t="str">
        <f t="shared" si="156"/>
        <v/>
      </c>
      <c r="CH19" s="5" t="str">
        <f t="shared" si="157"/>
        <v/>
      </c>
      <c r="CI19" s="4" t="str">
        <f t="shared" si="126"/>
        <v/>
      </c>
      <c r="CJ19" s="5" t="str">
        <f t="shared" si="127"/>
        <v/>
      </c>
      <c r="CK19" s="8" t="str">
        <f t="shared" si="128"/>
        <v/>
      </c>
      <c r="CL19" s="173" t="str">
        <f t="shared" si="129"/>
        <v/>
      </c>
      <c r="CM19" s="5" t="str">
        <f t="shared" si="130"/>
        <v/>
      </c>
      <c r="CN19" s="6" t="str">
        <f t="shared" si="131"/>
        <v/>
      </c>
      <c r="CO19" s="167" t="str">
        <f t="shared" si="35"/>
        <v/>
      </c>
      <c r="CP19" s="4" t="str">
        <f t="shared" si="240"/>
        <v/>
      </c>
      <c r="CQ19" s="5" t="str">
        <f t="shared" si="241"/>
        <v/>
      </c>
      <c r="CR19" s="5" t="str">
        <f t="shared" si="158"/>
        <v/>
      </c>
      <c r="CS19" s="8" t="str">
        <f t="shared" si="159"/>
        <v/>
      </c>
      <c r="CT19" s="9" t="str">
        <f t="shared" si="160"/>
        <v/>
      </c>
      <c r="CU19" s="6" t="str">
        <f t="shared" si="161"/>
        <v/>
      </c>
      <c r="CV19" s="4" t="str">
        <f t="shared" si="242"/>
        <v/>
      </c>
      <c r="CW19" s="5" t="str">
        <f t="shared" si="162"/>
        <v/>
      </c>
      <c r="CX19" s="8" t="str">
        <f t="shared" si="163"/>
        <v/>
      </c>
      <c r="CY19" s="9" t="str">
        <f t="shared" si="164"/>
        <v/>
      </c>
      <c r="CZ19" s="5" t="str">
        <f t="shared" si="165"/>
        <v/>
      </c>
      <c r="DA19" s="6" t="str">
        <f t="shared" si="166"/>
        <v/>
      </c>
      <c r="DB19" s="4" t="str">
        <f t="shared" si="167"/>
        <v/>
      </c>
      <c r="DC19" s="5" t="str">
        <f t="shared" si="167"/>
        <v/>
      </c>
      <c r="DD19" s="10" t="str">
        <f t="shared" si="168"/>
        <v/>
      </c>
      <c r="DE19" s="9" t="str">
        <f t="shared" si="169"/>
        <v/>
      </c>
      <c r="DF19" s="5" t="str">
        <f t="shared" si="169"/>
        <v/>
      </c>
      <c r="DG19" s="10" t="str">
        <f t="shared" si="170"/>
        <v/>
      </c>
      <c r="DH19" s="70" t="str">
        <f t="shared" si="171"/>
        <v/>
      </c>
      <c r="DI19" s="4" t="str">
        <f t="shared" si="172"/>
        <v/>
      </c>
      <c r="DJ19" s="5" t="str">
        <f t="shared" si="173"/>
        <v/>
      </c>
      <c r="DK19" s="10" t="str">
        <f t="shared" si="174"/>
        <v/>
      </c>
      <c r="DL19" s="9" t="str">
        <f t="shared" si="175"/>
        <v/>
      </c>
      <c r="DM19" s="173" t="str">
        <f t="shared" si="176"/>
        <v/>
      </c>
      <c r="DN19" s="178" t="str">
        <f t="shared" si="177"/>
        <v/>
      </c>
      <c r="DO19" s="9" t="str">
        <f t="shared" si="178"/>
        <v/>
      </c>
      <c r="DP19" s="173" t="str">
        <f t="shared" si="179"/>
        <v/>
      </c>
      <c r="DQ19" s="11" t="str">
        <f t="shared" si="180"/>
        <v/>
      </c>
      <c r="DR19" s="173" t="str">
        <f t="shared" si="181"/>
        <v/>
      </c>
      <c r="DS19" s="5" t="str">
        <f t="shared" si="182"/>
        <v/>
      </c>
      <c r="DT19" s="5" t="str">
        <f t="shared" si="183"/>
        <v/>
      </c>
      <c r="DU19" s="5" t="str">
        <f t="shared" si="184"/>
        <v/>
      </c>
      <c r="DV19" s="5" t="str">
        <f t="shared" si="185"/>
        <v/>
      </c>
      <c r="DW19" s="5" t="str">
        <f t="shared" si="186"/>
        <v/>
      </c>
      <c r="DX19" s="167" t="str">
        <f t="shared" si="187"/>
        <v/>
      </c>
      <c r="DY19" s="9" t="str">
        <f t="shared" si="188"/>
        <v/>
      </c>
      <c r="DZ19" s="5" t="str">
        <f t="shared" si="189"/>
        <v/>
      </c>
      <c r="EA19" s="10" t="str">
        <f t="shared" si="190"/>
        <v/>
      </c>
      <c r="EB19" s="6" t="str">
        <f t="shared" si="191"/>
        <v/>
      </c>
      <c r="EC19" s="173" t="str">
        <f t="shared" si="192"/>
        <v/>
      </c>
      <c r="ED19" s="5" t="str">
        <f t="shared" si="193"/>
        <v/>
      </c>
      <c r="EE19" s="4" t="str">
        <f t="shared" si="194"/>
        <v/>
      </c>
      <c r="EF19" s="5" t="str">
        <f t="shared" si="195"/>
        <v/>
      </c>
      <c r="EG19" s="10" t="str">
        <f t="shared" si="196"/>
        <v/>
      </c>
      <c r="EH19" s="9" t="str">
        <f t="shared" si="197"/>
        <v/>
      </c>
      <c r="EI19" s="5" t="str">
        <f t="shared" si="198"/>
        <v/>
      </c>
      <c r="EJ19" s="6" t="str">
        <f t="shared" si="199"/>
        <v/>
      </c>
      <c r="EK19" s="236" t="str">
        <f t="shared" si="200"/>
        <v/>
      </c>
      <c r="EL19" s="238" t="str">
        <f t="shared" si="201"/>
        <v/>
      </c>
      <c r="EM19" s="4" t="str">
        <f t="shared" si="202"/>
        <v/>
      </c>
      <c r="EN19" s="5" t="str">
        <f t="shared" si="203"/>
        <v/>
      </c>
      <c r="EO19" s="10" t="str">
        <f t="shared" si="204"/>
        <v/>
      </c>
      <c r="EP19" s="9" t="str">
        <f t="shared" si="205"/>
        <v/>
      </c>
      <c r="EQ19" s="5" t="str">
        <f t="shared" si="206"/>
        <v/>
      </c>
      <c r="ER19" s="7" t="str">
        <f t="shared" si="207"/>
        <v/>
      </c>
      <c r="ES19" s="21" t="str">
        <f t="shared" si="132"/>
        <v/>
      </c>
      <c r="ET19" s="5" t="str">
        <f t="shared" si="44"/>
        <v/>
      </c>
      <c r="EU19" s="10" t="str">
        <f t="shared" si="45"/>
        <v/>
      </c>
      <c r="EV19" s="174" t="str">
        <f t="shared" si="254"/>
        <v/>
      </c>
      <c r="EW19" s="9" t="str">
        <f t="shared" si="133"/>
        <v/>
      </c>
      <c r="EX19" s="5" t="str">
        <f t="shared" si="47"/>
        <v/>
      </c>
      <c r="EY19" s="6" t="str">
        <f t="shared" si="208"/>
        <v/>
      </c>
      <c r="EZ19" s="51" t="str">
        <f t="shared" si="209"/>
        <v/>
      </c>
      <c r="FA19" s="266" t="str">
        <f t="shared" si="134"/>
        <v/>
      </c>
      <c r="FB19" s="267" t="str">
        <f t="shared" si="135"/>
        <v/>
      </c>
      <c r="FC19" s="269" t="str">
        <f t="shared" si="48"/>
        <v/>
      </c>
      <c r="FD19" s="4" t="str">
        <f t="shared" si="136"/>
        <v/>
      </c>
      <c r="FE19" s="5" t="str">
        <f t="shared" si="49"/>
        <v/>
      </c>
      <c r="FF19" s="7" t="str">
        <f t="shared" si="210"/>
        <v/>
      </c>
      <c r="FG19" s="173" t="str">
        <f t="shared" si="211"/>
        <v/>
      </c>
      <c r="FH19" s="5" t="str">
        <f t="shared" si="50"/>
        <v/>
      </c>
      <c r="FI19" s="10" t="str">
        <f t="shared" si="51"/>
        <v/>
      </c>
      <c r="FJ19" s="279" t="str">
        <f t="shared" si="212"/>
        <v/>
      </c>
      <c r="FK19" s="4" t="str">
        <f t="shared" si="52"/>
        <v/>
      </c>
      <c r="FL19" s="5" t="str">
        <f t="shared" si="213"/>
        <v/>
      </c>
      <c r="FM19" s="8" t="str">
        <f t="shared" si="214"/>
        <v/>
      </c>
      <c r="FN19" s="9" t="str">
        <f t="shared" si="215"/>
        <v/>
      </c>
      <c r="FO19" s="10" t="str">
        <f t="shared" si="53"/>
        <v/>
      </c>
      <c r="FP19" s="277" t="str">
        <f t="shared" si="54"/>
        <v/>
      </c>
      <c r="FQ19" s="173" t="str">
        <f t="shared" si="243"/>
        <v/>
      </c>
      <c r="FR19" s="10" t="str">
        <f t="shared" si="216"/>
        <v/>
      </c>
      <c r="FS19" s="9" t="str">
        <f t="shared" si="217"/>
        <v/>
      </c>
      <c r="FT19" s="6" t="str">
        <f t="shared" si="218"/>
        <v/>
      </c>
      <c r="FU19" s="4" t="str">
        <f t="shared" si="219"/>
        <v/>
      </c>
      <c r="FV19" s="5" t="str">
        <f t="shared" si="220"/>
        <v/>
      </c>
      <c r="FW19" s="8" t="str">
        <f t="shared" si="244"/>
        <v/>
      </c>
      <c r="FX19" s="9" t="str">
        <f t="shared" si="245"/>
        <v/>
      </c>
      <c r="FY19" s="10" t="str">
        <f t="shared" si="55"/>
        <v/>
      </c>
      <c r="FZ19" s="277" t="str">
        <f t="shared" si="246"/>
        <v/>
      </c>
      <c r="GA19" s="177" t="str">
        <f t="shared" si="221"/>
        <v/>
      </c>
      <c r="GB19" s="4" t="str">
        <f t="shared" si="222"/>
        <v/>
      </c>
      <c r="GC19" s="5" t="str">
        <f t="shared" si="223"/>
        <v/>
      </c>
      <c r="GD19" s="10" t="str">
        <f t="shared" si="224"/>
        <v/>
      </c>
      <c r="GE19" s="311" t="str">
        <f t="shared" si="225"/>
        <v/>
      </c>
      <c r="GF19" s="341" t="str">
        <f t="shared" si="247"/>
        <v/>
      </c>
      <c r="GG19" s="285" t="str">
        <f t="shared" si="56"/>
        <v/>
      </c>
      <c r="GH19" s="286" t="str">
        <f t="shared" si="57"/>
        <v/>
      </c>
      <c r="GI19" s="281" t="str">
        <f t="shared" si="58"/>
        <v/>
      </c>
      <c r="GJ19" s="167" t="str">
        <f t="shared" si="226"/>
        <v/>
      </c>
      <c r="GK19" s="174" t="str">
        <f t="shared" si="59"/>
        <v/>
      </c>
      <c r="GL19" s="174" t="str">
        <f t="shared" si="227"/>
        <v/>
      </c>
      <c r="GM19" s="177" t="str">
        <f t="shared" si="248"/>
        <v/>
      </c>
      <c r="GN19" s="280" t="str">
        <f t="shared" si="228"/>
        <v/>
      </c>
      <c r="GO19" s="4" t="str">
        <f t="shared" si="229"/>
        <v/>
      </c>
      <c r="GP19" s="8" t="str">
        <f t="shared" si="249"/>
        <v/>
      </c>
      <c r="GQ19" s="177" t="str">
        <f t="shared" si="230"/>
        <v/>
      </c>
      <c r="GR19" s="371" t="str">
        <f t="shared" si="250"/>
        <v/>
      </c>
      <c r="GS19" s="342" t="str">
        <f t="shared" si="61"/>
        <v/>
      </c>
      <c r="GT19" s="343" t="str">
        <f t="shared" si="62"/>
        <v/>
      </c>
      <c r="GU19" s="344" t="str">
        <f t="shared" si="63"/>
        <v/>
      </c>
      <c r="GV19" s="343" t="str">
        <f t="shared" si="252"/>
        <v/>
      </c>
      <c r="GW19" s="345" t="str">
        <f t="shared" si="64"/>
        <v/>
      </c>
      <c r="GX19" s="346" t="str">
        <f t="shared" si="65"/>
        <v/>
      </c>
      <c r="GY19" s="344" t="str">
        <f t="shared" si="66"/>
        <v/>
      </c>
      <c r="GZ19" s="345" t="str">
        <f t="shared" si="67"/>
        <v/>
      </c>
      <c r="HA19" s="342" t="str">
        <f t="shared" si="68"/>
        <v/>
      </c>
      <c r="HB19" s="5" t="str">
        <f t="shared" si="231"/>
        <v/>
      </c>
      <c r="HC19" s="343" t="str">
        <f t="shared" si="232"/>
        <v/>
      </c>
      <c r="HD19" s="345" t="str">
        <f t="shared" si="233"/>
        <v/>
      </c>
      <c r="HE19" s="344" t="str">
        <f t="shared" si="69"/>
        <v/>
      </c>
      <c r="HF19" s="5" t="str">
        <f t="shared" si="70"/>
        <v/>
      </c>
      <c r="HG19" s="343" t="str">
        <f t="shared" si="234"/>
        <v/>
      </c>
      <c r="HH19" s="349" t="str">
        <f t="shared" si="235"/>
        <v/>
      </c>
      <c r="HI19" s="317" t="str">
        <f t="shared" si="71"/>
        <v/>
      </c>
      <c r="HJ19" s="336"/>
      <c r="HK19" s="310" t="str">
        <f t="shared" si="137"/>
        <v/>
      </c>
      <c r="HL19" s="348" t="str">
        <f t="shared" si="72"/>
        <v/>
      </c>
      <c r="HM19" s="909" t="str">
        <f t="shared" si="138"/>
        <v/>
      </c>
      <c r="HN19" s="910" t="str">
        <f t="shared" si="73"/>
        <v/>
      </c>
      <c r="HO19" s="911"/>
      <c r="HP19" s="912"/>
      <c r="HQ19" s="910" t="str">
        <f t="shared" si="74"/>
        <v/>
      </c>
      <c r="HR19" s="913" t="str">
        <f t="shared" si="75"/>
        <v/>
      </c>
      <c r="HS19" s="865" t="str">
        <f t="shared" si="251"/>
        <v/>
      </c>
      <c r="HT19" s="875" t="str">
        <f t="shared" si="76"/>
        <v/>
      </c>
      <c r="HU19" s="876" t="str">
        <f t="shared" si="77"/>
        <v/>
      </c>
      <c r="HV19" s="872" t="str">
        <f t="shared" si="78"/>
        <v/>
      </c>
      <c r="HW19" s="866" t="str">
        <f t="shared" si="79"/>
        <v/>
      </c>
      <c r="HX19" s="867" t="str">
        <f t="shared" si="80"/>
        <v/>
      </c>
      <c r="HY19" s="866" t="str">
        <f t="shared" si="81"/>
        <v/>
      </c>
      <c r="HZ19" s="868" t="str">
        <f t="shared" si="82"/>
        <v/>
      </c>
      <c r="IA19" s="869" t="str">
        <f t="shared" si="83"/>
        <v/>
      </c>
      <c r="IB19" s="870" t="str">
        <f t="shared" si="84"/>
        <v/>
      </c>
      <c r="IC19" s="841" t="str">
        <f t="shared" si="85"/>
        <v/>
      </c>
      <c r="ID19" s="351" t="str">
        <f t="shared" si="86"/>
        <v/>
      </c>
      <c r="IE19" s="843" t="str">
        <f t="shared" si="87"/>
        <v/>
      </c>
      <c r="IF19" s="844"/>
      <c r="IG19" s="790" t="str">
        <f>IFERROR(IF($IW19="","",IF($IW19&lt;(((Settings!$C$19/2)*-1)*$IG$8),"Taper","Nose")),"")</f>
        <v>Nose</v>
      </c>
      <c r="IH19" s="482" t="str">
        <f>IFERROR(IF((((($IY19*COS(RADIANS(180-$JA19)))*COS(RADIANS($JA19)))-(($IZ19*SIN(RADIANS(180-$JA19)))*SIN(RADIANS($JA19))))+$IW19)&lt;(((Settings!$C$19+$IH$8)/2)*-1),"Gage",""),"")</f>
        <v/>
      </c>
      <c r="II19" s="788">
        <f t="shared" si="236"/>
        <v>1.2170000000000001</v>
      </c>
      <c r="IJ19" s="674" cm="1">
        <f t="array" ref="IJ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1.117</v>
      </c>
      <c r="IK19" s="677" cm="1">
        <f t="array" ref="IK19">IFERROR(ROUND(VALUE(IF($IJ19&lt;1,$IJ19+LARGE((IF($M$9:$M$150="",0,$M$9:$M$150)-MOD(IF($M$9:$M$150="",0,$M$9:$M$150),1)),1),$IJ19)),4),"")</f>
        <v>1.117</v>
      </c>
      <c r="IL19" s="482">
        <f t="shared" si="88"/>
        <v>1613</v>
      </c>
      <c r="IM19" s="482" t="str">
        <f t="shared" si="237"/>
        <v>CPS-32193r1</v>
      </c>
      <c r="IN19" s="670">
        <f t="shared" si="90"/>
        <v>17.863162982049289</v>
      </c>
      <c r="IO19" s="702">
        <v>6.7656708578437294E-2</v>
      </c>
      <c r="IP19" s="5">
        <f t="shared" si="91"/>
        <v>1.6</v>
      </c>
      <c r="IQ19" s="714">
        <v>800</v>
      </c>
      <c r="IR19" s="9">
        <f t="shared" si="139"/>
        <v>-3.3213108411312309</v>
      </c>
      <c r="IS19" s="5">
        <f t="shared" si="92"/>
        <v>-0.10477236489563337</v>
      </c>
      <c r="IT19" s="5">
        <f t="shared" si="93"/>
        <v>0.3125</v>
      </c>
      <c r="IU19" s="5">
        <f t="shared" si="94"/>
        <v>0.3008116548210138</v>
      </c>
      <c r="IV19" s="670">
        <f t="shared" si="95"/>
        <v>13.374429842880255</v>
      </c>
      <c r="IW19" s="9">
        <f t="shared" si="96"/>
        <v>-3.3201755508845281</v>
      </c>
      <c r="IX19" s="5">
        <f t="shared" si="97"/>
        <v>-0.13926712580907585</v>
      </c>
      <c r="IY19" s="5">
        <f t="shared" si="98"/>
        <v>0.255</v>
      </c>
      <c r="IZ19" s="5">
        <f t="shared" si="99"/>
        <v>0.255</v>
      </c>
      <c r="JA19" s="705">
        <f t="shared" si="100"/>
        <v>5.9999991337073153</v>
      </c>
      <c r="JD19" s="1278" t="s">
        <v>356</v>
      </c>
      <c r="JE19" s="1279"/>
      <c r="JF19" s="1279"/>
      <c r="JG19" s="1279"/>
      <c r="JH19" s="1279"/>
      <c r="JI19" s="1279"/>
      <c r="JJ19" s="1279"/>
      <c r="JK19" s="1280"/>
    </row>
    <row r="20" spans="1:271" ht="15" customHeight="1" x14ac:dyDescent="0.25">
      <c r="A20" s="75">
        <f t="shared" si="1"/>
        <v>0.02</v>
      </c>
      <c r="B20" s="578">
        <f t="shared" si="2"/>
        <v>0.90291893765662457</v>
      </c>
      <c r="C20" s="572">
        <f t="shared" si="3"/>
        <v>3.945012013339166</v>
      </c>
      <c r="D20" s="576">
        <f t="shared" si="4"/>
        <v>-0.38712009657744256</v>
      </c>
      <c r="E20" s="580">
        <f t="shared" si="5"/>
        <v>-0.84607041262505911</v>
      </c>
      <c r="F20" s="572">
        <f t="shared" si="6"/>
        <v>0.41305318949291936</v>
      </c>
      <c r="G20" s="579">
        <f t="shared" si="7"/>
        <v>0.33697465710374852</v>
      </c>
      <c r="H20" s="580">
        <f t="shared" si="8"/>
        <v>0.26450000000000001</v>
      </c>
      <c r="I20" s="572">
        <f t="shared" si="9"/>
        <v>0.52</v>
      </c>
      <c r="J20" s="483">
        <f t="shared" si="10"/>
        <v>1.2230000000000001</v>
      </c>
      <c r="K20" s="806">
        <f t="shared" si="11"/>
        <v>1313</v>
      </c>
      <c r="L20" s="717">
        <f>IF($L19=$JJ$22,$JJ$30,IF($L19=$JK$22,$JK$30,""))</f>
        <v>770</v>
      </c>
      <c r="M20" s="164">
        <f t="shared" si="12"/>
        <v>1.2230000000000001</v>
      </c>
      <c r="N20" s="575">
        <f t="shared" si="13"/>
        <v>0.90291893765662457</v>
      </c>
      <c r="O20" s="572">
        <f t="shared" si="14"/>
        <v>3.945012013339166</v>
      </c>
      <c r="P20" s="576">
        <f t="shared" si="15"/>
        <v>-0.38712009657744256</v>
      </c>
      <c r="Q20" s="528">
        <f t="shared" si="140"/>
        <v>77.108410241370493</v>
      </c>
      <c r="R20" s="572">
        <f>IF(M20="","",SQRT(N20^2+O20^2))</f>
        <v>4.0470214224005918</v>
      </c>
      <c r="S20" s="577">
        <f>IF(M20="","",P20)</f>
        <v>-0.38712009657744256</v>
      </c>
      <c r="T20" s="578">
        <f>IF(M20="","",X20*COS(RADIANS(W20)))</f>
        <v>3.9517212383417064</v>
      </c>
      <c r="U20" s="572">
        <f>IF(M20="","",X20*SIN(RADIANS(W20)))</f>
        <v>-0.87308742277529061</v>
      </c>
      <c r="V20" s="579">
        <f>IF(M20="","",Y20)</f>
        <v>-0.38712009657744256</v>
      </c>
      <c r="W20" s="528">
        <f t="shared" si="253"/>
        <v>347.54130108724149</v>
      </c>
      <c r="X20" s="572">
        <f>IF(M20="","",R20)</f>
        <v>4.0470214224005918</v>
      </c>
      <c r="Y20" s="573">
        <f t="shared" si="255"/>
        <v>-0.38712009657744256</v>
      </c>
      <c r="Z20" s="575">
        <f t="shared" si="18"/>
        <v>0.84607041262505911</v>
      </c>
      <c r="AA20" s="572">
        <f t="shared" si="19"/>
        <v>-0.41305318949291936</v>
      </c>
      <c r="AB20" s="572">
        <f t="shared" si="20"/>
        <v>-0.33697465710374852</v>
      </c>
      <c r="AC20" s="579">
        <f>IF(M20="","",SQRT(Z20^2+AA20^2+AB20^2))</f>
        <v>1</v>
      </c>
      <c r="AD20" s="580">
        <f>IF(M20="","",Z20*(1/SQRT(Z20^2+AA20^2+AB20^2)))</f>
        <v>0.84607041262505911</v>
      </c>
      <c r="AE20" s="572">
        <f>IF(M20="","",AA20*(1/SQRT(Z20^2+AA20^2+AB20^2)))</f>
        <v>-0.41305318949291936</v>
      </c>
      <c r="AF20" s="576">
        <f>IF(M20="","",AB20*(1/SQRT(Z20^2+AA20^2+AB20^2)))</f>
        <v>-0.33697465710374852</v>
      </c>
      <c r="AG20" s="545">
        <f>IF(M20="","",DEGREES(ATAN2(-AF20,AE20)))</f>
        <v>-50.791945908118322</v>
      </c>
      <c r="AH20" s="546">
        <f>IF(M20="","",DEGREES(ACOS(AD20)))</f>
        <v>32.213196255977067</v>
      </c>
      <c r="AI20" s="528">
        <f>IF(M20="","",DEGREES(-ACOS(-AF20)))</f>
        <v>-70.307339356711495</v>
      </c>
      <c r="AJ20" s="529">
        <f>IF(M20="","",DEGREES(ATAN2(-AE20,AD20)))</f>
        <v>63.978281443980727</v>
      </c>
      <c r="AK20" s="578">
        <f>IF(M20="","",(COS(RADIANS((90-$Q$8)-W20))*AD20)+(-SIN(RADIANS((90-$Q$8)-W20))*AE20))</f>
        <v>0.91689939382337371</v>
      </c>
      <c r="AL20" s="572">
        <f>IF(M20="","",(SIN(RADIANS((90-$Q$8)-W20))*AD20)+(COS(RADIANS((90-$Q$8)-W20))*AE20))</f>
        <v>-0.21387749315003007</v>
      </c>
      <c r="AM20" s="577">
        <f>IF(M20="","",AF20)</f>
        <v>-0.33697465710374852</v>
      </c>
      <c r="AN20" s="524">
        <f>IF(M20="","",DEGREES(ATAN2(-AM20,AL20)))</f>
        <v>-32.403257224374144</v>
      </c>
      <c r="AO20" s="525">
        <f t="shared" si="116"/>
        <v>23.52307731097898</v>
      </c>
      <c r="AP20" s="528">
        <f>IF(M20="","",DEGREES(ATAN2(AK20,AL20)))</f>
        <v>-13.130128797389789</v>
      </c>
      <c r="AQ20" s="529">
        <f t="shared" si="21"/>
        <v>1.1264743372144683</v>
      </c>
      <c r="AS20" s="932">
        <f t="shared" si="143"/>
        <v>347.54130108724149</v>
      </c>
      <c r="AT20" s="928">
        <f t="shared" si="22"/>
        <v>-0.37354092893994101</v>
      </c>
      <c r="AU20" s="418"/>
      <c r="AV20" s="164" t="str">
        <f t="shared" si="23"/>
        <v/>
      </c>
      <c r="AW20" s="829" t="str">
        <f>IFERROR(INDEX(MassProp!C$9:C$150,MATCH($M20,MassProp!$B$9:$B$150,0)),"")</f>
        <v/>
      </c>
      <c r="AX20" s="830" t="str">
        <f>IFERROR(INDEX(MassProp!D$9:D$150,MATCH($M20,MassProp!$B$9:$B$150,0)),"")</f>
        <v/>
      </c>
      <c r="AY20" s="831" t="str">
        <f>IFERROR(INDEX(MassProp!E$9:E$150,MATCH($M20,MassProp!$B$9:$B$150,0)),"")</f>
        <v/>
      </c>
      <c r="AZ20" s="297" t="str">
        <f t="shared" si="144"/>
        <v/>
      </c>
      <c r="BA20" s="296" t="str">
        <f t="shared" si="24"/>
        <v/>
      </c>
      <c r="BB20" s="190" t="str">
        <f t="shared" si="145"/>
        <v/>
      </c>
      <c r="BC20" s="9"/>
      <c r="BD20" s="5" t="str">
        <f t="shared" si="146"/>
        <v/>
      </c>
      <c r="BE20" s="6" t="str">
        <f t="shared" si="25"/>
        <v/>
      </c>
      <c r="BF20" s="4" t="str">
        <f t="shared" si="26"/>
        <v/>
      </c>
      <c r="BG20" s="5" t="str">
        <f t="shared" si="27"/>
        <v/>
      </c>
      <c r="BH20" s="10" t="str">
        <f t="shared" si="28"/>
        <v/>
      </c>
      <c r="BI20" s="9" t="str">
        <f t="shared" si="147"/>
        <v/>
      </c>
      <c r="BJ20" s="5" t="str">
        <f t="shared" si="29"/>
        <v/>
      </c>
      <c r="BK20" s="8" t="str">
        <f t="shared" si="30"/>
        <v/>
      </c>
      <c r="BL20" s="173" t="str">
        <f t="shared" si="31"/>
        <v/>
      </c>
      <c r="BM20" s="5" t="str">
        <f t="shared" si="32"/>
        <v/>
      </c>
      <c r="BN20" s="6" t="str">
        <f t="shared" si="33"/>
        <v/>
      </c>
      <c r="BO20" s="4" t="str">
        <f t="shared" si="148"/>
        <v/>
      </c>
      <c r="BP20" s="5" t="str">
        <f t="shared" si="239"/>
        <v/>
      </c>
      <c r="BQ20" s="5" t="str">
        <f t="shared" si="149"/>
        <v/>
      </c>
      <c r="BR20" s="6" t="str">
        <f t="shared" si="150"/>
        <v/>
      </c>
      <c r="BS20" s="4" t="str">
        <f t="shared" si="118"/>
        <v/>
      </c>
      <c r="BT20" s="5" t="str">
        <f t="shared" si="118"/>
        <v/>
      </c>
      <c r="BU20" s="10" t="str">
        <f t="shared" si="119"/>
        <v/>
      </c>
      <c r="BV20" s="9" t="str">
        <f t="shared" si="120"/>
        <v/>
      </c>
      <c r="BW20" s="5" t="str">
        <f t="shared" si="121"/>
        <v/>
      </c>
      <c r="BX20" s="8" t="str">
        <f t="shared" si="122"/>
        <v/>
      </c>
      <c r="BY20" s="173" t="str">
        <f t="shared" si="123"/>
        <v/>
      </c>
      <c r="BZ20" s="5" t="str">
        <f t="shared" si="124"/>
        <v/>
      </c>
      <c r="CA20" s="6" t="str">
        <f t="shared" si="125"/>
        <v/>
      </c>
      <c r="CB20" s="4" t="str">
        <f t="shared" si="151"/>
        <v/>
      </c>
      <c r="CC20" s="5" t="str">
        <f t="shared" si="152"/>
        <v/>
      </c>
      <c r="CD20" s="5" t="str">
        <f t="shared" si="153"/>
        <v/>
      </c>
      <c r="CE20" s="6" t="str">
        <f t="shared" si="154"/>
        <v/>
      </c>
      <c r="CF20" s="4" t="str">
        <f t="shared" si="155"/>
        <v/>
      </c>
      <c r="CG20" s="5" t="str">
        <f t="shared" si="156"/>
        <v/>
      </c>
      <c r="CH20" s="5" t="str">
        <f t="shared" si="157"/>
        <v/>
      </c>
      <c r="CI20" s="4" t="str">
        <f t="shared" si="126"/>
        <v/>
      </c>
      <c r="CJ20" s="5" t="str">
        <f t="shared" si="127"/>
        <v/>
      </c>
      <c r="CK20" s="8" t="str">
        <f t="shared" si="128"/>
        <v/>
      </c>
      <c r="CL20" s="173" t="str">
        <f t="shared" si="129"/>
        <v/>
      </c>
      <c r="CM20" s="5" t="str">
        <f t="shared" si="130"/>
        <v/>
      </c>
      <c r="CN20" s="6" t="str">
        <f t="shared" si="131"/>
        <v/>
      </c>
      <c r="CO20" s="167" t="str">
        <f t="shared" si="35"/>
        <v/>
      </c>
      <c r="CP20" s="4" t="str">
        <f t="shared" si="240"/>
        <v/>
      </c>
      <c r="CQ20" s="5" t="str">
        <f t="shared" si="241"/>
        <v/>
      </c>
      <c r="CR20" s="5" t="str">
        <f t="shared" si="158"/>
        <v/>
      </c>
      <c r="CS20" s="8" t="str">
        <f t="shared" si="159"/>
        <v/>
      </c>
      <c r="CT20" s="9" t="str">
        <f t="shared" si="160"/>
        <v/>
      </c>
      <c r="CU20" s="6" t="str">
        <f t="shared" si="161"/>
        <v/>
      </c>
      <c r="CV20" s="4" t="str">
        <f t="shared" si="242"/>
        <v/>
      </c>
      <c r="CW20" s="5" t="str">
        <f t="shared" si="162"/>
        <v/>
      </c>
      <c r="CX20" s="8" t="str">
        <f t="shared" si="163"/>
        <v/>
      </c>
      <c r="CY20" s="9" t="str">
        <f t="shared" si="164"/>
        <v/>
      </c>
      <c r="CZ20" s="5" t="str">
        <f t="shared" si="165"/>
        <v/>
      </c>
      <c r="DA20" s="6" t="str">
        <f t="shared" si="166"/>
        <v/>
      </c>
      <c r="DB20" s="4" t="str">
        <f t="shared" si="167"/>
        <v/>
      </c>
      <c r="DC20" s="5" t="str">
        <f t="shared" si="167"/>
        <v/>
      </c>
      <c r="DD20" s="10" t="str">
        <f t="shared" si="168"/>
        <v/>
      </c>
      <c r="DE20" s="9" t="str">
        <f t="shared" si="169"/>
        <v/>
      </c>
      <c r="DF20" s="5" t="str">
        <f t="shared" si="169"/>
        <v/>
      </c>
      <c r="DG20" s="10" t="str">
        <f t="shared" si="170"/>
        <v/>
      </c>
      <c r="DH20" s="70" t="str">
        <f t="shared" si="171"/>
        <v/>
      </c>
      <c r="DI20" s="4" t="str">
        <f t="shared" si="172"/>
        <v/>
      </c>
      <c r="DJ20" s="5" t="str">
        <f t="shared" si="173"/>
        <v/>
      </c>
      <c r="DK20" s="10" t="str">
        <f t="shared" si="174"/>
        <v/>
      </c>
      <c r="DL20" s="9" t="str">
        <f t="shared" si="175"/>
        <v/>
      </c>
      <c r="DM20" s="173" t="str">
        <f t="shared" si="176"/>
        <v/>
      </c>
      <c r="DN20" s="178" t="str">
        <f t="shared" si="177"/>
        <v/>
      </c>
      <c r="DO20" s="9" t="str">
        <f t="shared" si="178"/>
        <v/>
      </c>
      <c r="DP20" s="173" t="str">
        <f t="shared" si="179"/>
        <v/>
      </c>
      <c r="DQ20" s="11" t="str">
        <f t="shared" si="180"/>
        <v/>
      </c>
      <c r="DR20" s="173" t="str">
        <f t="shared" si="181"/>
        <v/>
      </c>
      <c r="DS20" s="5" t="str">
        <f t="shared" si="182"/>
        <v/>
      </c>
      <c r="DT20" s="5" t="str">
        <f t="shared" si="183"/>
        <v/>
      </c>
      <c r="DU20" s="5" t="str">
        <f t="shared" si="184"/>
        <v/>
      </c>
      <c r="DV20" s="5" t="str">
        <f t="shared" si="185"/>
        <v/>
      </c>
      <c r="DW20" s="5" t="str">
        <f t="shared" si="186"/>
        <v/>
      </c>
      <c r="DX20" s="167" t="str">
        <f t="shared" si="187"/>
        <v/>
      </c>
      <c r="DY20" s="9" t="str">
        <f t="shared" si="188"/>
        <v/>
      </c>
      <c r="DZ20" s="5" t="str">
        <f t="shared" si="189"/>
        <v/>
      </c>
      <c r="EA20" s="10" t="str">
        <f t="shared" si="190"/>
        <v/>
      </c>
      <c r="EB20" s="6" t="str">
        <f t="shared" si="191"/>
        <v/>
      </c>
      <c r="EC20" s="173" t="str">
        <f t="shared" si="192"/>
        <v/>
      </c>
      <c r="ED20" s="5" t="str">
        <f t="shared" si="193"/>
        <v/>
      </c>
      <c r="EE20" s="4" t="str">
        <f t="shared" si="194"/>
        <v/>
      </c>
      <c r="EF20" s="5" t="str">
        <f t="shared" si="195"/>
        <v/>
      </c>
      <c r="EG20" s="10" t="str">
        <f t="shared" si="196"/>
        <v/>
      </c>
      <c r="EH20" s="9" t="str">
        <f t="shared" si="197"/>
        <v/>
      </c>
      <c r="EI20" s="5" t="str">
        <f t="shared" si="198"/>
        <v/>
      </c>
      <c r="EJ20" s="6" t="str">
        <f t="shared" si="199"/>
        <v/>
      </c>
      <c r="EK20" s="236" t="str">
        <f t="shared" si="200"/>
        <v/>
      </c>
      <c r="EL20" s="238" t="str">
        <f t="shared" si="201"/>
        <v/>
      </c>
      <c r="EM20" s="4" t="str">
        <f t="shared" si="202"/>
        <v/>
      </c>
      <c r="EN20" s="5" t="str">
        <f t="shared" si="203"/>
        <v/>
      </c>
      <c r="EO20" s="10" t="str">
        <f t="shared" si="204"/>
        <v/>
      </c>
      <c r="EP20" s="9" t="str">
        <f t="shared" si="205"/>
        <v/>
      </c>
      <c r="EQ20" s="5" t="str">
        <f>IF(ISNUMBER($AV20),SQRT(EM20^2+EN20^2),"")</f>
        <v/>
      </c>
      <c r="ER20" s="7" t="str">
        <f t="shared" si="207"/>
        <v/>
      </c>
      <c r="ES20" s="21" t="str">
        <f t="shared" si="132"/>
        <v/>
      </c>
      <c r="ET20" s="5" t="str">
        <f t="shared" si="44"/>
        <v/>
      </c>
      <c r="EU20" s="10" t="str">
        <f t="shared" si="45"/>
        <v/>
      </c>
      <c r="EV20" s="174" t="str">
        <f>IF(ISNUMBER($AV20),IF(($EV$1-EP20)&lt;0,(360+($EV$1-EP20)),($EV$1-EP20)),"")</f>
        <v/>
      </c>
      <c r="EW20" s="9" t="str">
        <f t="shared" si="133"/>
        <v/>
      </c>
      <c r="EX20" s="5" t="str">
        <f t="shared" si="47"/>
        <v/>
      </c>
      <c r="EY20" s="6" t="str">
        <f t="shared" si="208"/>
        <v/>
      </c>
      <c r="EZ20" s="51" t="str">
        <f t="shared" si="209"/>
        <v/>
      </c>
      <c r="FA20" s="266" t="str">
        <f t="shared" si="134"/>
        <v/>
      </c>
      <c r="FB20" s="267" t="str">
        <f t="shared" si="135"/>
        <v/>
      </c>
      <c r="FC20" s="269" t="str">
        <f t="shared" si="48"/>
        <v/>
      </c>
      <c r="FD20" s="4" t="str">
        <f t="shared" si="136"/>
        <v/>
      </c>
      <c r="FE20" s="5" t="str">
        <f t="shared" si="49"/>
        <v/>
      </c>
      <c r="FF20" s="7" t="str">
        <f t="shared" si="210"/>
        <v/>
      </c>
      <c r="FG20" s="173" t="str">
        <f t="shared" si="211"/>
        <v/>
      </c>
      <c r="FH20" s="5" t="str">
        <f t="shared" si="50"/>
        <v/>
      </c>
      <c r="FI20" s="10" t="str">
        <f t="shared" si="51"/>
        <v/>
      </c>
      <c r="FJ20" s="279" t="str">
        <f t="shared" si="212"/>
        <v/>
      </c>
      <c r="FK20" s="4" t="str">
        <f t="shared" si="52"/>
        <v/>
      </c>
      <c r="FL20" s="5" t="str">
        <f t="shared" si="213"/>
        <v/>
      </c>
      <c r="FM20" s="8" t="str">
        <f t="shared" si="214"/>
        <v/>
      </c>
      <c r="FN20" s="9" t="str">
        <f t="shared" si="215"/>
        <v/>
      </c>
      <c r="FO20" s="10" t="str">
        <f t="shared" si="53"/>
        <v/>
      </c>
      <c r="FP20" s="277" t="str">
        <f t="shared" si="54"/>
        <v/>
      </c>
      <c r="FQ20" s="173" t="str">
        <f t="shared" si="243"/>
        <v/>
      </c>
      <c r="FR20" s="10" t="str">
        <f t="shared" si="216"/>
        <v/>
      </c>
      <c r="FS20" s="9" t="str">
        <f t="shared" si="217"/>
        <v/>
      </c>
      <c r="FT20" s="6" t="str">
        <f t="shared" si="218"/>
        <v/>
      </c>
      <c r="FU20" s="4" t="str">
        <f t="shared" si="219"/>
        <v/>
      </c>
      <c r="FV20" s="5" t="str">
        <f t="shared" si="220"/>
        <v/>
      </c>
      <c r="FW20" s="8" t="str">
        <f t="shared" si="244"/>
        <v/>
      </c>
      <c r="FX20" s="9" t="str">
        <f t="shared" si="245"/>
        <v/>
      </c>
      <c r="FY20" s="10" t="str">
        <f t="shared" si="55"/>
        <v/>
      </c>
      <c r="FZ20" s="277" t="str">
        <f t="shared" si="246"/>
        <v/>
      </c>
      <c r="GA20" s="177" t="str">
        <f t="shared" si="221"/>
        <v/>
      </c>
      <c r="GB20" s="4" t="str">
        <f t="shared" si="222"/>
        <v/>
      </c>
      <c r="GC20" s="5" t="str">
        <f t="shared" si="223"/>
        <v/>
      </c>
      <c r="GD20" s="10" t="str">
        <f t="shared" si="224"/>
        <v/>
      </c>
      <c r="GE20" s="311" t="str">
        <f t="shared" si="225"/>
        <v/>
      </c>
      <c r="GF20" s="341" t="str">
        <f t="shared" si="247"/>
        <v/>
      </c>
      <c r="GG20" s="285" t="str">
        <f t="shared" si="56"/>
        <v/>
      </c>
      <c r="GH20" s="286" t="str">
        <f t="shared" si="57"/>
        <v/>
      </c>
      <c r="GI20" s="281" t="str">
        <f t="shared" si="58"/>
        <v/>
      </c>
      <c r="GJ20" s="167" t="str">
        <f t="shared" si="226"/>
        <v/>
      </c>
      <c r="GK20" s="174" t="str">
        <f t="shared" si="59"/>
        <v/>
      </c>
      <c r="GL20" s="174" t="str">
        <f t="shared" si="227"/>
        <v/>
      </c>
      <c r="GM20" s="177" t="str">
        <f t="shared" si="248"/>
        <v/>
      </c>
      <c r="GN20" s="280" t="str">
        <f t="shared" si="228"/>
        <v/>
      </c>
      <c r="GO20" s="4" t="str">
        <f t="shared" si="229"/>
        <v/>
      </c>
      <c r="GP20" s="8" t="str">
        <f t="shared" si="249"/>
        <v/>
      </c>
      <c r="GQ20" s="177" t="str">
        <f t="shared" si="230"/>
        <v/>
      </c>
      <c r="GR20" s="371" t="str">
        <f t="shared" si="250"/>
        <v/>
      </c>
      <c r="GS20" s="342" t="str">
        <f t="shared" si="61"/>
        <v/>
      </c>
      <c r="GT20" s="343" t="str">
        <f t="shared" si="62"/>
        <v/>
      </c>
      <c r="GU20" s="344" t="str">
        <f t="shared" si="63"/>
        <v/>
      </c>
      <c r="GV20" s="343" t="str">
        <f t="shared" si="252"/>
        <v/>
      </c>
      <c r="GW20" s="345" t="str">
        <f t="shared" si="64"/>
        <v/>
      </c>
      <c r="GX20" s="346" t="str">
        <f t="shared" si="65"/>
        <v/>
      </c>
      <c r="GY20" s="344" t="str">
        <f t="shared" si="66"/>
        <v/>
      </c>
      <c r="GZ20" s="345" t="str">
        <f t="shared" si="67"/>
        <v/>
      </c>
      <c r="HA20" s="342" t="str">
        <f t="shared" si="68"/>
        <v/>
      </c>
      <c r="HB20" s="5" t="str">
        <f t="shared" si="231"/>
        <v/>
      </c>
      <c r="HC20" s="343" t="str">
        <f t="shared" si="232"/>
        <v/>
      </c>
      <c r="HD20" s="345" t="str">
        <f t="shared" si="233"/>
        <v/>
      </c>
      <c r="HE20" s="344" t="str">
        <f t="shared" si="69"/>
        <v/>
      </c>
      <c r="HF20" s="5" t="str">
        <f t="shared" si="70"/>
        <v/>
      </c>
      <c r="HG20" s="343" t="str">
        <f t="shared" si="234"/>
        <v/>
      </c>
      <c r="HH20" s="349" t="str">
        <f t="shared" si="235"/>
        <v/>
      </c>
      <c r="HI20" s="317" t="str">
        <f t="shared" si="71"/>
        <v/>
      </c>
      <c r="HJ20" s="336"/>
      <c r="HK20" s="310" t="str">
        <f t="shared" si="137"/>
        <v/>
      </c>
      <c r="HL20" s="348" t="str">
        <f t="shared" si="72"/>
        <v/>
      </c>
      <c r="HM20" s="909" t="str">
        <f t="shared" si="138"/>
        <v/>
      </c>
      <c r="HN20" s="910" t="str">
        <f t="shared" si="73"/>
        <v/>
      </c>
      <c r="HO20" s="911"/>
      <c r="HP20" s="912"/>
      <c r="HQ20" s="910" t="str">
        <f t="shared" si="74"/>
        <v/>
      </c>
      <c r="HR20" s="913" t="str">
        <f t="shared" si="75"/>
        <v/>
      </c>
      <c r="HS20" s="865" t="str">
        <f t="shared" si="251"/>
        <v/>
      </c>
      <c r="HT20" s="875" t="str">
        <f t="shared" si="76"/>
        <v/>
      </c>
      <c r="HU20" s="876" t="str">
        <f t="shared" si="77"/>
        <v/>
      </c>
      <c r="HV20" s="872" t="str">
        <f t="shared" si="78"/>
        <v/>
      </c>
      <c r="HW20" s="866" t="str">
        <f t="shared" si="79"/>
        <v/>
      </c>
      <c r="HX20" s="867" t="str">
        <f t="shared" si="80"/>
        <v/>
      </c>
      <c r="HY20" s="866" t="str">
        <f t="shared" si="81"/>
        <v/>
      </c>
      <c r="HZ20" s="868" t="str">
        <f t="shared" si="82"/>
        <v/>
      </c>
      <c r="IA20" s="869" t="str">
        <f t="shared" si="83"/>
        <v/>
      </c>
      <c r="IB20" s="870" t="str">
        <f t="shared" si="84"/>
        <v/>
      </c>
      <c r="IC20" s="841" t="str">
        <f t="shared" si="85"/>
        <v/>
      </c>
      <c r="ID20" s="351" t="str">
        <f t="shared" si="86"/>
        <v/>
      </c>
      <c r="IE20" s="843" t="str">
        <f t="shared" si="87"/>
        <v/>
      </c>
      <c r="IF20" s="844"/>
      <c r="IG20" s="790" t="str">
        <f>IFERROR(IF($IW20="","",IF($IW20&lt;(((Settings!$C$19/2)*-1)*$IG$8),"Taper","Nose")),"")</f>
        <v>Taper</v>
      </c>
      <c r="IH20" s="482" t="str">
        <f>IFERROR(IF((((($IY20*COS(RADIANS(180-$JA20)))*COS(RADIANS($JA20)))-(($IZ20*SIN(RADIANS(180-$JA20)))*SIN(RADIANS($JA20))))+$IW20)&lt;(((Settings!$C$19+$IH$8)/2)*-1),"Gage",""),"")</f>
        <v/>
      </c>
      <c r="II20" s="788">
        <f t="shared" si="236"/>
        <v>1.2230000000000001</v>
      </c>
      <c r="IJ20" s="674" cm="1">
        <f t="array" ref="IJ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1.123</v>
      </c>
      <c r="IK20" s="677" cm="1">
        <f t="array" ref="IK20">IFERROR(ROUND(VALUE(IF($IJ20&lt;1,$IJ20+LARGE((IF($M$9:$M$150="",0,$M$9:$M$150)-MOD(IF($M$9:$M$150="",0,$M$9:$M$150),1)),1),$IJ20)),4),"")</f>
        <v>1.123</v>
      </c>
      <c r="IL20" s="482">
        <f t="shared" si="88"/>
        <v>1613</v>
      </c>
      <c r="IM20" s="482">
        <f t="shared" si="237"/>
        <v>1313</v>
      </c>
      <c r="IN20" s="670">
        <f t="shared" si="90"/>
        <v>11.889467718748506</v>
      </c>
      <c r="IO20" s="702">
        <v>3.6698083772128298E-2</v>
      </c>
      <c r="IP20" s="5">
        <f t="shared" si="91"/>
        <v>1.52</v>
      </c>
      <c r="IQ20" s="714">
        <v>760</v>
      </c>
      <c r="IR20" s="9">
        <f t="shared" si="139"/>
        <v>-4.0340922214204733</v>
      </c>
      <c r="IS20" s="5">
        <f t="shared" si="92"/>
        <v>-0.387275698883291</v>
      </c>
      <c r="IT20" s="5">
        <f t="shared" si="93"/>
        <v>0.3125</v>
      </c>
      <c r="IU20" s="5">
        <f t="shared" si="94"/>
        <v>0.29631972314127619</v>
      </c>
      <c r="IV20" s="670">
        <f t="shared" si="95"/>
        <v>32.228901208944677</v>
      </c>
      <c r="IW20" s="9">
        <f t="shared" si="96"/>
        <v>-4.0470214224005918</v>
      </c>
      <c r="IX20" s="5">
        <f t="shared" si="97"/>
        <v>-0.38712009657744256</v>
      </c>
      <c r="IY20" s="5">
        <f t="shared" si="98"/>
        <v>0.26450000000000001</v>
      </c>
      <c r="IZ20" s="5">
        <f t="shared" si="99"/>
        <v>0.24251988966628235</v>
      </c>
      <c r="JA20" s="705">
        <f t="shared" si="100"/>
        <v>32.403257224374144</v>
      </c>
      <c r="JC20" s="31"/>
      <c r="JD20" s="1281" t="s">
        <v>360</v>
      </c>
      <c r="JE20" s="1282"/>
      <c r="JF20" s="1282"/>
      <c r="JG20" s="1282"/>
      <c r="JH20" s="1042" t="s">
        <v>361</v>
      </c>
      <c r="JI20" s="1043"/>
      <c r="JJ20" s="1043"/>
      <c r="JK20" s="1044"/>
    </row>
    <row r="21" spans="1:271" ht="15" customHeight="1" x14ac:dyDescent="0.25">
      <c r="A21" s="75">
        <f t="shared" si="1"/>
        <v>0.02</v>
      </c>
      <c r="B21" s="578">
        <f t="shared" si="2"/>
        <v>0.96823275824684518</v>
      </c>
      <c r="C21" s="572">
        <f t="shared" si="3"/>
        <v>4.5153155356057892</v>
      </c>
      <c r="D21" s="576">
        <f t="shared" si="4"/>
        <v>-0.90720747617358721</v>
      </c>
      <c r="E21" s="580">
        <f t="shared" si="5"/>
        <v>-0.79217119160184946</v>
      </c>
      <c r="F21" s="572">
        <f t="shared" si="6"/>
        <v>0.53683945664133548</v>
      </c>
      <c r="G21" s="579">
        <f t="shared" si="7"/>
        <v>0.29028985684853303</v>
      </c>
      <c r="H21" s="580">
        <f t="shared" si="8"/>
        <v>0.26450000000000001</v>
      </c>
      <c r="I21" s="572">
        <f t="shared" si="9"/>
        <v>0.52</v>
      </c>
      <c r="J21" s="483">
        <f t="shared" si="10"/>
        <v>1.2290000000000001</v>
      </c>
      <c r="K21" s="806">
        <f t="shared" si="11"/>
        <v>1313</v>
      </c>
      <c r="L21" s="719" t="s">
        <v>358</v>
      </c>
      <c r="M21" s="164">
        <f t="shared" si="12"/>
        <v>1.2290000000000001</v>
      </c>
      <c r="N21" s="575">
        <f t="shared" si="13"/>
        <v>0.96823275824684518</v>
      </c>
      <c r="O21" s="572">
        <f t="shared" si="14"/>
        <v>4.5153155356057892</v>
      </c>
      <c r="P21" s="576">
        <f t="shared" si="15"/>
        <v>-0.90720747617358721</v>
      </c>
      <c r="Q21" s="528">
        <f t="shared" si="140"/>
        <v>77.897173565374658</v>
      </c>
      <c r="R21" s="572">
        <f>IF(M21="","",SQRT(N21^2+O21^2))</f>
        <v>4.6179594043500742</v>
      </c>
      <c r="S21" s="577">
        <f>IF(M21="","",P21)</f>
        <v>-0.90720747617358721</v>
      </c>
      <c r="T21" s="578">
        <f>IF(M21="","",X21*COS(RADIANS(W21)))</f>
        <v>4.5225019486123115</v>
      </c>
      <c r="U21" s="572">
        <f>IF(M21="","",X21*SIN(RADIANS(W21)))</f>
        <v>-0.93409056574998861</v>
      </c>
      <c r="V21" s="579">
        <f>IF(M21="","",Y21)</f>
        <v>-0.90720747617358721</v>
      </c>
      <c r="W21" s="528">
        <f t="shared" si="253"/>
        <v>348.33006441124564</v>
      </c>
      <c r="X21" s="572">
        <f>IF(M21="","",R21)</f>
        <v>4.6179594043500742</v>
      </c>
      <c r="Y21" s="573">
        <f t="shared" si="255"/>
        <v>-0.90720747617358721</v>
      </c>
      <c r="Z21" s="575">
        <f t="shared" si="18"/>
        <v>0.79217119160184946</v>
      </c>
      <c r="AA21" s="572">
        <f t="shared" si="19"/>
        <v>-0.53683945664133548</v>
      </c>
      <c r="AB21" s="572">
        <f t="shared" si="20"/>
        <v>-0.29028985684853303</v>
      </c>
      <c r="AC21" s="579">
        <f>IF(M21="","",SQRT(Z21^2+AA21^2+AB21^2))</f>
        <v>1</v>
      </c>
      <c r="AD21" s="580">
        <f>IF(M21="","",Z21*(1/SQRT(Z21^2+AA21^2+AB21^2)))</f>
        <v>0.79217119160184946</v>
      </c>
      <c r="AE21" s="572">
        <f>IF(M21="","",AA21*(1/SQRT(Z21^2+AA21^2+AB21^2)))</f>
        <v>-0.53683945664133548</v>
      </c>
      <c r="AF21" s="576">
        <f>IF(M21="","",AB21*(1/SQRT(Z21^2+AA21^2+AB21^2)))</f>
        <v>-0.29028985684853303</v>
      </c>
      <c r="AG21" s="545">
        <f>IF(M21="","",DEGREES(ATAN2(-AF21,AE21)))</f>
        <v>-61.598195941984137</v>
      </c>
      <c r="AH21" s="546">
        <f>IF(M21="","",DEGREES(ACOS(AD21)))</f>
        <v>37.611121829287121</v>
      </c>
      <c r="AI21" s="528">
        <f>IF(M21="","",DEGREES(-ACOS(-AF21)))</f>
        <v>-73.124689877088045</v>
      </c>
      <c r="AJ21" s="529">
        <f>IF(M21="","",DEGREES(ATAN2(-AE21,AD21)))</f>
        <v>55.875248092129283</v>
      </c>
      <c r="AK21" s="578">
        <f>IF(M21="","",(COS(RADIANS((90-$Q$8)-W21))*AD21)+(-SIN(RADIANS((90-$Q$8)-W21))*AE21))</f>
        <v>0.88712092884136606</v>
      </c>
      <c r="AL21" s="572">
        <f>IF(M21="","",(SIN(RADIANS((90-$Q$8)-W21))*AD21)+(COS(RADIANS((90-$Q$8)-W21))*AE21))</f>
        <v>-0.35881507301462456</v>
      </c>
      <c r="AM21" s="577">
        <f>IF(M21="","",AF21)</f>
        <v>-0.29028985684853303</v>
      </c>
      <c r="AN21" s="524">
        <f>IF(M21="","",DEGREES(ATAN2(-AM21,AL21)))</f>
        <v>-51.026324417745535</v>
      </c>
      <c r="AO21" s="525">
        <f>IF(ROUND(IF(M21="",0,DEGREES(ACOS(AK21))),4)=90,0,IF(M21="","",DEGREES(ACOS(AK21))))</f>
        <v>27.48633572036287</v>
      </c>
      <c r="AP21" s="528">
        <f>IF(M21="","",DEGREES(ATAN2(AK21,AL21)))</f>
        <v>-22.021925473245375</v>
      </c>
      <c r="AQ21" s="529">
        <f t="shared" si="21"/>
        <v>0.98723302624266251</v>
      </c>
      <c r="AS21" s="932">
        <f t="shared" si="143"/>
        <v>348.33006441124564</v>
      </c>
      <c r="AT21" s="928">
        <f t="shared" si="22"/>
        <v>-0.89472381315275806</v>
      </c>
      <c r="AU21" s="418"/>
      <c r="AV21" s="164" t="str">
        <f t="shared" si="23"/>
        <v/>
      </c>
      <c r="AW21" s="829" t="str">
        <f>IFERROR(INDEX(MassProp!C$9:C$150,MATCH($M21,MassProp!$B$9:$B$150,0)),"")</f>
        <v/>
      </c>
      <c r="AX21" s="830" t="str">
        <f>IFERROR(INDEX(MassProp!D$9:D$150,MATCH($M21,MassProp!$B$9:$B$150,0)),"")</f>
        <v/>
      </c>
      <c r="AY21" s="831" t="str">
        <f>IFERROR(INDEX(MassProp!E$9:E$150,MATCH($M21,MassProp!$B$9:$B$150,0)),"")</f>
        <v/>
      </c>
      <c r="AZ21" s="297" t="str">
        <f t="shared" si="144"/>
        <v/>
      </c>
      <c r="BA21" s="296" t="str">
        <f t="shared" si="24"/>
        <v/>
      </c>
      <c r="BB21" s="190" t="str">
        <f t="shared" si="145"/>
        <v/>
      </c>
      <c r="BC21" s="9"/>
      <c r="BD21" s="5" t="str">
        <f t="shared" si="146"/>
        <v/>
      </c>
      <c r="BE21" s="6" t="str">
        <f t="shared" si="25"/>
        <v/>
      </c>
      <c r="BF21" s="4" t="str">
        <f t="shared" si="26"/>
        <v/>
      </c>
      <c r="BG21" s="5" t="str">
        <f t="shared" si="27"/>
        <v/>
      </c>
      <c r="BH21" s="10" t="str">
        <f t="shared" si="28"/>
        <v/>
      </c>
      <c r="BI21" s="9" t="str">
        <f t="shared" si="147"/>
        <v/>
      </c>
      <c r="BJ21" s="5" t="str">
        <f t="shared" si="29"/>
        <v/>
      </c>
      <c r="BK21" s="8" t="str">
        <f t="shared" si="30"/>
        <v/>
      </c>
      <c r="BL21" s="173" t="str">
        <f t="shared" si="31"/>
        <v/>
      </c>
      <c r="BM21" s="5" t="str">
        <f t="shared" si="32"/>
        <v/>
      </c>
      <c r="BN21" s="6" t="str">
        <f t="shared" si="33"/>
        <v/>
      </c>
      <c r="BO21" s="4" t="str">
        <f t="shared" si="148"/>
        <v/>
      </c>
      <c r="BP21" s="5" t="str">
        <f t="shared" si="239"/>
        <v/>
      </c>
      <c r="BQ21" s="5" t="str">
        <f t="shared" si="149"/>
        <v/>
      </c>
      <c r="BR21" s="6" t="str">
        <f t="shared" si="150"/>
        <v/>
      </c>
      <c r="BS21" s="4" t="str">
        <f t="shared" si="118"/>
        <v/>
      </c>
      <c r="BT21" s="5" t="str">
        <f t="shared" si="118"/>
        <v/>
      </c>
      <c r="BU21" s="10" t="str">
        <f t="shared" si="119"/>
        <v/>
      </c>
      <c r="BV21" s="9" t="str">
        <f t="shared" si="120"/>
        <v/>
      </c>
      <c r="BW21" s="5" t="str">
        <f t="shared" si="121"/>
        <v/>
      </c>
      <c r="BX21" s="8" t="str">
        <f t="shared" si="122"/>
        <v/>
      </c>
      <c r="BY21" s="173" t="str">
        <f t="shared" si="123"/>
        <v/>
      </c>
      <c r="BZ21" s="5" t="str">
        <f t="shared" si="124"/>
        <v/>
      </c>
      <c r="CA21" s="6" t="str">
        <f t="shared" si="125"/>
        <v/>
      </c>
      <c r="CB21" s="4" t="str">
        <f t="shared" si="151"/>
        <v/>
      </c>
      <c r="CC21" s="5" t="str">
        <f t="shared" si="152"/>
        <v/>
      </c>
      <c r="CD21" s="5" t="str">
        <f t="shared" si="153"/>
        <v/>
      </c>
      <c r="CE21" s="6" t="str">
        <f t="shared" si="154"/>
        <v/>
      </c>
      <c r="CF21" s="4" t="str">
        <f t="shared" si="155"/>
        <v/>
      </c>
      <c r="CG21" s="5" t="str">
        <f t="shared" si="156"/>
        <v/>
      </c>
      <c r="CH21" s="5" t="str">
        <f t="shared" si="157"/>
        <v/>
      </c>
      <c r="CI21" s="4" t="str">
        <f t="shared" si="126"/>
        <v/>
      </c>
      <c r="CJ21" s="5" t="str">
        <f>IF(ISNUMBER($AV21),(CD21*BR21-BQ21*CE21)/(BQ21*CC21-CD21*BP21),"")</f>
        <v/>
      </c>
      <c r="CK21" s="8" t="str">
        <f t="shared" si="128"/>
        <v/>
      </c>
      <c r="CL21" s="173" t="str">
        <f t="shared" si="129"/>
        <v/>
      </c>
      <c r="CM21" s="5" t="str">
        <f t="shared" si="130"/>
        <v/>
      </c>
      <c r="CN21" s="6" t="str">
        <f t="shared" si="131"/>
        <v/>
      </c>
      <c r="CO21" s="167" t="str">
        <f t="shared" si="35"/>
        <v/>
      </c>
      <c r="CP21" s="4" t="str">
        <f t="shared" si="240"/>
        <v/>
      </c>
      <c r="CQ21" s="5" t="str">
        <f t="shared" si="241"/>
        <v/>
      </c>
      <c r="CR21" s="5" t="str">
        <f t="shared" si="158"/>
        <v/>
      </c>
      <c r="CS21" s="8" t="str">
        <f t="shared" si="159"/>
        <v/>
      </c>
      <c r="CT21" s="9" t="str">
        <f>IF(ISNUMBER($AV21),(-CQ21+SQRT(CS21))/(CP21*2),"")</f>
        <v/>
      </c>
      <c r="CU21" s="6" t="str">
        <f t="shared" si="161"/>
        <v/>
      </c>
      <c r="CV21" s="4" t="str">
        <f t="shared" si="242"/>
        <v/>
      </c>
      <c r="CW21" s="5" t="str">
        <f t="shared" si="162"/>
        <v/>
      </c>
      <c r="CX21" s="8" t="str">
        <f t="shared" si="163"/>
        <v/>
      </c>
      <c r="CY21" s="9" t="str">
        <f t="shared" si="164"/>
        <v/>
      </c>
      <c r="CZ21" s="5" t="str">
        <f t="shared" si="165"/>
        <v/>
      </c>
      <c r="DA21" s="6" t="str">
        <f t="shared" si="166"/>
        <v/>
      </c>
      <c r="DB21" s="4" t="str">
        <f t="shared" si="167"/>
        <v/>
      </c>
      <c r="DC21" s="5" t="str">
        <f t="shared" si="167"/>
        <v/>
      </c>
      <c r="DD21" s="10" t="str">
        <f t="shared" si="168"/>
        <v/>
      </c>
      <c r="DE21" s="9" t="str">
        <f t="shared" si="169"/>
        <v/>
      </c>
      <c r="DF21" s="5" t="str">
        <f t="shared" si="169"/>
        <v/>
      </c>
      <c r="DG21" s="10" t="str">
        <f t="shared" si="170"/>
        <v/>
      </c>
      <c r="DH21" s="70" t="str">
        <f t="shared" si="171"/>
        <v/>
      </c>
      <c r="DI21" s="4" t="str">
        <f t="shared" si="172"/>
        <v/>
      </c>
      <c r="DJ21" s="5" t="str">
        <f t="shared" si="173"/>
        <v/>
      </c>
      <c r="DK21" s="10" t="str">
        <f t="shared" si="174"/>
        <v/>
      </c>
      <c r="DL21" s="9" t="str">
        <f t="shared" si="175"/>
        <v/>
      </c>
      <c r="DM21" s="173" t="str">
        <f t="shared" si="176"/>
        <v/>
      </c>
      <c r="DN21" s="178" t="str">
        <f t="shared" si="177"/>
        <v/>
      </c>
      <c r="DO21" s="9" t="str">
        <f t="shared" si="178"/>
        <v/>
      </c>
      <c r="DP21" s="173" t="str">
        <f t="shared" si="179"/>
        <v/>
      </c>
      <c r="DQ21" s="11" t="str">
        <f t="shared" si="180"/>
        <v/>
      </c>
      <c r="DR21" s="173" t="str">
        <f t="shared" si="181"/>
        <v/>
      </c>
      <c r="DS21" s="5" t="str">
        <f t="shared" si="182"/>
        <v/>
      </c>
      <c r="DT21" s="5" t="str">
        <f t="shared" si="183"/>
        <v/>
      </c>
      <c r="DU21" s="5" t="str">
        <f t="shared" si="184"/>
        <v/>
      </c>
      <c r="DV21" s="5" t="str">
        <f t="shared" si="185"/>
        <v/>
      </c>
      <c r="DW21" s="5" t="str">
        <f t="shared" si="186"/>
        <v/>
      </c>
      <c r="DX21" s="167" t="str">
        <f t="shared" si="187"/>
        <v/>
      </c>
      <c r="DY21" s="9" t="str">
        <f t="shared" si="188"/>
        <v/>
      </c>
      <c r="DZ21" s="5" t="str">
        <f t="shared" si="189"/>
        <v/>
      </c>
      <c r="EA21" s="10" t="str">
        <f t="shared" si="190"/>
        <v/>
      </c>
      <c r="EB21" s="6" t="str">
        <f t="shared" si="191"/>
        <v/>
      </c>
      <c r="EC21" s="173" t="str">
        <f t="shared" si="192"/>
        <v/>
      </c>
      <c r="ED21" s="5" t="str">
        <f t="shared" si="193"/>
        <v/>
      </c>
      <c r="EE21" s="4" t="str">
        <f t="shared" si="194"/>
        <v/>
      </c>
      <c r="EF21" s="5" t="str">
        <f t="shared" si="195"/>
        <v/>
      </c>
      <c r="EG21" s="10" t="str">
        <f t="shared" si="196"/>
        <v/>
      </c>
      <c r="EH21" s="9" t="str">
        <f t="shared" si="197"/>
        <v/>
      </c>
      <c r="EI21" s="5" t="str">
        <f t="shared" si="198"/>
        <v/>
      </c>
      <c r="EJ21" s="6" t="str">
        <f t="shared" si="199"/>
        <v/>
      </c>
      <c r="EK21" s="236" t="str">
        <f t="shared" si="200"/>
        <v/>
      </c>
      <c r="EL21" s="238" t="str">
        <f t="shared" si="201"/>
        <v/>
      </c>
      <c r="EM21" s="4" t="str">
        <f t="shared" si="202"/>
        <v/>
      </c>
      <c r="EN21" s="5" t="str">
        <f t="shared" si="203"/>
        <v/>
      </c>
      <c r="EO21" s="10" t="str">
        <f t="shared" si="204"/>
        <v/>
      </c>
      <c r="EP21" s="9" t="str">
        <f t="shared" si="205"/>
        <v/>
      </c>
      <c r="EQ21" s="5" t="str">
        <f t="shared" si="206"/>
        <v/>
      </c>
      <c r="ER21" s="7" t="str">
        <f t="shared" si="207"/>
        <v/>
      </c>
      <c r="ES21" s="21" t="str">
        <f t="shared" si="132"/>
        <v/>
      </c>
      <c r="ET21" s="5" t="str">
        <f t="shared" si="44"/>
        <v/>
      </c>
      <c r="EU21" s="10" t="str">
        <f t="shared" si="45"/>
        <v/>
      </c>
      <c r="EV21" s="174" t="str">
        <f t="shared" si="254"/>
        <v/>
      </c>
      <c r="EW21" s="9" t="str">
        <f t="shared" si="133"/>
        <v/>
      </c>
      <c r="EX21" s="5" t="str">
        <f t="shared" si="47"/>
        <v/>
      </c>
      <c r="EY21" s="6" t="str">
        <f t="shared" si="208"/>
        <v/>
      </c>
      <c r="EZ21" s="51" t="str">
        <f t="shared" si="209"/>
        <v/>
      </c>
      <c r="FA21" s="266" t="str">
        <f t="shared" si="134"/>
        <v/>
      </c>
      <c r="FB21" s="267" t="str">
        <f t="shared" si="135"/>
        <v/>
      </c>
      <c r="FC21" s="269" t="str">
        <f t="shared" si="48"/>
        <v/>
      </c>
      <c r="FD21" s="4" t="str">
        <f t="shared" si="136"/>
        <v/>
      </c>
      <c r="FE21" s="5" t="str">
        <f t="shared" si="49"/>
        <v/>
      </c>
      <c r="FF21" s="7" t="str">
        <f t="shared" si="210"/>
        <v/>
      </c>
      <c r="FG21" s="173" t="str">
        <f t="shared" si="211"/>
        <v/>
      </c>
      <c r="FH21" s="5" t="str">
        <f t="shared" si="50"/>
        <v/>
      </c>
      <c r="FI21" s="10" t="str">
        <f t="shared" si="51"/>
        <v/>
      </c>
      <c r="FJ21" s="279" t="str">
        <f t="shared" si="212"/>
        <v/>
      </c>
      <c r="FK21" s="4" t="str">
        <f t="shared" si="52"/>
        <v/>
      </c>
      <c r="FL21" s="5" t="str">
        <f t="shared" si="213"/>
        <v/>
      </c>
      <c r="FM21" s="8" t="str">
        <f t="shared" si="214"/>
        <v/>
      </c>
      <c r="FN21" s="9" t="str">
        <f t="shared" si="215"/>
        <v/>
      </c>
      <c r="FO21" s="10" t="str">
        <f t="shared" si="53"/>
        <v/>
      </c>
      <c r="FP21" s="277" t="str">
        <f t="shared" si="54"/>
        <v/>
      </c>
      <c r="FQ21" s="173" t="str">
        <f t="shared" si="243"/>
        <v/>
      </c>
      <c r="FR21" s="10" t="str">
        <f t="shared" si="216"/>
        <v/>
      </c>
      <c r="FS21" s="9" t="str">
        <f t="shared" si="217"/>
        <v/>
      </c>
      <c r="FT21" s="6" t="str">
        <f t="shared" si="218"/>
        <v/>
      </c>
      <c r="FU21" s="4" t="str">
        <f t="shared" si="219"/>
        <v/>
      </c>
      <c r="FV21" s="5" t="str">
        <f t="shared" si="220"/>
        <v/>
      </c>
      <c r="FW21" s="8" t="str">
        <f t="shared" si="244"/>
        <v/>
      </c>
      <c r="FX21" s="9" t="str">
        <f t="shared" si="245"/>
        <v/>
      </c>
      <c r="FY21" s="10" t="str">
        <f t="shared" si="55"/>
        <v/>
      </c>
      <c r="FZ21" s="277" t="str">
        <f t="shared" si="246"/>
        <v/>
      </c>
      <c r="GA21" s="177" t="str">
        <f t="shared" si="221"/>
        <v/>
      </c>
      <c r="GB21" s="4" t="str">
        <f t="shared" si="222"/>
        <v/>
      </c>
      <c r="GC21" s="5" t="str">
        <f t="shared" si="223"/>
        <v/>
      </c>
      <c r="GD21" s="10" t="str">
        <f t="shared" si="224"/>
        <v/>
      </c>
      <c r="GE21" s="311" t="str">
        <f t="shared" si="225"/>
        <v/>
      </c>
      <c r="GF21" s="341" t="str">
        <f t="shared" si="247"/>
        <v/>
      </c>
      <c r="GG21" s="285" t="str">
        <f t="shared" si="56"/>
        <v/>
      </c>
      <c r="GH21" s="286" t="str">
        <f t="shared" si="57"/>
        <v/>
      </c>
      <c r="GI21" s="281" t="str">
        <f t="shared" si="58"/>
        <v/>
      </c>
      <c r="GJ21" s="167" t="str">
        <f t="shared" si="226"/>
        <v/>
      </c>
      <c r="GK21" s="174" t="str">
        <f t="shared" si="59"/>
        <v/>
      </c>
      <c r="GL21" s="174" t="str">
        <f t="shared" si="227"/>
        <v/>
      </c>
      <c r="GM21" s="177" t="str">
        <f t="shared" si="248"/>
        <v/>
      </c>
      <c r="GN21" s="280" t="str">
        <f t="shared" si="228"/>
        <v/>
      </c>
      <c r="GO21" s="4" t="str">
        <f t="shared" si="229"/>
        <v/>
      </c>
      <c r="GP21" s="8" t="str">
        <f t="shared" si="249"/>
        <v/>
      </c>
      <c r="GQ21" s="177" t="str">
        <f t="shared" si="230"/>
        <v/>
      </c>
      <c r="GR21" s="371" t="str">
        <f t="shared" si="250"/>
        <v/>
      </c>
      <c r="GS21" s="342" t="str">
        <f t="shared" si="61"/>
        <v/>
      </c>
      <c r="GT21" s="343" t="str">
        <f t="shared" si="62"/>
        <v/>
      </c>
      <c r="GU21" s="344" t="str">
        <f t="shared" si="63"/>
        <v/>
      </c>
      <c r="GV21" s="343" t="str">
        <f t="shared" si="252"/>
        <v/>
      </c>
      <c r="GW21" s="345" t="str">
        <f t="shared" si="64"/>
        <v/>
      </c>
      <c r="GX21" s="346" t="str">
        <f t="shared" si="65"/>
        <v/>
      </c>
      <c r="GY21" s="344" t="str">
        <f t="shared" si="66"/>
        <v/>
      </c>
      <c r="GZ21" s="345" t="str">
        <f t="shared" si="67"/>
        <v/>
      </c>
      <c r="HA21" s="342" t="str">
        <f t="shared" si="68"/>
        <v/>
      </c>
      <c r="HB21" s="5" t="str">
        <f t="shared" si="231"/>
        <v/>
      </c>
      <c r="HC21" s="343" t="str">
        <f t="shared" si="232"/>
        <v/>
      </c>
      <c r="HD21" s="345" t="str">
        <f t="shared" si="233"/>
        <v/>
      </c>
      <c r="HE21" s="344" t="str">
        <f t="shared" si="69"/>
        <v/>
      </c>
      <c r="HF21" s="5" t="str">
        <f t="shared" si="70"/>
        <v/>
      </c>
      <c r="HG21" s="343" t="str">
        <f t="shared" si="234"/>
        <v/>
      </c>
      <c r="HH21" s="349" t="str">
        <f t="shared" si="235"/>
        <v/>
      </c>
      <c r="HI21" s="317" t="str">
        <f t="shared" si="71"/>
        <v/>
      </c>
      <c r="HJ21" s="336"/>
      <c r="HK21" s="310" t="str">
        <f t="shared" si="137"/>
        <v/>
      </c>
      <c r="HL21" s="348" t="str">
        <f t="shared" si="72"/>
        <v/>
      </c>
      <c r="HM21" s="909" t="str">
        <f t="shared" si="138"/>
        <v/>
      </c>
      <c r="HN21" s="910" t="str">
        <f t="shared" si="73"/>
        <v/>
      </c>
      <c r="HO21" s="911"/>
      <c r="HP21" s="912"/>
      <c r="HQ21" s="910" t="str">
        <f t="shared" si="74"/>
        <v/>
      </c>
      <c r="HR21" s="913" t="str">
        <f t="shared" si="75"/>
        <v/>
      </c>
      <c r="HS21" s="865" t="str">
        <f t="shared" si="251"/>
        <v/>
      </c>
      <c r="HT21" s="875" t="str">
        <f t="shared" si="76"/>
        <v/>
      </c>
      <c r="HU21" s="876" t="str">
        <f t="shared" si="77"/>
        <v/>
      </c>
      <c r="HV21" s="872" t="str">
        <f t="shared" si="78"/>
        <v/>
      </c>
      <c r="HW21" s="866" t="str">
        <f t="shared" si="79"/>
        <v/>
      </c>
      <c r="HX21" s="867" t="str">
        <f t="shared" si="80"/>
        <v/>
      </c>
      <c r="HY21" s="866" t="str">
        <f t="shared" si="81"/>
        <v/>
      </c>
      <c r="HZ21" s="868" t="str">
        <f t="shared" si="82"/>
        <v/>
      </c>
      <c r="IA21" s="869" t="str">
        <f t="shared" si="83"/>
        <v/>
      </c>
      <c r="IB21" s="870" t="str">
        <f t="shared" si="84"/>
        <v/>
      </c>
      <c r="IC21" s="841" t="str">
        <f t="shared" si="85"/>
        <v/>
      </c>
      <c r="ID21" s="351" t="str">
        <f t="shared" si="86"/>
        <v/>
      </c>
      <c r="IE21" s="843" t="str">
        <f t="shared" si="87"/>
        <v/>
      </c>
      <c r="IF21" s="844"/>
      <c r="IG21" s="790" t="str">
        <f>IFERROR(IF($IW21="","",IF($IW21&lt;(((Settings!$C$19/2)*-1)*$IG$8),"Taper","Nose")),"")</f>
        <v>Taper</v>
      </c>
      <c r="IH21" s="482" t="str">
        <f>IFERROR(IF((((($IY21*COS(RADIANS(180-$JA21)))*COS(RADIANS($JA21)))-(($IZ21*SIN(RADIANS(180-$JA21)))*SIN(RADIANS($JA21))))+$IW21)&lt;(((Settings!$C$19+$IH$8)/2)*-1),"Gage",""),"")</f>
        <v/>
      </c>
      <c r="II21" s="788">
        <f t="shared" si="236"/>
        <v>1.2290000000000001</v>
      </c>
      <c r="IJ21" s="674" cm="1">
        <f t="array" ref="IJ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1.129</v>
      </c>
      <c r="IK21" s="677" cm="1">
        <f t="array" ref="IK21">IFERROR(ROUND(VALUE(IF($IJ21&lt;1,$IJ21+LARGE((IF($M$9:$M$150="",0,$M$9:$M$150)-MOD(IF($M$9:$M$150="",0,$M$9:$M$150),1)),1),$IJ21)),4),"")</f>
        <v>1.129</v>
      </c>
      <c r="IL21" s="482">
        <f t="shared" si="88"/>
        <v>1613</v>
      </c>
      <c r="IM21" s="482">
        <f t="shared" si="237"/>
        <v>1313</v>
      </c>
      <c r="IN21" s="670">
        <f t="shared" si="90"/>
        <v>10.404897310991373</v>
      </c>
      <c r="IO21" s="702">
        <v>3.1094845991648402E-2</v>
      </c>
      <c r="IP21" s="5">
        <f t="shared" si="91"/>
        <v>1.72</v>
      </c>
      <c r="IQ21" s="714">
        <v>860</v>
      </c>
      <c r="IR21" s="9">
        <f t="shared" si="139"/>
        <v>-4.599152845196758</v>
      </c>
      <c r="IS21" s="5">
        <f t="shared" si="92"/>
        <v>-0.90492359121278754</v>
      </c>
      <c r="IT21" s="5">
        <f t="shared" si="93"/>
        <v>0.3125</v>
      </c>
      <c r="IU21" s="5">
        <f t="shared" si="94"/>
        <v>0.28875711738288512</v>
      </c>
      <c r="IV21" s="670">
        <f t="shared" si="95"/>
        <v>50.943025181030578</v>
      </c>
      <c r="IW21" s="9">
        <f t="shared" si="96"/>
        <v>-4.6179594043500742</v>
      </c>
      <c r="IX21" s="5">
        <f t="shared" si="97"/>
        <v>-0.90720747617358721</v>
      </c>
      <c r="IY21" s="5">
        <f t="shared" si="98"/>
        <v>0.26450000000000001</v>
      </c>
      <c r="IZ21" s="5">
        <f t="shared" si="99"/>
        <v>0.23464348567854135</v>
      </c>
      <c r="JA21" s="705">
        <f t="shared" si="100"/>
        <v>51.026324417745535</v>
      </c>
      <c r="JC21" s="708"/>
      <c r="JD21" s="1126"/>
      <c r="JE21" s="1127"/>
      <c r="JF21" s="1127"/>
      <c r="JG21" s="1127"/>
      <c r="JH21" s="1045" t="s">
        <v>349</v>
      </c>
      <c r="JI21" s="1046"/>
      <c r="JJ21" s="1283" t="s">
        <v>362</v>
      </c>
      <c r="JK21" s="1284"/>
    </row>
    <row r="22" spans="1:271" ht="15" customHeight="1" thickBot="1" x14ac:dyDescent="0.3">
      <c r="A22" s="75">
        <f t="shared" si="1"/>
        <v>0.02</v>
      </c>
      <c r="B22" s="578">
        <f t="shared" si="2"/>
        <v>1.0208684498378169</v>
      </c>
      <c r="C22" s="572">
        <f t="shared" si="3"/>
        <v>4.8595111700493749</v>
      </c>
      <c r="D22" s="576">
        <f t="shared" si="4"/>
        <v>-1.597173938610946</v>
      </c>
      <c r="E22" s="580">
        <f t="shared" si="5"/>
        <v>-0.73414441929273966</v>
      </c>
      <c r="F22" s="572">
        <f t="shared" si="6"/>
        <v>0.65407664994514347</v>
      </c>
      <c r="G22" s="579">
        <f t="shared" si="7"/>
        <v>0.18225176986209024</v>
      </c>
      <c r="H22" s="580">
        <f t="shared" si="8"/>
        <v>0.26450000000000001</v>
      </c>
      <c r="I22" s="572">
        <f t="shared" si="9"/>
        <v>0.52</v>
      </c>
      <c r="J22" s="483">
        <f t="shared" si="10"/>
        <v>1.2350000000000001</v>
      </c>
      <c r="K22" s="806">
        <f t="shared" si="11"/>
        <v>1313</v>
      </c>
      <c r="L22" s="814">
        <f>IF($L21=$JJ$22,$JJ$30,IF($L21=$JK$22,$JK$30,""))</f>
        <v>800</v>
      </c>
      <c r="M22" s="164">
        <f t="shared" si="12"/>
        <v>1.2350000000000001</v>
      </c>
      <c r="N22" s="575">
        <f t="shared" si="13"/>
        <v>1.0208684498378169</v>
      </c>
      <c r="O22" s="572">
        <f t="shared" si="14"/>
        <v>4.8595111700493749</v>
      </c>
      <c r="P22" s="576">
        <f t="shared" si="15"/>
        <v>-1.597173938610946</v>
      </c>
      <c r="Q22" s="528">
        <f t="shared" si="140"/>
        <v>78.136030270786748</v>
      </c>
      <c r="R22" s="572">
        <f t="shared" si="101"/>
        <v>4.9655836720076438</v>
      </c>
      <c r="S22" s="577">
        <f t="shared" si="102"/>
        <v>-1.597173938610946</v>
      </c>
      <c r="T22" s="578">
        <f t="shared" si="103"/>
        <v>4.8670854375067378</v>
      </c>
      <c r="U22" s="572">
        <f t="shared" si="104"/>
        <v>-0.98412425420714023</v>
      </c>
      <c r="V22" s="579">
        <f t="shared" si="141"/>
        <v>-1.597173938610946</v>
      </c>
      <c r="W22" s="528">
        <f t="shared" si="253"/>
        <v>348.56892111665775</v>
      </c>
      <c r="X22" s="572">
        <f t="shared" si="105"/>
        <v>4.9655836720076438</v>
      </c>
      <c r="Y22" s="573">
        <f t="shared" si="255"/>
        <v>-1.597173938610946</v>
      </c>
      <c r="Z22" s="575">
        <f t="shared" si="18"/>
        <v>0.73414441929273966</v>
      </c>
      <c r="AA22" s="572">
        <f t="shared" si="19"/>
        <v>-0.65407664994514347</v>
      </c>
      <c r="AB22" s="572">
        <f t="shared" si="20"/>
        <v>-0.18225176986209024</v>
      </c>
      <c r="AC22" s="579">
        <f t="shared" si="106"/>
        <v>1</v>
      </c>
      <c r="AD22" s="580">
        <f t="shared" si="142"/>
        <v>0.73414441929273966</v>
      </c>
      <c r="AE22" s="572">
        <f t="shared" si="107"/>
        <v>-0.65407664994514347</v>
      </c>
      <c r="AF22" s="576">
        <f t="shared" si="108"/>
        <v>-0.18225176986209024</v>
      </c>
      <c r="AG22" s="545">
        <f t="shared" si="109"/>
        <v>-74.430048337930344</v>
      </c>
      <c r="AH22" s="546">
        <f t="shared" si="110"/>
        <v>42.765029986543816</v>
      </c>
      <c r="AI22" s="528">
        <f t="shared" si="111"/>
        <v>-79.49905341406749</v>
      </c>
      <c r="AJ22" s="529">
        <f t="shared" si="112"/>
        <v>48.300964479907393</v>
      </c>
      <c r="AK22" s="578">
        <f t="shared" si="238"/>
        <v>0.85293280738832178</v>
      </c>
      <c r="AL22" s="572">
        <f t="shared" si="113"/>
        <v>-0.48917268777274536</v>
      </c>
      <c r="AM22" s="577">
        <f t="shared" si="114"/>
        <v>-0.18225176986209024</v>
      </c>
      <c r="AN22" s="524">
        <f t="shared" si="115"/>
        <v>-69.566043588691343</v>
      </c>
      <c r="AO22" s="525">
        <f t="shared" si="116"/>
        <v>31.467894876304182</v>
      </c>
      <c r="AP22" s="528">
        <f t="shared" si="117"/>
        <v>-29.835065790879373</v>
      </c>
      <c r="AQ22" s="529">
        <f t="shared" si="21"/>
        <v>0.91813234774819974</v>
      </c>
      <c r="AS22" s="932">
        <f t="shared" si="143"/>
        <v>348.56892111665775</v>
      </c>
      <c r="AT22" s="928">
        <f t="shared" si="22"/>
        <v>-1.5850220210143005</v>
      </c>
      <c r="AU22" s="418"/>
      <c r="AV22" s="164" t="str">
        <f t="shared" si="23"/>
        <v/>
      </c>
      <c r="AW22" s="829" t="str">
        <f>IFERROR(INDEX(MassProp!C$9:C$150,MATCH($M22,MassProp!$B$9:$B$150,0)),"")</f>
        <v/>
      </c>
      <c r="AX22" s="830" t="str">
        <f>IFERROR(INDEX(MassProp!D$9:D$150,MATCH($M22,MassProp!$B$9:$B$150,0)),"")</f>
        <v/>
      </c>
      <c r="AY22" s="831" t="str">
        <f>IFERROR(INDEX(MassProp!E$9:E$150,MATCH($M22,MassProp!$B$9:$B$150,0)),"")</f>
        <v/>
      </c>
      <c r="AZ22" s="297" t="str">
        <f t="shared" si="144"/>
        <v/>
      </c>
      <c r="BA22" s="296" t="str">
        <f t="shared" si="24"/>
        <v/>
      </c>
      <c r="BB22" s="190" t="str">
        <f t="shared" si="145"/>
        <v/>
      </c>
      <c r="BC22" s="9"/>
      <c r="BD22" s="5" t="str">
        <f t="shared" si="146"/>
        <v/>
      </c>
      <c r="BE22" s="6" t="str">
        <f t="shared" si="25"/>
        <v/>
      </c>
      <c r="BF22" s="4" t="str">
        <f t="shared" si="26"/>
        <v/>
      </c>
      <c r="BG22" s="5" t="str">
        <f t="shared" si="27"/>
        <v/>
      </c>
      <c r="BH22" s="10" t="str">
        <f t="shared" si="28"/>
        <v/>
      </c>
      <c r="BI22" s="9" t="str">
        <f t="shared" si="147"/>
        <v/>
      </c>
      <c r="BJ22" s="5" t="str">
        <f t="shared" si="29"/>
        <v/>
      </c>
      <c r="BK22" s="8" t="str">
        <f t="shared" si="30"/>
        <v/>
      </c>
      <c r="BL22" s="173" t="str">
        <f t="shared" si="31"/>
        <v/>
      </c>
      <c r="BM22" s="5" t="str">
        <f t="shared" si="32"/>
        <v/>
      </c>
      <c r="BN22" s="6" t="str">
        <f t="shared" si="33"/>
        <v/>
      </c>
      <c r="BO22" s="4" t="str">
        <f t="shared" si="148"/>
        <v/>
      </c>
      <c r="BP22" s="5" t="str">
        <f t="shared" si="239"/>
        <v/>
      </c>
      <c r="BQ22" s="5" t="str">
        <f t="shared" si="149"/>
        <v/>
      </c>
      <c r="BR22" s="6" t="str">
        <f t="shared" si="150"/>
        <v/>
      </c>
      <c r="BS22" s="4" t="str">
        <f t="shared" si="118"/>
        <v/>
      </c>
      <c r="BT22" s="5" t="str">
        <f t="shared" si="118"/>
        <v/>
      </c>
      <c r="BU22" s="10" t="str">
        <f t="shared" si="119"/>
        <v/>
      </c>
      <c r="BV22" s="9" t="str">
        <f t="shared" si="120"/>
        <v/>
      </c>
      <c r="BW22" s="5" t="str">
        <f t="shared" si="121"/>
        <v/>
      </c>
      <c r="BX22" s="8" t="str">
        <f t="shared" si="122"/>
        <v/>
      </c>
      <c r="BY22" s="173" t="str">
        <f t="shared" si="123"/>
        <v/>
      </c>
      <c r="BZ22" s="5" t="str">
        <f t="shared" si="124"/>
        <v/>
      </c>
      <c r="CA22" s="6" t="str">
        <f t="shared" si="125"/>
        <v/>
      </c>
      <c r="CB22" s="4" t="str">
        <f t="shared" si="151"/>
        <v/>
      </c>
      <c r="CC22" s="5" t="str">
        <f t="shared" si="152"/>
        <v/>
      </c>
      <c r="CD22" s="5" t="str">
        <f t="shared" si="153"/>
        <v/>
      </c>
      <c r="CE22" s="6" t="str">
        <f t="shared" si="154"/>
        <v/>
      </c>
      <c r="CF22" s="4" t="str">
        <f t="shared" si="155"/>
        <v/>
      </c>
      <c r="CG22" s="5" t="str">
        <f t="shared" si="156"/>
        <v/>
      </c>
      <c r="CH22" s="5" t="str">
        <f t="shared" si="157"/>
        <v/>
      </c>
      <c r="CI22" s="4" t="str">
        <f t="shared" si="126"/>
        <v/>
      </c>
      <c r="CJ22" s="5" t="str">
        <f t="shared" si="127"/>
        <v/>
      </c>
      <c r="CK22" s="8" t="str">
        <f t="shared" si="128"/>
        <v/>
      </c>
      <c r="CL22" s="173" t="str">
        <f t="shared" si="129"/>
        <v/>
      </c>
      <c r="CM22" s="5" t="str">
        <f t="shared" si="130"/>
        <v/>
      </c>
      <c r="CN22" s="6" t="str">
        <f t="shared" si="131"/>
        <v/>
      </c>
      <c r="CO22" s="167" t="str">
        <f t="shared" si="35"/>
        <v/>
      </c>
      <c r="CP22" s="4" t="str">
        <f t="shared" si="240"/>
        <v/>
      </c>
      <c r="CQ22" s="5" t="str">
        <f t="shared" si="241"/>
        <v/>
      </c>
      <c r="CR22" s="5" t="str">
        <f t="shared" si="158"/>
        <v/>
      </c>
      <c r="CS22" s="8" t="str">
        <f t="shared" si="159"/>
        <v/>
      </c>
      <c r="CT22" s="9" t="str">
        <f t="shared" si="160"/>
        <v/>
      </c>
      <c r="CU22" s="6" t="str">
        <f t="shared" si="161"/>
        <v/>
      </c>
      <c r="CV22" s="4" t="str">
        <f t="shared" si="242"/>
        <v/>
      </c>
      <c r="CW22" s="5" t="str">
        <f t="shared" si="162"/>
        <v/>
      </c>
      <c r="CX22" s="8" t="str">
        <f t="shared" si="163"/>
        <v/>
      </c>
      <c r="CY22" s="9" t="str">
        <f t="shared" si="164"/>
        <v/>
      </c>
      <c r="CZ22" s="5" t="str">
        <f t="shared" si="165"/>
        <v/>
      </c>
      <c r="DA22" s="6" t="str">
        <f t="shared" si="166"/>
        <v/>
      </c>
      <c r="DB22" s="4" t="str">
        <f t="shared" si="167"/>
        <v/>
      </c>
      <c r="DC22" s="5" t="str">
        <f t="shared" si="167"/>
        <v/>
      </c>
      <c r="DD22" s="10" t="str">
        <f t="shared" si="168"/>
        <v/>
      </c>
      <c r="DE22" s="9" t="str">
        <f t="shared" si="169"/>
        <v/>
      </c>
      <c r="DF22" s="5" t="str">
        <f t="shared" si="169"/>
        <v/>
      </c>
      <c r="DG22" s="10" t="str">
        <f t="shared" si="170"/>
        <v/>
      </c>
      <c r="DH22" s="70" t="str">
        <f t="shared" si="171"/>
        <v/>
      </c>
      <c r="DI22" s="4" t="str">
        <f t="shared" si="172"/>
        <v/>
      </c>
      <c r="DJ22" s="5" t="str">
        <f t="shared" si="173"/>
        <v/>
      </c>
      <c r="DK22" s="10" t="str">
        <f t="shared" si="174"/>
        <v/>
      </c>
      <c r="DL22" s="9" t="str">
        <f t="shared" si="175"/>
        <v/>
      </c>
      <c r="DM22" s="173" t="str">
        <f t="shared" si="176"/>
        <v/>
      </c>
      <c r="DN22" s="178" t="str">
        <f t="shared" si="177"/>
        <v/>
      </c>
      <c r="DO22" s="9" t="str">
        <f t="shared" si="178"/>
        <v/>
      </c>
      <c r="DP22" s="173" t="str">
        <f t="shared" si="179"/>
        <v/>
      </c>
      <c r="DQ22" s="11" t="str">
        <f t="shared" si="180"/>
        <v/>
      </c>
      <c r="DR22" s="173" t="str">
        <f t="shared" si="181"/>
        <v/>
      </c>
      <c r="DS22" s="5" t="str">
        <f t="shared" si="182"/>
        <v/>
      </c>
      <c r="DT22" s="5" t="str">
        <f t="shared" si="183"/>
        <v/>
      </c>
      <c r="DU22" s="5" t="str">
        <f t="shared" si="184"/>
        <v/>
      </c>
      <c r="DV22" s="5" t="str">
        <f t="shared" si="185"/>
        <v/>
      </c>
      <c r="DW22" s="5" t="str">
        <f t="shared" si="186"/>
        <v/>
      </c>
      <c r="DX22" s="167" t="str">
        <f t="shared" si="187"/>
        <v/>
      </c>
      <c r="DY22" s="9" t="str">
        <f t="shared" si="188"/>
        <v/>
      </c>
      <c r="DZ22" s="5" t="str">
        <f t="shared" si="189"/>
        <v/>
      </c>
      <c r="EA22" s="10" t="str">
        <f t="shared" si="190"/>
        <v/>
      </c>
      <c r="EB22" s="6" t="str">
        <f t="shared" si="191"/>
        <v/>
      </c>
      <c r="EC22" s="173" t="str">
        <f t="shared" si="192"/>
        <v/>
      </c>
      <c r="ED22" s="5" t="str">
        <f t="shared" si="193"/>
        <v/>
      </c>
      <c r="EE22" s="4" t="str">
        <f t="shared" si="194"/>
        <v/>
      </c>
      <c r="EF22" s="5" t="str">
        <f t="shared" si="195"/>
        <v/>
      </c>
      <c r="EG22" s="10" t="str">
        <f t="shared" si="196"/>
        <v/>
      </c>
      <c r="EH22" s="9" t="str">
        <f t="shared" si="197"/>
        <v/>
      </c>
      <c r="EI22" s="5" t="str">
        <f t="shared" si="198"/>
        <v/>
      </c>
      <c r="EJ22" s="6" t="str">
        <f t="shared" si="199"/>
        <v/>
      </c>
      <c r="EK22" s="236" t="str">
        <f t="shared" si="200"/>
        <v/>
      </c>
      <c r="EL22" s="238" t="str">
        <f t="shared" si="201"/>
        <v/>
      </c>
      <c r="EM22" s="4" t="str">
        <f t="shared" si="202"/>
        <v/>
      </c>
      <c r="EN22" s="5" t="str">
        <f t="shared" si="203"/>
        <v/>
      </c>
      <c r="EO22" s="10" t="str">
        <f t="shared" si="204"/>
        <v/>
      </c>
      <c r="EP22" s="9" t="str">
        <f t="shared" si="205"/>
        <v/>
      </c>
      <c r="EQ22" s="5" t="str">
        <f t="shared" si="206"/>
        <v/>
      </c>
      <c r="ER22" s="7" t="str">
        <f t="shared" si="207"/>
        <v/>
      </c>
      <c r="ES22" s="21" t="str">
        <f t="shared" si="132"/>
        <v/>
      </c>
      <c r="ET22" s="5" t="str">
        <f t="shared" si="44"/>
        <v/>
      </c>
      <c r="EU22" s="10" t="str">
        <f t="shared" si="45"/>
        <v/>
      </c>
      <c r="EV22" s="174" t="str">
        <f t="shared" si="254"/>
        <v/>
      </c>
      <c r="EW22" s="9" t="str">
        <f t="shared" si="133"/>
        <v/>
      </c>
      <c r="EX22" s="5" t="str">
        <f t="shared" si="47"/>
        <v/>
      </c>
      <c r="EY22" s="6" t="str">
        <f t="shared" si="208"/>
        <v/>
      </c>
      <c r="EZ22" s="51" t="str">
        <f t="shared" si="209"/>
        <v/>
      </c>
      <c r="FA22" s="266" t="str">
        <f t="shared" si="134"/>
        <v/>
      </c>
      <c r="FB22" s="267" t="str">
        <f t="shared" si="135"/>
        <v/>
      </c>
      <c r="FC22" s="269" t="str">
        <f t="shared" si="48"/>
        <v/>
      </c>
      <c r="FD22" s="4" t="str">
        <f t="shared" si="136"/>
        <v/>
      </c>
      <c r="FE22" s="5" t="str">
        <f t="shared" si="49"/>
        <v/>
      </c>
      <c r="FF22" s="7" t="str">
        <f t="shared" si="210"/>
        <v/>
      </c>
      <c r="FG22" s="173" t="str">
        <f t="shared" si="211"/>
        <v/>
      </c>
      <c r="FH22" s="5" t="str">
        <f t="shared" si="50"/>
        <v/>
      </c>
      <c r="FI22" s="10" t="str">
        <f t="shared" si="51"/>
        <v/>
      </c>
      <c r="FJ22" s="279" t="str">
        <f t="shared" si="212"/>
        <v/>
      </c>
      <c r="FK22" s="4" t="str">
        <f t="shared" si="52"/>
        <v/>
      </c>
      <c r="FL22" s="5" t="str">
        <f t="shared" si="213"/>
        <v/>
      </c>
      <c r="FM22" s="8" t="str">
        <f t="shared" si="214"/>
        <v/>
      </c>
      <c r="FN22" s="9" t="str">
        <f t="shared" si="215"/>
        <v/>
      </c>
      <c r="FO22" s="10" t="str">
        <f t="shared" si="53"/>
        <v/>
      </c>
      <c r="FP22" s="277" t="str">
        <f t="shared" si="54"/>
        <v/>
      </c>
      <c r="FQ22" s="173" t="str">
        <f t="shared" si="243"/>
        <v/>
      </c>
      <c r="FR22" s="10" t="str">
        <f t="shared" si="216"/>
        <v/>
      </c>
      <c r="FS22" s="9" t="str">
        <f t="shared" si="217"/>
        <v/>
      </c>
      <c r="FT22" s="6" t="str">
        <f t="shared" si="218"/>
        <v/>
      </c>
      <c r="FU22" s="4" t="str">
        <f t="shared" si="219"/>
        <v/>
      </c>
      <c r="FV22" s="5" t="str">
        <f t="shared" si="220"/>
        <v/>
      </c>
      <c r="FW22" s="8" t="str">
        <f t="shared" si="244"/>
        <v/>
      </c>
      <c r="FX22" s="9" t="str">
        <f t="shared" si="245"/>
        <v/>
      </c>
      <c r="FY22" s="10" t="str">
        <f t="shared" si="55"/>
        <v/>
      </c>
      <c r="FZ22" s="277" t="str">
        <f t="shared" si="246"/>
        <v/>
      </c>
      <c r="GA22" s="177" t="str">
        <f t="shared" si="221"/>
        <v/>
      </c>
      <c r="GB22" s="4" t="str">
        <f t="shared" si="222"/>
        <v/>
      </c>
      <c r="GC22" s="5" t="str">
        <f t="shared" si="223"/>
        <v/>
      </c>
      <c r="GD22" s="10" t="str">
        <f t="shared" si="224"/>
        <v/>
      </c>
      <c r="GE22" s="311" t="str">
        <f t="shared" si="225"/>
        <v/>
      </c>
      <c r="GF22" s="341" t="str">
        <f t="shared" si="247"/>
        <v/>
      </c>
      <c r="GG22" s="285" t="str">
        <f t="shared" si="56"/>
        <v/>
      </c>
      <c r="GH22" s="286" t="str">
        <f t="shared" si="57"/>
        <v/>
      </c>
      <c r="GI22" s="281" t="str">
        <f t="shared" si="58"/>
        <v/>
      </c>
      <c r="GJ22" s="167" t="str">
        <f t="shared" si="226"/>
        <v/>
      </c>
      <c r="GK22" s="174" t="str">
        <f t="shared" si="59"/>
        <v/>
      </c>
      <c r="GL22" s="174" t="str">
        <f t="shared" si="227"/>
        <v/>
      </c>
      <c r="GM22" s="177" t="str">
        <f>IF(ISNUMBER($AV22),AZ22,"")</f>
        <v/>
      </c>
      <c r="GN22" s="280" t="str">
        <f t="shared" si="228"/>
        <v/>
      </c>
      <c r="GO22" s="4" t="str">
        <f t="shared" si="229"/>
        <v/>
      </c>
      <c r="GP22" s="8" t="str">
        <f t="shared" si="249"/>
        <v/>
      </c>
      <c r="GQ22" s="177" t="str">
        <f t="shared" si="230"/>
        <v/>
      </c>
      <c r="GR22" s="371" t="str">
        <f t="shared" si="250"/>
        <v/>
      </c>
      <c r="GS22" s="342" t="str">
        <f t="shared" si="61"/>
        <v/>
      </c>
      <c r="GT22" s="343" t="str">
        <f t="shared" si="62"/>
        <v/>
      </c>
      <c r="GU22" s="344" t="str">
        <f t="shared" si="63"/>
        <v/>
      </c>
      <c r="GV22" s="343" t="str">
        <f t="shared" si="252"/>
        <v/>
      </c>
      <c r="GW22" s="345" t="str">
        <f t="shared" si="64"/>
        <v/>
      </c>
      <c r="GX22" s="346" t="str">
        <f t="shared" si="65"/>
        <v/>
      </c>
      <c r="GY22" s="344" t="str">
        <f t="shared" si="66"/>
        <v/>
      </c>
      <c r="GZ22" s="345" t="str">
        <f t="shared" si="67"/>
        <v/>
      </c>
      <c r="HA22" s="342" t="str">
        <f t="shared" si="68"/>
        <v/>
      </c>
      <c r="HB22" s="5" t="str">
        <f t="shared" si="231"/>
        <v/>
      </c>
      <c r="HC22" s="343" t="str">
        <f t="shared" si="232"/>
        <v/>
      </c>
      <c r="HD22" s="345" t="str">
        <f t="shared" si="233"/>
        <v/>
      </c>
      <c r="HE22" s="344" t="str">
        <f t="shared" si="69"/>
        <v/>
      </c>
      <c r="HF22" s="5" t="str">
        <f t="shared" si="70"/>
        <v/>
      </c>
      <c r="HG22" s="343" t="str">
        <f t="shared" si="234"/>
        <v/>
      </c>
      <c r="HH22" s="349" t="str">
        <f t="shared" si="235"/>
        <v/>
      </c>
      <c r="HI22" s="317" t="str">
        <f t="shared" si="71"/>
        <v/>
      </c>
      <c r="HJ22" s="336"/>
      <c r="HK22" s="310" t="str">
        <f t="shared" si="137"/>
        <v/>
      </c>
      <c r="HL22" s="348" t="str">
        <f t="shared" si="72"/>
        <v/>
      </c>
      <c r="HM22" s="909" t="str">
        <f t="shared" si="138"/>
        <v/>
      </c>
      <c r="HN22" s="910" t="str">
        <f t="shared" si="73"/>
        <v/>
      </c>
      <c r="HO22" s="911"/>
      <c r="HP22" s="912"/>
      <c r="HQ22" s="910" t="str">
        <f t="shared" si="74"/>
        <v/>
      </c>
      <c r="HR22" s="913" t="str">
        <f t="shared" si="75"/>
        <v/>
      </c>
      <c r="HS22" s="865" t="str">
        <f t="shared" si="251"/>
        <v/>
      </c>
      <c r="HT22" s="875" t="str">
        <f t="shared" si="76"/>
        <v/>
      </c>
      <c r="HU22" s="876" t="str">
        <f t="shared" si="77"/>
        <v/>
      </c>
      <c r="HV22" s="872" t="str">
        <f t="shared" si="78"/>
        <v/>
      </c>
      <c r="HW22" s="866" t="str">
        <f t="shared" si="79"/>
        <v/>
      </c>
      <c r="HX22" s="867" t="str">
        <f t="shared" si="80"/>
        <v/>
      </c>
      <c r="HY22" s="866" t="str">
        <f t="shared" si="81"/>
        <v/>
      </c>
      <c r="HZ22" s="868" t="str">
        <f t="shared" si="82"/>
        <v/>
      </c>
      <c r="IA22" s="869" t="str">
        <f t="shared" si="83"/>
        <v/>
      </c>
      <c r="IB22" s="870" t="str">
        <f t="shared" si="84"/>
        <v/>
      </c>
      <c r="IC22" s="841" t="str">
        <f t="shared" si="85"/>
        <v/>
      </c>
      <c r="ID22" s="351" t="str">
        <f t="shared" si="86"/>
        <v/>
      </c>
      <c r="IE22" s="843" t="str">
        <f t="shared" si="87"/>
        <v/>
      </c>
      <c r="IF22" s="844"/>
      <c r="IG22" s="790" t="str">
        <f>IFERROR(IF($IW22="","",IF($IW22&lt;(((Settings!$C$19/2)*-1)*$IG$8),"Taper","Nose")),"")</f>
        <v>Taper</v>
      </c>
      <c r="IH22" s="482" t="str">
        <f>IFERROR(IF((((($IY22*COS(RADIANS(180-$JA22)))*COS(RADIANS($JA22)))-(($IZ22*SIN(RADIANS(180-$JA22)))*SIN(RADIANS($JA22))))+$IW22)&lt;(((Settings!$C$19+$IH$8)/2)*-1),"Gage",""),"")</f>
        <v/>
      </c>
      <c r="II22" s="788">
        <f t="shared" si="236"/>
        <v>1.2350000000000001</v>
      </c>
      <c r="IJ22" s="674" cm="1">
        <f t="array" ref="IJ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1.135</v>
      </c>
      <c r="IK22" s="677" cm="1">
        <f t="array" ref="IK22">IFERROR(ROUND(VALUE(IF($IJ22&lt;1,$IJ22+LARGE((IF($M$9:$M$150="",0,$M$9:$M$150)-MOD(IF($M$9:$M$150="",0,$M$9:$M$150),1)),1),$IJ22)),4),"")</f>
        <v>1.135</v>
      </c>
      <c r="IL22" s="482">
        <f t="shared" si="88"/>
        <v>1613</v>
      </c>
      <c r="IM22" s="482">
        <f t="shared" si="237"/>
        <v>1313</v>
      </c>
      <c r="IN22" s="670">
        <f t="shared" si="90"/>
        <v>9.6687739586257067</v>
      </c>
      <c r="IO22" s="702">
        <v>2.67337069767178E-2</v>
      </c>
      <c r="IP22" s="5">
        <f t="shared" si="91"/>
        <v>1.92</v>
      </c>
      <c r="IQ22" s="714">
        <v>960</v>
      </c>
      <c r="IR22" s="9">
        <f t="shared" si="139"/>
        <v>-4.9429492165422184</v>
      </c>
      <c r="IS22" s="5">
        <f t="shared" si="92"/>
        <v>-1.5894253922584844</v>
      </c>
      <c r="IT22" s="5">
        <f t="shared" si="93"/>
        <v>0.3125</v>
      </c>
      <c r="IU22" s="5">
        <f t="shared" si="94"/>
        <v>0.27976951961880886</v>
      </c>
      <c r="IV22" s="670">
        <f t="shared" si="95"/>
        <v>69.53293472939626</v>
      </c>
      <c r="IW22" s="9">
        <f t="shared" si="96"/>
        <v>-4.9655836720076438</v>
      </c>
      <c r="IX22" s="5">
        <f t="shared" si="97"/>
        <v>-1.597173938610946</v>
      </c>
      <c r="IY22" s="5">
        <f t="shared" si="98"/>
        <v>0.26450000000000001</v>
      </c>
      <c r="IZ22" s="5">
        <f t="shared" si="99"/>
        <v>0.22560072755421115</v>
      </c>
      <c r="JA22" s="705">
        <f t="shared" si="100"/>
        <v>69.566043588691343</v>
      </c>
      <c r="JC22" s="31" t="s">
        <v>352</v>
      </c>
      <c r="JD22" s="801" t="s">
        <v>379</v>
      </c>
      <c r="JE22" s="361"/>
      <c r="JF22" s="361"/>
      <c r="JG22" s="333"/>
      <c r="JH22" s="802" t="str" cm="1">
        <f t="array" ref="JH22:JI22">IFERROR(TRANSPOSE(_xlfn._xlws.SORT(_xlfn.UNIQUE(_xlfn._xlws.FILTER($IG$9:$IG$150,$IG$9:$IG$150&lt;&gt;"")),,1)),"")</f>
        <v>Nose</v>
      </c>
      <c r="JI22" s="803" t="str">
        <v>Taper</v>
      </c>
      <c r="JJ22" s="804" t="str" cm="1">
        <f t="array" ref="JJ22:JK22">IFERROR(TRANSPOSE(_xlfn._xlws.SORT(_xlfn.UNIQUE(_xlfn._xlws.FILTER($IG$9:$IG$150,$IG$9:$IG$150&lt;&gt;"")),,1)),"")</f>
        <v>Nose</v>
      </c>
      <c r="JK22" s="803" t="str">
        <v>Taper</v>
      </c>
    </row>
    <row r="23" spans="1:271" ht="15" customHeight="1" thickTop="1" x14ac:dyDescent="0.25">
      <c r="A23" s="75">
        <f t="shared" si="1"/>
        <v>0</v>
      </c>
      <c r="B23" s="578">
        <f t="shared" si="2"/>
        <v>1.2579121378462765</v>
      </c>
      <c r="C23" s="572">
        <f t="shared" si="3"/>
        <v>4.8317293024268277</v>
      </c>
      <c r="D23" s="576">
        <f t="shared" si="4"/>
        <v>-2.3723571641368855</v>
      </c>
      <c r="E23" s="580">
        <f t="shared" si="5"/>
        <v>0.25194573829754657</v>
      </c>
      <c r="F23" s="572">
        <f t="shared" si="6"/>
        <v>0.96774136263448662</v>
      </c>
      <c r="G23" s="579">
        <f t="shared" si="7"/>
        <v>2.2679489666832531E-7</v>
      </c>
      <c r="H23" s="580">
        <f t="shared" si="8"/>
        <v>0.255</v>
      </c>
      <c r="I23" s="572">
        <f t="shared" si="9"/>
        <v>0.41499999999999992</v>
      </c>
      <c r="J23" s="483">
        <f t="shared" si="10"/>
        <v>1.2410000000000001</v>
      </c>
      <c r="K23" s="806" t="str">
        <f t="shared" si="11"/>
        <v>CPS-32193r1</v>
      </c>
      <c r="M23" s="164">
        <f t="shared" si="12"/>
        <v>1.2410000000000001</v>
      </c>
      <c r="N23" s="575">
        <f t="shared" si="13"/>
        <v>1.2579121378462765</v>
      </c>
      <c r="O23" s="572">
        <f t="shared" si="14"/>
        <v>4.8317293024268277</v>
      </c>
      <c r="P23" s="576">
        <f t="shared" si="15"/>
        <v>-2.3723571641368855</v>
      </c>
      <c r="Q23" s="528">
        <f t="shared" si="140"/>
        <v>75.407319123907797</v>
      </c>
      <c r="R23" s="572">
        <f t="shared" si="101"/>
        <v>4.9927899012947687</v>
      </c>
      <c r="S23" s="577">
        <f t="shared" si="102"/>
        <v>-2.3723571641368855</v>
      </c>
      <c r="T23" s="578">
        <f t="shared" si="103"/>
        <v>4.8410952986886322</v>
      </c>
      <c r="U23" s="572">
        <f t="shared" si="104"/>
        <v>-1.2213710768991737</v>
      </c>
      <c r="V23" s="579">
        <f t="shared" si="141"/>
        <v>-2.3723571641368855</v>
      </c>
      <c r="W23" s="528">
        <f t="shared" si="253"/>
        <v>345.84020996977875</v>
      </c>
      <c r="X23" s="572">
        <f t="shared" si="105"/>
        <v>4.9927899012947687</v>
      </c>
      <c r="Y23" s="573">
        <f t="shared" si="255"/>
        <v>-2.3723571641368855</v>
      </c>
      <c r="Z23" s="575">
        <f t="shared" si="18"/>
        <v>-0.25194573829754657</v>
      </c>
      <c r="AA23" s="572">
        <f t="shared" si="19"/>
        <v>-0.96774136263448662</v>
      </c>
      <c r="AB23" s="572">
        <f t="shared" si="20"/>
        <v>-2.2679489666832531E-7</v>
      </c>
      <c r="AC23" s="579">
        <f t="shared" si="106"/>
        <v>1</v>
      </c>
      <c r="AD23" s="580">
        <f t="shared" si="142"/>
        <v>-0.25194573829754657</v>
      </c>
      <c r="AE23" s="572">
        <f t="shared" si="107"/>
        <v>-0.96774136263448662</v>
      </c>
      <c r="AF23" s="576">
        <f t="shared" si="108"/>
        <v>-2.2679489666832531E-7</v>
      </c>
      <c r="AG23" s="545">
        <f t="shared" si="109"/>
        <v>-89.999986572455313</v>
      </c>
      <c r="AH23" s="546">
        <f t="shared" si="110"/>
        <v>104.59268087609183</v>
      </c>
      <c r="AI23" s="528">
        <f t="shared" si="111"/>
        <v>-89.999987005609611</v>
      </c>
      <c r="AJ23" s="529">
        <f t="shared" si="112"/>
        <v>-14.592680876092221</v>
      </c>
      <c r="AK23" s="578">
        <f t="shared" si="238"/>
        <v>-5.5511151231257827E-17</v>
      </c>
      <c r="AL23" s="572">
        <f t="shared" si="113"/>
        <v>-0.99999999999997435</v>
      </c>
      <c r="AM23" s="577">
        <f t="shared" si="114"/>
        <v>-2.2679489666832531E-7</v>
      </c>
      <c r="AN23" s="524">
        <f t="shared" si="115"/>
        <v>-89.999987005609611</v>
      </c>
      <c r="AO23" s="525">
        <f t="shared" si="116"/>
        <v>0</v>
      </c>
      <c r="AP23" s="528">
        <f t="shared" si="117"/>
        <v>-90</v>
      </c>
      <c r="AQ23" s="529">
        <f t="shared" si="21"/>
        <v>0.91313019891706071</v>
      </c>
      <c r="AS23" s="932">
        <f t="shared" si="143"/>
        <v>345.84020996977875</v>
      </c>
      <c r="AT23" s="928">
        <f t="shared" si="22"/>
        <v>-2.3564153699473525</v>
      </c>
      <c r="AU23" s="418"/>
      <c r="AV23" s="164" t="str">
        <f t="shared" si="23"/>
        <v/>
      </c>
      <c r="AW23" s="829" t="str">
        <f>IFERROR(INDEX(MassProp!C$9:C$150,MATCH($M23,MassProp!$B$9:$B$150,0)),"")</f>
        <v/>
      </c>
      <c r="AX23" s="830" t="str">
        <f>IFERROR(INDEX(MassProp!D$9:D$150,MATCH($M23,MassProp!$B$9:$B$150,0)),"")</f>
        <v/>
      </c>
      <c r="AY23" s="831" t="str">
        <f>IFERROR(INDEX(MassProp!E$9:E$150,MATCH($M23,MassProp!$B$9:$B$150,0)),"")</f>
        <v/>
      </c>
      <c r="AZ23" s="297" t="str">
        <f t="shared" si="144"/>
        <v/>
      </c>
      <c r="BA23" s="296" t="str">
        <f t="shared" si="24"/>
        <v/>
      </c>
      <c r="BB23" s="190" t="str">
        <f t="shared" si="145"/>
        <v/>
      </c>
      <c r="BC23" s="9"/>
      <c r="BD23" s="5" t="str">
        <f t="shared" si="146"/>
        <v/>
      </c>
      <c r="BE23" s="6" t="str">
        <f t="shared" si="25"/>
        <v/>
      </c>
      <c r="BF23" s="4" t="str">
        <f t="shared" si="26"/>
        <v/>
      </c>
      <c r="BG23" s="5" t="str">
        <f t="shared" si="27"/>
        <v/>
      </c>
      <c r="BH23" s="10" t="str">
        <f t="shared" si="28"/>
        <v/>
      </c>
      <c r="BI23" s="9" t="str">
        <f t="shared" si="147"/>
        <v/>
      </c>
      <c r="BJ23" s="5" t="str">
        <f t="shared" si="29"/>
        <v/>
      </c>
      <c r="BK23" s="8" t="str">
        <f t="shared" si="30"/>
        <v/>
      </c>
      <c r="BL23" s="173" t="str">
        <f t="shared" si="31"/>
        <v/>
      </c>
      <c r="BM23" s="5" t="str">
        <f t="shared" si="32"/>
        <v/>
      </c>
      <c r="BN23" s="6" t="str">
        <f t="shared" si="33"/>
        <v/>
      </c>
      <c r="BO23" s="4" t="str">
        <f t="shared" si="148"/>
        <v/>
      </c>
      <c r="BP23" s="5" t="str">
        <f t="shared" si="239"/>
        <v/>
      </c>
      <c r="BQ23" s="5" t="str">
        <f t="shared" si="149"/>
        <v/>
      </c>
      <c r="BR23" s="6" t="str">
        <f t="shared" si="150"/>
        <v/>
      </c>
      <c r="BS23" s="4" t="str">
        <f t="shared" si="118"/>
        <v/>
      </c>
      <c r="BT23" s="5" t="str">
        <f t="shared" si="118"/>
        <v/>
      </c>
      <c r="BU23" s="10" t="str">
        <f t="shared" si="119"/>
        <v/>
      </c>
      <c r="BV23" s="9" t="str">
        <f t="shared" si="120"/>
        <v/>
      </c>
      <c r="BW23" s="5" t="str">
        <f t="shared" si="121"/>
        <v/>
      </c>
      <c r="BX23" s="8" t="str">
        <f t="shared" si="122"/>
        <v/>
      </c>
      <c r="BY23" s="173" t="str">
        <f t="shared" si="123"/>
        <v/>
      </c>
      <c r="BZ23" s="5" t="str">
        <f t="shared" si="124"/>
        <v/>
      </c>
      <c r="CA23" s="6" t="str">
        <f t="shared" si="125"/>
        <v/>
      </c>
      <c r="CB23" s="4" t="str">
        <f t="shared" si="151"/>
        <v/>
      </c>
      <c r="CC23" s="5" t="str">
        <f t="shared" si="152"/>
        <v/>
      </c>
      <c r="CD23" s="5" t="str">
        <f t="shared" si="153"/>
        <v/>
      </c>
      <c r="CE23" s="6" t="str">
        <f t="shared" si="154"/>
        <v/>
      </c>
      <c r="CF23" s="4" t="str">
        <f t="shared" si="155"/>
        <v/>
      </c>
      <c r="CG23" s="5" t="str">
        <f t="shared" si="156"/>
        <v/>
      </c>
      <c r="CH23" s="5" t="str">
        <f t="shared" si="157"/>
        <v/>
      </c>
      <c r="CI23" s="4" t="str">
        <f t="shared" si="126"/>
        <v/>
      </c>
      <c r="CJ23" s="5" t="str">
        <f t="shared" si="127"/>
        <v/>
      </c>
      <c r="CK23" s="8" t="str">
        <f t="shared" si="128"/>
        <v/>
      </c>
      <c r="CL23" s="173" t="str">
        <f t="shared" si="129"/>
        <v/>
      </c>
      <c r="CM23" s="5" t="str">
        <f t="shared" si="130"/>
        <v/>
      </c>
      <c r="CN23" s="6" t="str">
        <f t="shared" si="131"/>
        <v/>
      </c>
      <c r="CO23" s="167" t="str">
        <f t="shared" si="35"/>
        <v/>
      </c>
      <c r="CP23" s="4" t="str">
        <f t="shared" si="240"/>
        <v/>
      </c>
      <c r="CQ23" s="5" t="str">
        <f t="shared" si="241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60"/>
        <v/>
      </c>
      <c r="CU23" s="6" t="str">
        <f t="shared" si="161"/>
        <v/>
      </c>
      <c r="CV23" s="4" t="str">
        <f t="shared" si="242"/>
        <v/>
      </c>
      <c r="CW23" s="5" t="str">
        <f t="shared" si="162"/>
        <v/>
      </c>
      <c r="CX23" s="8" t="str">
        <f t="shared" si="163"/>
        <v/>
      </c>
      <c r="CY23" s="9" t="str">
        <f t="shared" si="164"/>
        <v/>
      </c>
      <c r="CZ23" s="5" t="str">
        <f t="shared" si="165"/>
        <v/>
      </c>
      <c r="DA23" s="6" t="str">
        <f t="shared" si="166"/>
        <v/>
      </c>
      <c r="DB23" s="4" t="str">
        <f t="shared" si="167"/>
        <v/>
      </c>
      <c r="DC23" s="5" t="str">
        <f t="shared" si="167"/>
        <v/>
      </c>
      <c r="DD23" s="10" t="str">
        <f t="shared" si="168"/>
        <v/>
      </c>
      <c r="DE23" s="9" t="str">
        <f t="shared" si="169"/>
        <v/>
      </c>
      <c r="DF23" s="5" t="str">
        <f t="shared" si="169"/>
        <v/>
      </c>
      <c r="DG23" s="10" t="str">
        <f t="shared" si="170"/>
        <v/>
      </c>
      <c r="DH23" s="70" t="str">
        <f t="shared" si="171"/>
        <v/>
      </c>
      <c r="DI23" s="4" t="str">
        <f t="shared" si="172"/>
        <v/>
      </c>
      <c r="DJ23" s="5" t="str">
        <f t="shared" si="173"/>
        <v/>
      </c>
      <c r="DK23" s="10" t="str">
        <f t="shared" si="174"/>
        <v/>
      </c>
      <c r="DL23" s="9" t="str">
        <f t="shared" si="175"/>
        <v/>
      </c>
      <c r="DM23" s="173" t="str">
        <f t="shared" si="176"/>
        <v/>
      </c>
      <c r="DN23" s="178" t="str">
        <f t="shared" si="177"/>
        <v/>
      </c>
      <c r="DO23" s="9" t="str">
        <f t="shared" si="178"/>
        <v/>
      </c>
      <c r="DP23" s="173" t="str">
        <f t="shared" si="179"/>
        <v/>
      </c>
      <c r="DQ23" s="11" t="str">
        <f t="shared" si="180"/>
        <v/>
      </c>
      <c r="DR23" s="173" t="str">
        <f t="shared" si="181"/>
        <v/>
      </c>
      <c r="DS23" s="5" t="str">
        <f t="shared" si="182"/>
        <v/>
      </c>
      <c r="DT23" s="5" t="str">
        <f t="shared" si="183"/>
        <v/>
      </c>
      <c r="DU23" s="5" t="str">
        <f t="shared" si="184"/>
        <v/>
      </c>
      <c r="DV23" s="5" t="str">
        <f t="shared" si="185"/>
        <v/>
      </c>
      <c r="DW23" s="5" t="str">
        <f t="shared" si="186"/>
        <v/>
      </c>
      <c r="DX23" s="167" t="str">
        <f t="shared" si="187"/>
        <v/>
      </c>
      <c r="DY23" s="9" t="str">
        <f t="shared" si="188"/>
        <v/>
      </c>
      <c r="DZ23" s="5" t="str">
        <f t="shared" si="189"/>
        <v/>
      </c>
      <c r="EA23" s="10" t="str">
        <f t="shared" si="190"/>
        <v/>
      </c>
      <c r="EB23" s="6" t="str">
        <f t="shared" si="191"/>
        <v/>
      </c>
      <c r="EC23" s="173" t="str">
        <f t="shared" si="192"/>
        <v/>
      </c>
      <c r="ED23" s="5" t="str">
        <f t="shared" si="193"/>
        <v/>
      </c>
      <c r="EE23" s="4" t="str">
        <f t="shared" si="194"/>
        <v/>
      </c>
      <c r="EF23" s="5" t="str">
        <f t="shared" si="195"/>
        <v/>
      </c>
      <c r="EG23" s="10" t="str">
        <f t="shared" si="196"/>
        <v/>
      </c>
      <c r="EH23" s="9" t="str">
        <f t="shared" si="197"/>
        <v/>
      </c>
      <c r="EI23" s="5" t="str">
        <f t="shared" si="198"/>
        <v/>
      </c>
      <c r="EJ23" s="6" t="str">
        <f t="shared" si="199"/>
        <v/>
      </c>
      <c r="EK23" s="236" t="str">
        <f t="shared" si="200"/>
        <v/>
      </c>
      <c r="EL23" s="238" t="str">
        <f t="shared" si="201"/>
        <v/>
      </c>
      <c r="EM23" s="4" t="str">
        <f t="shared" si="202"/>
        <v/>
      </c>
      <c r="EN23" s="5" t="str">
        <f t="shared" si="203"/>
        <v/>
      </c>
      <c r="EO23" s="10" t="str">
        <f t="shared" si="204"/>
        <v/>
      </c>
      <c r="EP23" s="9" t="str">
        <f t="shared" si="205"/>
        <v/>
      </c>
      <c r="EQ23" s="5" t="str">
        <f t="shared" si="206"/>
        <v/>
      </c>
      <c r="ER23" s="7" t="str">
        <f t="shared" si="207"/>
        <v/>
      </c>
      <c r="ES23" s="21" t="str">
        <f t="shared" si="132"/>
        <v/>
      </c>
      <c r="ET23" s="5" t="str">
        <f t="shared" si="44"/>
        <v/>
      </c>
      <c r="EU23" s="10" t="str">
        <f t="shared" si="45"/>
        <v/>
      </c>
      <c r="EV23" s="174" t="str">
        <f t="shared" si="254"/>
        <v/>
      </c>
      <c r="EW23" s="9" t="str">
        <f t="shared" si="133"/>
        <v/>
      </c>
      <c r="EX23" s="5" t="str">
        <f t="shared" si="47"/>
        <v/>
      </c>
      <c r="EY23" s="6" t="str">
        <f t="shared" si="208"/>
        <v/>
      </c>
      <c r="EZ23" s="51" t="str">
        <f t="shared" si="209"/>
        <v/>
      </c>
      <c r="FA23" s="266" t="str">
        <f t="shared" si="134"/>
        <v/>
      </c>
      <c r="FB23" s="267" t="str">
        <f t="shared" si="135"/>
        <v/>
      </c>
      <c r="FC23" s="269" t="str">
        <f t="shared" si="48"/>
        <v/>
      </c>
      <c r="FD23" s="4" t="str">
        <f t="shared" si="136"/>
        <v/>
      </c>
      <c r="FE23" s="5" t="str">
        <f t="shared" si="49"/>
        <v/>
      </c>
      <c r="FF23" s="7" t="str">
        <f t="shared" si="210"/>
        <v/>
      </c>
      <c r="FG23" s="173" t="str">
        <f t="shared" si="211"/>
        <v/>
      </c>
      <c r="FH23" s="5" t="str">
        <f t="shared" si="50"/>
        <v/>
      </c>
      <c r="FI23" s="10" t="str">
        <f t="shared" si="51"/>
        <v/>
      </c>
      <c r="FJ23" s="279" t="str">
        <f t="shared" si="212"/>
        <v/>
      </c>
      <c r="FK23" s="4" t="str">
        <f t="shared" si="52"/>
        <v/>
      </c>
      <c r="FL23" s="5" t="str">
        <f t="shared" si="213"/>
        <v/>
      </c>
      <c r="FM23" s="8" t="str">
        <f t="shared" si="214"/>
        <v/>
      </c>
      <c r="FN23" s="9" t="str">
        <f t="shared" si="215"/>
        <v/>
      </c>
      <c r="FO23" s="10" t="str">
        <f t="shared" si="53"/>
        <v/>
      </c>
      <c r="FP23" s="277" t="str">
        <f t="shared" si="54"/>
        <v/>
      </c>
      <c r="FQ23" s="173" t="str">
        <f t="shared" si="243"/>
        <v/>
      </c>
      <c r="FR23" s="10" t="str">
        <f t="shared" si="216"/>
        <v/>
      </c>
      <c r="FS23" s="9" t="str">
        <f t="shared" si="217"/>
        <v/>
      </c>
      <c r="FT23" s="6" t="str">
        <f t="shared" si="218"/>
        <v/>
      </c>
      <c r="FU23" s="4" t="str">
        <f t="shared" si="219"/>
        <v/>
      </c>
      <c r="FV23" s="5" t="str">
        <f t="shared" si="220"/>
        <v/>
      </c>
      <c r="FW23" s="8" t="str">
        <f t="shared" si="244"/>
        <v/>
      </c>
      <c r="FX23" s="9" t="str">
        <f t="shared" si="245"/>
        <v/>
      </c>
      <c r="FY23" s="10" t="str">
        <f t="shared" si="55"/>
        <v/>
      </c>
      <c r="FZ23" s="277" t="str">
        <f t="shared" si="246"/>
        <v/>
      </c>
      <c r="GA23" s="177" t="str">
        <f t="shared" si="221"/>
        <v/>
      </c>
      <c r="GB23" s="4" t="str">
        <f t="shared" si="222"/>
        <v/>
      </c>
      <c r="GC23" s="5" t="str">
        <f t="shared" si="223"/>
        <v/>
      </c>
      <c r="GD23" s="10" t="str">
        <f t="shared" si="224"/>
        <v/>
      </c>
      <c r="GE23" s="311" t="str">
        <f t="shared" si="225"/>
        <v/>
      </c>
      <c r="GF23" s="341" t="str">
        <f t="shared" si="247"/>
        <v/>
      </c>
      <c r="GG23" s="285" t="str">
        <f t="shared" si="56"/>
        <v/>
      </c>
      <c r="GH23" s="286" t="str">
        <f t="shared" si="57"/>
        <v/>
      </c>
      <c r="GI23" s="281" t="str">
        <f t="shared" si="58"/>
        <v/>
      </c>
      <c r="GJ23" s="167" t="str">
        <f t="shared" si="226"/>
        <v/>
      </c>
      <c r="GK23" s="174" t="str">
        <f t="shared" si="59"/>
        <v/>
      </c>
      <c r="GL23" s="174" t="str">
        <f t="shared" si="227"/>
        <v/>
      </c>
      <c r="GM23" s="177" t="str">
        <f t="shared" si="248"/>
        <v/>
      </c>
      <c r="GN23" s="280" t="str">
        <f t="shared" si="228"/>
        <v/>
      </c>
      <c r="GO23" s="4" t="str">
        <f t="shared" si="229"/>
        <v/>
      </c>
      <c r="GP23" s="8" t="str">
        <f t="shared" si="249"/>
        <v/>
      </c>
      <c r="GQ23" s="177" t="str">
        <f t="shared" si="230"/>
        <v/>
      </c>
      <c r="GR23" s="371" t="str">
        <f t="shared" si="250"/>
        <v/>
      </c>
      <c r="GS23" s="342" t="str">
        <f t="shared" si="61"/>
        <v/>
      </c>
      <c r="GT23" s="343" t="str">
        <f t="shared" si="62"/>
        <v/>
      </c>
      <c r="GU23" s="344" t="str">
        <f t="shared" si="63"/>
        <v/>
      </c>
      <c r="GV23" s="343" t="str">
        <f t="shared" si="252"/>
        <v/>
      </c>
      <c r="GW23" s="345" t="str">
        <f t="shared" si="64"/>
        <v/>
      </c>
      <c r="GX23" s="346" t="str">
        <f t="shared" si="65"/>
        <v/>
      </c>
      <c r="GY23" s="344" t="str">
        <f t="shared" si="66"/>
        <v/>
      </c>
      <c r="GZ23" s="345" t="str">
        <f t="shared" si="67"/>
        <v/>
      </c>
      <c r="HA23" s="342" t="str">
        <f t="shared" si="68"/>
        <v/>
      </c>
      <c r="HB23" s="5" t="str">
        <f t="shared" si="231"/>
        <v/>
      </c>
      <c r="HC23" s="343" t="str">
        <f t="shared" si="232"/>
        <v/>
      </c>
      <c r="HD23" s="345" t="str">
        <f t="shared" si="233"/>
        <v/>
      </c>
      <c r="HE23" s="344" t="str">
        <f t="shared" si="69"/>
        <v/>
      </c>
      <c r="HF23" s="5" t="str">
        <f t="shared" si="70"/>
        <v/>
      </c>
      <c r="HG23" s="343" t="str">
        <f t="shared" si="234"/>
        <v/>
      </c>
      <c r="HH23" s="349" t="str">
        <f t="shared" si="235"/>
        <v/>
      </c>
      <c r="HI23" s="317" t="str">
        <f t="shared" si="71"/>
        <v/>
      </c>
      <c r="HJ23" s="336"/>
      <c r="HK23" s="310" t="str">
        <f t="shared" si="137"/>
        <v/>
      </c>
      <c r="HL23" s="348" t="str">
        <f t="shared" si="72"/>
        <v/>
      </c>
      <c r="HM23" s="909" t="str">
        <f t="shared" si="138"/>
        <v/>
      </c>
      <c r="HN23" s="910" t="str">
        <f t="shared" si="73"/>
        <v/>
      </c>
      <c r="HO23" s="911"/>
      <c r="HP23" s="912"/>
      <c r="HQ23" s="910" t="str">
        <f t="shared" si="74"/>
        <v/>
      </c>
      <c r="HR23" s="913" t="str">
        <f t="shared" si="75"/>
        <v/>
      </c>
      <c r="HS23" s="865" t="str">
        <f t="shared" si="251"/>
        <v/>
      </c>
      <c r="HT23" s="875" t="str">
        <f t="shared" si="76"/>
        <v/>
      </c>
      <c r="HU23" s="876" t="str">
        <f t="shared" si="77"/>
        <v/>
      </c>
      <c r="HV23" s="872" t="str">
        <f t="shared" si="78"/>
        <v/>
      </c>
      <c r="HW23" s="866" t="str">
        <f t="shared" si="79"/>
        <v/>
      </c>
      <c r="HX23" s="867" t="str">
        <f t="shared" si="80"/>
        <v/>
      </c>
      <c r="HY23" s="866" t="str">
        <f t="shared" si="81"/>
        <v/>
      </c>
      <c r="HZ23" s="868" t="str">
        <f t="shared" si="82"/>
        <v/>
      </c>
      <c r="IA23" s="869" t="str">
        <f t="shared" si="83"/>
        <v/>
      </c>
      <c r="IB23" s="870" t="str">
        <f t="shared" si="84"/>
        <v/>
      </c>
      <c r="IC23" s="841" t="str">
        <f t="shared" si="85"/>
        <v/>
      </c>
      <c r="ID23" s="351" t="str">
        <f t="shared" si="86"/>
        <v/>
      </c>
      <c r="IE23" s="843" t="str">
        <f t="shared" si="87"/>
        <v/>
      </c>
      <c r="IF23" s="844"/>
      <c r="IG23" s="790" t="str">
        <f>IFERROR(IF($IW23="","",IF($IW23&lt;(((Settings!$C$19/2)*-1)*$IG$8),"Taper","Nose")),"")</f>
        <v>Taper</v>
      </c>
      <c r="IH23" s="482" t="str">
        <f>IFERROR(IF((((($IY23*COS(RADIANS(180-$JA23)))*COS(RADIANS($JA23)))-(($IZ23*SIN(RADIANS(180-$JA23)))*SIN(RADIANS($JA23))))+$IW23)&lt;(((Settings!$C$19+$IH$8)/2)*-1),"Gage",""),"")</f>
        <v/>
      </c>
      <c r="II23" s="788">
        <f t="shared" si="236"/>
        <v>1.2410000000000001</v>
      </c>
      <c r="IJ23" s="674" cm="1">
        <f t="array" ref="IJ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1.141</v>
      </c>
      <c r="IK23" s="677" cm="1">
        <f t="array" ref="IK23">IFERROR(ROUND(VALUE(IF($IJ23&lt;1,$IJ23+LARGE((IF($M$9:$M$150="",0,$M$9:$M$150)-MOD(IF($M$9:$M$150="",0,$M$9:$M$150),1)),1),$IJ23)),4),"")</f>
        <v>1.141</v>
      </c>
      <c r="IL23" s="482">
        <f t="shared" si="88"/>
        <v>1613</v>
      </c>
      <c r="IM23" s="482" t="str">
        <f t="shared" si="237"/>
        <v>CPS-32193r1</v>
      </c>
      <c r="IN23" s="670">
        <f t="shared" si="90"/>
        <v>12.271230721814732</v>
      </c>
      <c r="IO23" s="702">
        <v>4.8062200035357203E-2</v>
      </c>
      <c r="IP23" s="5">
        <f t="shared" si="91"/>
        <v>2.76</v>
      </c>
      <c r="IQ23" s="714">
        <v>1380</v>
      </c>
      <c r="IR23" s="9">
        <f t="shared" si="139"/>
        <v>-5.0270040657372705</v>
      </c>
      <c r="IS23" s="5">
        <f t="shared" si="92"/>
        <v>-2.3485852153236326</v>
      </c>
      <c r="IT23" s="5">
        <f t="shared" si="93"/>
        <v>0.3125</v>
      </c>
      <c r="IU23" s="5">
        <f t="shared" si="94"/>
        <v>0.27121974842239471</v>
      </c>
      <c r="IV23" s="670">
        <f t="shared" si="95"/>
        <v>84.96994937215598</v>
      </c>
      <c r="IW23" s="9">
        <f t="shared" si="96"/>
        <v>-4.9927899012947687</v>
      </c>
      <c r="IX23" s="5">
        <f t="shared" si="97"/>
        <v>-2.3723571641368855</v>
      </c>
      <c r="IY23" s="5">
        <f t="shared" si="98"/>
        <v>0.255</v>
      </c>
      <c r="IZ23" s="5">
        <f t="shared" si="99"/>
        <v>0.255</v>
      </c>
      <c r="JA23" s="705">
        <f t="shared" si="100"/>
        <v>89.999987005609611</v>
      </c>
      <c r="JC23" s="796" cm="1">
        <f t="array" ref="JC23:JC24">IFERROR(_xlfn._xlws.SORT(_xlfn.UNIQUE(_xlfn._xlws.FILTER($IM$9:$IM$150,$IM$9:$IM$150&lt;&gt;"")),,1),"")</f>
        <v>1313</v>
      </c>
      <c r="JD23" s="800" cm="1">
        <f t="array" ref="JD23">IF($JC23="","",COUNT(IF(IF($IK$9:$IK$150&lt;&gt;"",$IM$9:$IM$150,"")=$JC23,$II$9:$II$150,"")))</f>
        <v>9</v>
      </c>
      <c r="JE23" s="191"/>
      <c r="JF23" s="191"/>
      <c r="JG23" s="812"/>
      <c r="JH23" s="737" cm="1">
        <f t="array" ref="JH23:JI24">IF(_xlfn.ANCHORARRAY($JC$23)="","",IF(COUNTIFS($IM$9:$IM$150,_xlfn.ANCHORARRAY($JC$23),$IG$9:$IG$150,_xlfn.ANCHORARRAY($JH$22),$IK$9:$IK$150,"&lt;&gt;"&amp;"",$IH$9:$IH$150,"&lt;&gt;"&amp;"Gage")=0,"",COUNTIFS($IM$9:$IM$150,_xlfn.ANCHORARRAY($JC$23),$IG$9:$IG$150,_xlfn.ANCHORARRAY($JH$22),$IK$9:$IK$150,"&lt;&gt;"&amp;"",$IH$9:$IH$150,"&lt;&gt;"&amp;"Gage")))</f>
        <v>1</v>
      </c>
      <c r="JI23" s="742">
        <v>8</v>
      </c>
      <c r="JJ23" s="741" cm="1">
        <f t="array" ref="JJ23:JK24">IF(_xlfn.ANCHORARRAY($JH$23)="","",_xlfn.MINIFS($IQ$9:$IQ$150,$IM$9:$IM$150,_xlfn.ANCHORARRAY($JC$23),$IG$9:$IG$150,_xlfn.ANCHORARRAY($JJ$22),$IK$9:$IK$150,"&lt;&gt;"&amp;"",$IH$9:$IH$150,"&lt;&gt;"&amp;"Gage"))</f>
        <v>720</v>
      </c>
      <c r="JK23" s="742">
        <v>760</v>
      </c>
    </row>
    <row r="24" spans="1:271" ht="15" customHeight="1" x14ac:dyDescent="0.25">
      <c r="A24" s="75">
        <f t="shared" si="1"/>
        <v>0</v>
      </c>
      <c r="B24" s="578">
        <f t="shared" si="2"/>
        <v>1.2653068393880056</v>
      </c>
      <c r="C24" s="572">
        <f t="shared" si="3"/>
        <v>4.8588251981189892</v>
      </c>
      <c r="D24" s="576">
        <f t="shared" si="4"/>
        <v>-3.1237446296586411</v>
      </c>
      <c r="E24" s="580">
        <f t="shared" si="5"/>
        <v>0.25200923965143501</v>
      </c>
      <c r="F24" s="572">
        <f t="shared" si="6"/>
        <v>0.96772482820802641</v>
      </c>
      <c r="G24" s="579">
        <f t="shared" si="7"/>
        <v>2.2679489701527003E-7</v>
      </c>
      <c r="H24" s="580">
        <f t="shared" si="8"/>
        <v>0.255</v>
      </c>
      <c r="I24" s="572">
        <f t="shared" si="9"/>
        <v>0.41499999999999992</v>
      </c>
      <c r="J24" s="483">
        <f t="shared" si="10"/>
        <v>1.2470000000000001</v>
      </c>
      <c r="K24" s="806" t="str">
        <f t="shared" si="11"/>
        <v>CPS-32193r1</v>
      </c>
      <c r="L24" s="82"/>
      <c r="M24" s="164">
        <f t="shared" si="12"/>
        <v>1.2470000000000001</v>
      </c>
      <c r="N24" s="575">
        <f t="shared" si="13"/>
        <v>1.2653068393880056</v>
      </c>
      <c r="O24" s="572">
        <f t="shared" si="14"/>
        <v>4.8588251981189892</v>
      </c>
      <c r="P24" s="576">
        <f t="shared" si="15"/>
        <v>-3.1237446296586411</v>
      </c>
      <c r="Q24" s="528">
        <f t="shared" si="140"/>
        <v>75.403559451342005</v>
      </c>
      <c r="R24" s="572">
        <f t="shared" si="101"/>
        <v>5.0208747946625891</v>
      </c>
      <c r="S24" s="577">
        <f t="shared" si="102"/>
        <v>-3.1237446296586411</v>
      </c>
      <c r="T24" s="578">
        <f t="shared" si="103"/>
        <v>4.8682462901973134</v>
      </c>
      <c r="U24" s="572">
        <f t="shared" si="104"/>
        <v>-1.2285608497987366</v>
      </c>
      <c r="V24" s="579">
        <f t="shared" si="141"/>
        <v>-3.1237446296586411</v>
      </c>
      <c r="W24" s="528">
        <f t="shared" si="253"/>
        <v>345.83645029721299</v>
      </c>
      <c r="X24" s="572">
        <f t="shared" si="105"/>
        <v>5.0208747946625891</v>
      </c>
      <c r="Y24" s="573">
        <f t="shared" si="255"/>
        <v>-3.1237446296586411</v>
      </c>
      <c r="Z24" s="575">
        <f t="shared" si="18"/>
        <v>-0.25200923965143501</v>
      </c>
      <c r="AA24" s="572">
        <f t="shared" si="19"/>
        <v>-0.96772482820802641</v>
      </c>
      <c r="AB24" s="572">
        <f t="shared" si="20"/>
        <v>-2.2679489701527003E-7</v>
      </c>
      <c r="AC24" s="579">
        <f t="shared" si="106"/>
        <v>1</v>
      </c>
      <c r="AD24" s="580">
        <f t="shared" si="142"/>
        <v>-0.25200923965143501</v>
      </c>
      <c r="AE24" s="572">
        <f t="shared" si="107"/>
        <v>-0.96772482820802641</v>
      </c>
      <c r="AF24" s="576">
        <f t="shared" si="108"/>
        <v>-2.2679489701527003E-7</v>
      </c>
      <c r="AG24" s="545">
        <f t="shared" si="109"/>
        <v>-89.999986572225879</v>
      </c>
      <c r="AH24" s="546">
        <f t="shared" si="110"/>
        <v>104.59644054865763</v>
      </c>
      <c r="AI24" s="528">
        <f t="shared" si="111"/>
        <v>-89.999987005609583</v>
      </c>
      <c r="AJ24" s="529">
        <f t="shared" si="112"/>
        <v>-14.59644054865802</v>
      </c>
      <c r="AK24" s="578">
        <f>IF(M24="","",(COS(RADIANS((90-$Q$8)-W24))*AD24)+(-SIN(RADIANS((90-$Q$8)-W24))*AE24))</f>
        <v>-5.5511151231257827E-16</v>
      </c>
      <c r="AL24" s="572">
        <f t="shared" si="113"/>
        <v>-0.99999999999997424</v>
      </c>
      <c r="AM24" s="577">
        <f t="shared" si="114"/>
        <v>-2.2679489701527003E-7</v>
      </c>
      <c r="AN24" s="524">
        <f t="shared" si="115"/>
        <v>-89.999987005609597</v>
      </c>
      <c r="AO24" s="525">
        <f t="shared" si="116"/>
        <v>0</v>
      </c>
      <c r="AP24" s="528">
        <f t="shared" si="117"/>
        <v>-90.000000000000028</v>
      </c>
      <c r="AQ24" s="529">
        <f t="shared" si="21"/>
        <v>0.90802334812926278</v>
      </c>
      <c r="AS24" s="932">
        <f t="shared" si="143"/>
        <v>345.83645029721299</v>
      </c>
      <c r="AT24" s="928">
        <f t="shared" si="22"/>
        <v>-3.1077976137016554</v>
      </c>
      <c r="AU24" s="418"/>
      <c r="AV24" s="164" t="str">
        <f t="shared" si="23"/>
        <v/>
      </c>
      <c r="AW24" s="829" t="str">
        <f>IFERROR(INDEX(MassProp!C$9:C$150,MATCH($M24,MassProp!$B$9:$B$150,0)),"")</f>
        <v/>
      </c>
      <c r="AX24" s="830" t="str">
        <f>IFERROR(INDEX(MassProp!D$9:D$150,MATCH($M24,MassProp!$B$9:$B$150,0)),"")</f>
        <v/>
      </c>
      <c r="AY24" s="831" t="str">
        <f>IFERROR(INDEX(MassProp!E$9:E$150,MATCH($M24,MassProp!$B$9:$B$150,0)),"")</f>
        <v/>
      </c>
      <c r="AZ24" s="297" t="str">
        <f t="shared" si="144"/>
        <v/>
      </c>
      <c r="BA24" s="296" t="str">
        <f t="shared" si="24"/>
        <v/>
      </c>
      <c r="BB24" s="190" t="str">
        <f t="shared" si="145"/>
        <v/>
      </c>
      <c r="BC24" s="9"/>
      <c r="BD24" s="5" t="str">
        <f t="shared" si="146"/>
        <v/>
      </c>
      <c r="BE24" s="6" t="str">
        <f t="shared" si="25"/>
        <v/>
      </c>
      <c r="BF24" s="4" t="str">
        <f t="shared" si="26"/>
        <v/>
      </c>
      <c r="BG24" s="5" t="str">
        <f t="shared" si="27"/>
        <v/>
      </c>
      <c r="BH24" s="10" t="str">
        <f t="shared" si="28"/>
        <v/>
      </c>
      <c r="BI24" s="9" t="str">
        <f t="shared" si="147"/>
        <v/>
      </c>
      <c r="BJ24" s="5" t="str">
        <f t="shared" si="29"/>
        <v/>
      </c>
      <c r="BK24" s="8" t="str">
        <f t="shared" si="30"/>
        <v/>
      </c>
      <c r="BL24" s="173" t="str">
        <f t="shared" si="31"/>
        <v/>
      </c>
      <c r="BM24" s="5" t="str">
        <f t="shared" si="32"/>
        <v/>
      </c>
      <c r="BN24" s="6" t="str">
        <f t="shared" si="33"/>
        <v/>
      </c>
      <c r="BO24" s="4" t="str">
        <f t="shared" si="148"/>
        <v/>
      </c>
      <c r="BP24" s="5" t="str">
        <f t="shared" si="239"/>
        <v/>
      </c>
      <c r="BQ24" s="5" t="str">
        <f t="shared" si="149"/>
        <v/>
      </c>
      <c r="BR24" s="6" t="str">
        <f t="shared" si="150"/>
        <v/>
      </c>
      <c r="BS24" s="4" t="str">
        <f t="shared" si="118"/>
        <v/>
      </c>
      <c r="BT24" s="5" t="str">
        <f t="shared" si="118"/>
        <v/>
      </c>
      <c r="BU24" s="10" t="str">
        <f t="shared" si="119"/>
        <v/>
      </c>
      <c r="BV24" s="9" t="str">
        <f t="shared" si="120"/>
        <v/>
      </c>
      <c r="BW24" s="5" t="str">
        <f t="shared" si="121"/>
        <v/>
      </c>
      <c r="BX24" s="8" t="str">
        <f t="shared" si="122"/>
        <v/>
      </c>
      <c r="BY24" s="173" t="str">
        <f t="shared" si="123"/>
        <v/>
      </c>
      <c r="BZ24" s="5" t="str">
        <f t="shared" si="124"/>
        <v/>
      </c>
      <c r="CA24" s="6" t="str">
        <f t="shared" si="125"/>
        <v/>
      </c>
      <c r="CB24" s="4" t="str">
        <f t="shared" si="151"/>
        <v/>
      </c>
      <c r="CC24" s="5" t="str">
        <f t="shared" si="152"/>
        <v/>
      </c>
      <c r="CD24" s="5" t="str">
        <f t="shared" si="153"/>
        <v/>
      </c>
      <c r="CE24" s="6" t="str">
        <f t="shared" si="154"/>
        <v/>
      </c>
      <c r="CF24" s="4" t="str">
        <f t="shared" si="155"/>
        <v/>
      </c>
      <c r="CG24" s="5" t="str">
        <f t="shared" si="156"/>
        <v/>
      </c>
      <c r="CH24" s="5" t="str">
        <f t="shared" si="157"/>
        <v/>
      </c>
      <c r="CI24" s="4" t="str">
        <f t="shared" si="126"/>
        <v/>
      </c>
      <c r="CJ24" s="5" t="str">
        <f t="shared" si="127"/>
        <v/>
      </c>
      <c r="CK24" s="8" t="str">
        <f t="shared" si="128"/>
        <v/>
      </c>
      <c r="CL24" s="173" t="str">
        <f t="shared" si="129"/>
        <v/>
      </c>
      <c r="CM24" s="5" t="str">
        <f t="shared" si="130"/>
        <v/>
      </c>
      <c r="CN24" s="6" t="str">
        <f t="shared" si="131"/>
        <v/>
      </c>
      <c r="CO24" s="167" t="str">
        <f t="shared" si="35"/>
        <v/>
      </c>
      <c r="CP24" s="4" t="str">
        <f t="shared" si="240"/>
        <v/>
      </c>
      <c r="CQ24" s="5" t="str">
        <f t="shared" si="241"/>
        <v/>
      </c>
      <c r="CR24" s="5" t="str">
        <f t="shared" si="158"/>
        <v/>
      </c>
      <c r="CS24" s="8" t="str">
        <f t="shared" si="159"/>
        <v/>
      </c>
      <c r="CT24" s="9" t="str">
        <f t="shared" si="160"/>
        <v/>
      </c>
      <c r="CU24" s="6" t="str">
        <f t="shared" si="161"/>
        <v/>
      </c>
      <c r="CV24" s="4" t="str">
        <f t="shared" si="242"/>
        <v/>
      </c>
      <c r="CW24" s="5" t="str">
        <f t="shared" si="162"/>
        <v/>
      </c>
      <c r="CX24" s="8" t="str">
        <f t="shared" si="163"/>
        <v/>
      </c>
      <c r="CY24" s="9" t="str">
        <f t="shared" si="164"/>
        <v/>
      </c>
      <c r="CZ24" s="5" t="str">
        <f t="shared" si="165"/>
        <v/>
      </c>
      <c r="DA24" s="6" t="str">
        <f t="shared" si="166"/>
        <v/>
      </c>
      <c r="DB24" s="4" t="str">
        <f t="shared" si="167"/>
        <v/>
      </c>
      <c r="DC24" s="5" t="str">
        <f t="shared" si="167"/>
        <v/>
      </c>
      <c r="DD24" s="10" t="str">
        <f t="shared" si="168"/>
        <v/>
      </c>
      <c r="DE24" s="9" t="str">
        <f t="shared" si="169"/>
        <v/>
      </c>
      <c r="DF24" s="5" t="str">
        <f t="shared" si="169"/>
        <v/>
      </c>
      <c r="DG24" s="10" t="str">
        <f t="shared" si="170"/>
        <v/>
      </c>
      <c r="DH24" s="70" t="str">
        <f t="shared" si="171"/>
        <v/>
      </c>
      <c r="DI24" s="4" t="str">
        <f t="shared" si="172"/>
        <v/>
      </c>
      <c r="DJ24" s="5" t="str">
        <f t="shared" si="173"/>
        <v/>
      </c>
      <c r="DK24" s="10" t="str">
        <f t="shared" si="174"/>
        <v/>
      </c>
      <c r="DL24" s="9" t="str">
        <f t="shared" si="175"/>
        <v/>
      </c>
      <c r="DM24" s="173" t="str">
        <f t="shared" si="176"/>
        <v/>
      </c>
      <c r="DN24" s="178" t="str">
        <f t="shared" si="177"/>
        <v/>
      </c>
      <c r="DO24" s="9" t="str">
        <f t="shared" si="178"/>
        <v/>
      </c>
      <c r="DP24" s="173" t="str">
        <f t="shared" si="179"/>
        <v/>
      </c>
      <c r="DQ24" s="11" t="str">
        <f t="shared" si="180"/>
        <v/>
      </c>
      <c r="DR24" s="173" t="str">
        <f t="shared" si="181"/>
        <v/>
      </c>
      <c r="DS24" s="5" t="str">
        <f t="shared" si="182"/>
        <v/>
      </c>
      <c r="DT24" s="5" t="str">
        <f t="shared" si="183"/>
        <v/>
      </c>
      <c r="DU24" s="5" t="str">
        <f t="shared" si="184"/>
        <v/>
      </c>
      <c r="DV24" s="5" t="str">
        <f t="shared" si="185"/>
        <v/>
      </c>
      <c r="DW24" s="5" t="str">
        <f t="shared" si="186"/>
        <v/>
      </c>
      <c r="DX24" s="167" t="str">
        <f t="shared" si="187"/>
        <v/>
      </c>
      <c r="DY24" s="9" t="str">
        <f t="shared" si="188"/>
        <v/>
      </c>
      <c r="DZ24" s="5" t="str">
        <f t="shared" si="189"/>
        <v/>
      </c>
      <c r="EA24" s="10" t="str">
        <f t="shared" si="190"/>
        <v/>
      </c>
      <c r="EB24" s="6" t="str">
        <f t="shared" si="191"/>
        <v/>
      </c>
      <c r="EC24" s="173" t="str">
        <f t="shared" si="192"/>
        <v/>
      </c>
      <c r="ED24" s="5" t="str">
        <f t="shared" si="193"/>
        <v/>
      </c>
      <c r="EE24" s="4" t="str">
        <f t="shared" si="194"/>
        <v/>
      </c>
      <c r="EF24" s="5" t="str">
        <f t="shared" si="195"/>
        <v/>
      </c>
      <c r="EG24" s="10" t="str">
        <f t="shared" si="196"/>
        <v/>
      </c>
      <c r="EH24" s="9" t="str">
        <f t="shared" si="197"/>
        <v/>
      </c>
      <c r="EI24" s="5" t="str">
        <f t="shared" si="198"/>
        <v/>
      </c>
      <c r="EJ24" s="6" t="str">
        <f t="shared" si="199"/>
        <v/>
      </c>
      <c r="EK24" s="236" t="str">
        <f t="shared" si="200"/>
        <v/>
      </c>
      <c r="EL24" s="238" t="str">
        <f t="shared" si="201"/>
        <v/>
      </c>
      <c r="EM24" s="4" t="str">
        <f t="shared" si="202"/>
        <v/>
      </c>
      <c r="EN24" s="5" t="str">
        <f t="shared" si="203"/>
        <v/>
      </c>
      <c r="EO24" s="10" t="str">
        <f t="shared" si="204"/>
        <v/>
      </c>
      <c r="EP24" s="9" t="str">
        <f t="shared" si="205"/>
        <v/>
      </c>
      <c r="EQ24" s="5" t="str">
        <f t="shared" si="206"/>
        <v/>
      </c>
      <c r="ER24" s="7" t="str">
        <f t="shared" si="207"/>
        <v/>
      </c>
      <c r="ES24" s="21" t="str">
        <f t="shared" si="132"/>
        <v/>
      </c>
      <c r="ET24" s="5" t="str">
        <f t="shared" si="44"/>
        <v/>
      </c>
      <c r="EU24" s="10" t="str">
        <f t="shared" si="45"/>
        <v/>
      </c>
      <c r="EV24" s="174" t="str">
        <f t="shared" si="254"/>
        <v/>
      </c>
      <c r="EW24" s="9" t="str">
        <f t="shared" si="133"/>
        <v/>
      </c>
      <c r="EX24" s="5" t="str">
        <f t="shared" si="47"/>
        <v/>
      </c>
      <c r="EY24" s="6" t="str">
        <f t="shared" si="208"/>
        <v/>
      </c>
      <c r="EZ24" s="51" t="str">
        <f t="shared" si="209"/>
        <v/>
      </c>
      <c r="FA24" s="266" t="str">
        <f t="shared" si="134"/>
        <v/>
      </c>
      <c r="FB24" s="267" t="str">
        <f t="shared" si="135"/>
        <v/>
      </c>
      <c r="FC24" s="269" t="str">
        <f t="shared" si="48"/>
        <v/>
      </c>
      <c r="FD24" s="4" t="str">
        <f t="shared" si="136"/>
        <v/>
      </c>
      <c r="FE24" s="5" t="str">
        <f t="shared" si="49"/>
        <v/>
      </c>
      <c r="FF24" s="7" t="str">
        <f t="shared" si="210"/>
        <v/>
      </c>
      <c r="FG24" s="173" t="str">
        <f t="shared" si="211"/>
        <v/>
      </c>
      <c r="FH24" s="5" t="str">
        <f t="shared" si="50"/>
        <v/>
      </c>
      <c r="FI24" s="10" t="str">
        <f t="shared" si="51"/>
        <v/>
      </c>
      <c r="FJ24" s="279" t="str">
        <f t="shared" si="212"/>
        <v/>
      </c>
      <c r="FK24" s="4" t="str">
        <f t="shared" si="52"/>
        <v/>
      </c>
      <c r="FL24" s="5" t="str">
        <f t="shared" si="213"/>
        <v/>
      </c>
      <c r="FM24" s="8" t="str">
        <f t="shared" si="214"/>
        <v/>
      </c>
      <c r="FN24" s="9" t="str">
        <f t="shared" si="215"/>
        <v/>
      </c>
      <c r="FO24" s="10" t="str">
        <f t="shared" si="53"/>
        <v/>
      </c>
      <c r="FP24" s="277" t="str">
        <f t="shared" si="54"/>
        <v/>
      </c>
      <c r="FQ24" s="173" t="str">
        <f t="shared" si="243"/>
        <v/>
      </c>
      <c r="FR24" s="10" t="str">
        <f t="shared" si="216"/>
        <v/>
      </c>
      <c r="FS24" s="9" t="str">
        <f t="shared" si="217"/>
        <v/>
      </c>
      <c r="FT24" s="6" t="str">
        <f t="shared" si="218"/>
        <v/>
      </c>
      <c r="FU24" s="4" t="str">
        <f t="shared" si="219"/>
        <v/>
      </c>
      <c r="FV24" s="5" t="str">
        <f t="shared" si="220"/>
        <v/>
      </c>
      <c r="FW24" s="8" t="str">
        <f t="shared" si="244"/>
        <v/>
      </c>
      <c r="FX24" s="9" t="str">
        <f t="shared" si="245"/>
        <v/>
      </c>
      <c r="FY24" s="10" t="str">
        <f t="shared" si="55"/>
        <v/>
      </c>
      <c r="FZ24" s="277" t="str">
        <f t="shared" si="246"/>
        <v/>
      </c>
      <c r="GA24" s="177" t="str">
        <f t="shared" si="221"/>
        <v/>
      </c>
      <c r="GB24" s="4" t="str">
        <f t="shared" si="222"/>
        <v/>
      </c>
      <c r="GC24" s="5" t="str">
        <f t="shared" si="223"/>
        <v/>
      </c>
      <c r="GD24" s="10" t="str">
        <f t="shared" si="224"/>
        <v/>
      </c>
      <c r="GE24" s="311" t="str">
        <f t="shared" si="225"/>
        <v/>
      </c>
      <c r="GF24" s="341" t="str">
        <f t="shared" si="247"/>
        <v/>
      </c>
      <c r="GG24" s="285" t="str">
        <f t="shared" si="56"/>
        <v/>
      </c>
      <c r="GH24" s="286" t="str">
        <f t="shared" si="57"/>
        <v/>
      </c>
      <c r="GI24" s="281" t="str">
        <f t="shared" si="58"/>
        <v/>
      </c>
      <c r="GJ24" s="167" t="str">
        <f t="shared" si="226"/>
        <v/>
      </c>
      <c r="GK24" s="174" t="str">
        <f t="shared" si="59"/>
        <v/>
      </c>
      <c r="GL24" s="174" t="str">
        <f t="shared" si="227"/>
        <v/>
      </c>
      <c r="GM24" s="177" t="str">
        <f t="shared" si="248"/>
        <v/>
      </c>
      <c r="GN24" s="280" t="str">
        <f t="shared" si="228"/>
        <v/>
      </c>
      <c r="GO24" s="4" t="str">
        <f t="shared" si="229"/>
        <v/>
      </c>
      <c r="GP24" s="8" t="str">
        <f t="shared" si="249"/>
        <v/>
      </c>
      <c r="GQ24" s="177" t="str">
        <f t="shared" si="230"/>
        <v/>
      </c>
      <c r="GR24" s="371" t="str">
        <f t="shared" si="250"/>
        <v/>
      </c>
      <c r="GS24" s="342" t="str">
        <f t="shared" si="61"/>
        <v/>
      </c>
      <c r="GT24" s="343" t="str">
        <f t="shared" si="62"/>
        <v/>
      </c>
      <c r="GU24" s="344" t="str">
        <f t="shared" si="63"/>
        <v/>
      </c>
      <c r="GV24" s="343" t="str">
        <f t="shared" si="252"/>
        <v/>
      </c>
      <c r="GW24" s="345" t="str">
        <f t="shared" si="64"/>
        <v/>
      </c>
      <c r="GX24" s="346" t="str">
        <f t="shared" si="65"/>
        <v/>
      </c>
      <c r="GY24" s="344" t="str">
        <f t="shared" si="66"/>
        <v/>
      </c>
      <c r="GZ24" s="345" t="str">
        <f t="shared" si="67"/>
        <v/>
      </c>
      <c r="HA24" s="342" t="str">
        <f t="shared" si="68"/>
        <v/>
      </c>
      <c r="HB24" s="5" t="str">
        <f t="shared" si="231"/>
        <v/>
      </c>
      <c r="HC24" s="343" t="str">
        <f t="shared" si="232"/>
        <v/>
      </c>
      <c r="HD24" s="363" t="str">
        <f t="shared" si="233"/>
        <v/>
      </c>
      <c r="HE24" s="344" t="str">
        <f t="shared" si="69"/>
        <v/>
      </c>
      <c r="HF24" s="5" t="str">
        <f t="shared" si="70"/>
        <v/>
      </c>
      <c r="HG24" s="343" t="str">
        <f t="shared" si="234"/>
        <v/>
      </c>
      <c r="HH24" s="349" t="str">
        <f t="shared" si="235"/>
        <v/>
      </c>
      <c r="HI24" s="317" t="str">
        <f t="shared" si="71"/>
        <v/>
      </c>
      <c r="HJ24" s="336"/>
      <c r="HK24" s="310" t="str">
        <f t="shared" si="137"/>
        <v/>
      </c>
      <c r="HL24" s="348" t="str">
        <f t="shared" si="72"/>
        <v/>
      </c>
      <c r="HM24" s="909" t="str">
        <f t="shared" si="138"/>
        <v/>
      </c>
      <c r="HN24" s="910" t="str">
        <f t="shared" si="73"/>
        <v/>
      </c>
      <c r="HO24" s="911"/>
      <c r="HP24" s="912"/>
      <c r="HQ24" s="910" t="str">
        <f t="shared" si="74"/>
        <v/>
      </c>
      <c r="HR24" s="913" t="str">
        <f t="shared" si="75"/>
        <v/>
      </c>
      <c r="HS24" s="865" t="str">
        <f t="shared" si="251"/>
        <v/>
      </c>
      <c r="HT24" s="875" t="str">
        <f t="shared" si="76"/>
        <v/>
      </c>
      <c r="HU24" s="876" t="str">
        <f t="shared" si="77"/>
        <v/>
      </c>
      <c r="HV24" s="872" t="str">
        <f t="shared" si="78"/>
        <v/>
      </c>
      <c r="HW24" s="866" t="str">
        <f t="shared" si="79"/>
        <v/>
      </c>
      <c r="HX24" s="867" t="str">
        <f t="shared" si="80"/>
        <v/>
      </c>
      <c r="HY24" s="866" t="str">
        <f t="shared" si="81"/>
        <v/>
      </c>
      <c r="HZ24" s="868" t="str">
        <f t="shared" si="82"/>
        <v/>
      </c>
      <c r="IA24" s="869" t="str">
        <f t="shared" si="83"/>
        <v/>
      </c>
      <c r="IB24" s="870" t="str">
        <f t="shared" si="84"/>
        <v/>
      </c>
      <c r="IC24" s="841" t="str">
        <f t="shared" si="85"/>
        <v/>
      </c>
      <c r="ID24" s="351" t="str">
        <f t="shared" si="86"/>
        <v/>
      </c>
      <c r="IE24" s="843" t="str">
        <f t="shared" si="87"/>
        <v/>
      </c>
      <c r="IF24" s="844"/>
      <c r="IG24" s="790" t="str">
        <f>IFERROR(IF($IW24="","",IF($IW24&lt;(((Settings!$C$19/2)*-1)*$IG$8),"Taper","Nose")),"")</f>
        <v>Taper</v>
      </c>
      <c r="IH24" s="482" t="str">
        <f>IFERROR(IF((((($IY24*COS(RADIANS(180-$JA24)))*COS(RADIANS($JA24)))-(($IZ24*SIN(RADIANS(180-$JA24)))*SIN(RADIANS($JA24))))+$IW24)&lt;(((Settings!$C$19+$IH$8)/2)*-1),"Gage",""),"")</f>
        <v/>
      </c>
      <c r="II24" s="788">
        <f t="shared" si="236"/>
        <v>1.2470000000000001</v>
      </c>
      <c r="IJ24" s="674" cm="1">
        <f t="array" ref="IJ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1.147</v>
      </c>
      <c r="IK24" s="677" cm="1">
        <f t="array" ref="IK24">IFERROR(ROUND(VALUE(IF($IJ24&lt;1,$IJ24+LARGE((IF($M$9:$M$150="",0,$M$9:$M$150)-MOD(IF($M$9:$M$150="",0,$M$9:$M$150),1)),1),$IJ24)),4),"")</f>
        <v>1.147</v>
      </c>
      <c r="IL24" s="482">
        <f t="shared" si="88"/>
        <v>1613</v>
      </c>
      <c r="IM24" s="482" t="str">
        <f t="shared" si="237"/>
        <v>CPS-32193r1</v>
      </c>
      <c r="IN24" s="670">
        <f t="shared" si="90"/>
        <v>12.202087403953328</v>
      </c>
      <c r="IO24" s="702">
        <v>4.8104159123766498E-2</v>
      </c>
      <c r="IP24" s="5">
        <f t="shared" si="91"/>
        <v>2.78</v>
      </c>
      <c r="IQ24" s="714">
        <v>1390</v>
      </c>
      <c r="IR24" s="9">
        <f t="shared" si="139"/>
        <v>-5.0550887932628417</v>
      </c>
      <c r="IS24" s="5">
        <f t="shared" si="92"/>
        <v>-3.1000897483921412</v>
      </c>
      <c r="IT24" s="5">
        <f t="shared" si="93"/>
        <v>0.3125</v>
      </c>
      <c r="IU24" s="5">
        <f t="shared" si="94"/>
        <v>0.27121678779184555</v>
      </c>
      <c r="IV24" s="670">
        <f t="shared" si="95"/>
        <v>84.970117416838434</v>
      </c>
      <c r="IW24" s="9">
        <f t="shared" si="96"/>
        <v>-5.0208747946625891</v>
      </c>
      <c r="IX24" s="5">
        <f t="shared" si="97"/>
        <v>-3.1237446296586411</v>
      </c>
      <c r="IY24" s="5">
        <f t="shared" si="98"/>
        <v>0.255</v>
      </c>
      <c r="IZ24" s="5">
        <f t="shared" si="99"/>
        <v>0.255</v>
      </c>
      <c r="JA24" s="705">
        <f t="shared" si="100"/>
        <v>89.999987005609597</v>
      </c>
      <c r="JC24" s="739" t="str">
        <v>CPS-32193r1</v>
      </c>
      <c r="JD24" s="797" cm="1">
        <f t="array" ref="JD24">IF($JC24="","",COUNT(IF(IF($IK$9:$IK$150&lt;&gt;"",$IM$9:$IM$150,"")=$JC24,$II$9:$II$150,"")))</f>
        <v>26</v>
      </c>
      <c r="JE24" s="5"/>
      <c r="JF24" s="5"/>
      <c r="JG24" s="10"/>
      <c r="JH24" s="236">
        <v>7</v>
      </c>
      <c r="JI24" s="744">
        <v>19</v>
      </c>
      <c r="JJ24" s="728">
        <v>770</v>
      </c>
      <c r="JK24" s="744">
        <v>800</v>
      </c>
    </row>
    <row r="25" spans="1:271" ht="15" customHeight="1" x14ac:dyDescent="0.25">
      <c r="A25" s="75">
        <f t="shared" si="1"/>
        <v>0.02</v>
      </c>
      <c r="B25" s="578">
        <f t="shared" si="2"/>
        <v>0.99243068281201818</v>
      </c>
      <c r="C25" s="572">
        <f t="shared" si="3"/>
        <v>5.0253196180495685</v>
      </c>
      <c r="D25" s="576">
        <f t="shared" si="4"/>
        <v>-9.4977962776039639</v>
      </c>
      <c r="E25" s="580">
        <f t="shared" si="5"/>
        <v>-0.63118380896787529</v>
      </c>
      <c r="F25" s="572">
        <f t="shared" si="6"/>
        <v>0.76755993884650098</v>
      </c>
      <c r="G25" s="579">
        <f t="shared" si="7"/>
        <v>-0.1116187241226157</v>
      </c>
      <c r="H25" s="580">
        <f t="shared" si="8"/>
        <v>0.26450000000000001</v>
      </c>
      <c r="I25" s="572">
        <f t="shared" si="9"/>
        <v>0.52</v>
      </c>
      <c r="J25" s="483">
        <f t="shared" si="10"/>
        <v>1.2529999999999999</v>
      </c>
      <c r="K25" s="806">
        <f t="shared" si="11"/>
        <v>1313</v>
      </c>
      <c r="L25" s="82"/>
      <c r="M25" s="164">
        <f t="shared" si="12"/>
        <v>1.2529999999999999</v>
      </c>
      <c r="N25" s="575">
        <f t="shared" si="13"/>
        <v>0.99243068281201818</v>
      </c>
      <c r="O25" s="572">
        <f t="shared" si="14"/>
        <v>5.0253196180495685</v>
      </c>
      <c r="P25" s="576">
        <f t="shared" si="15"/>
        <v>-9.4977962776039639</v>
      </c>
      <c r="Q25" s="528">
        <f t="shared" si="140"/>
        <v>78.828631247939143</v>
      </c>
      <c r="R25" s="572">
        <f>IF(M25="","",SQRT(N25^2+O25^2))</f>
        <v>5.1223779559634792</v>
      </c>
      <c r="S25" s="577">
        <f>IF(M25="","",P25)</f>
        <v>-9.4977962776039639</v>
      </c>
      <c r="T25" s="578">
        <f>IF(M25="","",X25*COS(RADIANS(W25)))</f>
        <v>5.0326742972321625</v>
      </c>
      <c r="U25" s="572">
        <f>IF(M25="","",X25*SIN(RADIANS(W25)))</f>
        <v>-0.95443456649439762</v>
      </c>
      <c r="V25" s="579">
        <f>IF(M25="","",Y25)</f>
        <v>-9.4977962776039639</v>
      </c>
      <c r="W25" s="528">
        <f t="shared" si="253"/>
        <v>349.26152209381013</v>
      </c>
      <c r="X25" s="572">
        <f>IF(M25="","",R25)</f>
        <v>5.1223779559634792</v>
      </c>
      <c r="Y25" s="573">
        <f t="shared" si="255"/>
        <v>-9.4977962776039639</v>
      </c>
      <c r="Z25" s="575">
        <f t="shared" si="18"/>
        <v>0.63118380896787529</v>
      </c>
      <c r="AA25" s="572">
        <f t="shared" si="19"/>
        <v>-0.76755993884650098</v>
      </c>
      <c r="AB25" s="572">
        <f t="shared" si="20"/>
        <v>0.1116187241226157</v>
      </c>
      <c r="AC25" s="579">
        <f>IF(M25="","",SQRT(Z25^2+AA25^2+AB25^2))</f>
        <v>1</v>
      </c>
      <c r="AD25" s="580">
        <f>IF(M25="","",Z25*(1/SQRT(Z25^2+AA25^2+AB25^2)))</f>
        <v>0.63118380896787529</v>
      </c>
      <c r="AE25" s="572">
        <f>IF(M25="","",AA25*(1/SQRT(Z25^2+AA25^2+AB25^2)))</f>
        <v>-0.76755993884650098</v>
      </c>
      <c r="AF25" s="576">
        <f>IF(M25="","",AB25*(1/SQRT(Z25^2+AA25^2+AB25^2)))</f>
        <v>0.1116187241226157</v>
      </c>
      <c r="AG25" s="545">
        <f>IF(M25="","",DEGREES(ATAN2(-AF25,AE25)))</f>
        <v>-98.273966053896004</v>
      </c>
      <c r="AH25" s="546">
        <f>IF(M25="","",DEGREES(ACOS(AD25)))</f>
        <v>50.862484083457346</v>
      </c>
      <c r="AI25" s="528">
        <f>IF(M25="","",DEGREES(-ACOS(-AF25)))</f>
        <v>-96.408636339561284</v>
      </c>
      <c r="AJ25" s="529">
        <f>IF(M25="","",DEGREES(ATAN2(-AE25,AD25)))</f>
        <v>39.431319142233455</v>
      </c>
      <c r="AK25" s="578">
        <f>IF(M25="","",(COS(RADIANS((90-$Q$8)-W25))*AD25)+(-SIN(RADIANS((90-$Q$8)-W25))*AE25))</f>
        <v>0.76793443315336385</v>
      </c>
      <c r="AL25" s="572">
        <f>IF(M25="","",(SIN(RADIANS((90-$Q$8)-W25))*AD25)+(COS(RADIANS((90-$Q$8)-W25))*AE25))</f>
        <v>-0.63072812431558933</v>
      </c>
      <c r="AM25" s="577">
        <f>IF(M25="","",AF25)</f>
        <v>0.1116187241226157</v>
      </c>
      <c r="AN25" s="524">
        <f>IF(M25="","",DEGREES(ATAN2(-AM25,AL25)))</f>
        <v>-100.03561890671624</v>
      </c>
      <c r="AO25" s="525">
        <f>IF(ROUND(IF(M25="",0,DEGREES(ACOS(AK25))),4)=90,0,IF(M25="","",DEGREES(ACOS(AK25))))</f>
        <v>39.831236627249616</v>
      </c>
      <c r="AP25" s="528">
        <f>IF(M25="","",DEGREES(ATAN2(AK25,AL25)))</f>
        <v>-39.397312105705673</v>
      </c>
      <c r="AQ25" s="529">
        <f t="shared" si="21"/>
        <v>0.89003321442982986</v>
      </c>
      <c r="AS25" s="932">
        <f t="shared" si="143"/>
        <v>349.26152209381013</v>
      </c>
      <c r="AT25" s="928">
        <f t="shared" si="22"/>
        <v>-9.4866063058089196</v>
      </c>
      <c r="AU25" s="418"/>
      <c r="AV25" s="164" t="str">
        <f t="shared" si="23"/>
        <v/>
      </c>
      <c r="AW25" s="829" t="str">
        <f>IFERROR(INDEX(MassProp!C$9:C$150,MATCH($M25,MassProp!$B$9:$B$150,0)),"")</f>
        <v/>
      </c>
      <c r="AX25" s="830" t="str">
        <f>IFERROR(INDEX(MassProp!D$9:D$150,MATCH($M25,MassProp!$B$9:$B$150,0)),"")</f>
        <v/>
      </c>
      <c r="AY25" s="831" t="str">
        <f>IFERROR(INDEX(MassProp!E$9:E$150,MATCH($M25,MassProp!$B$9:$B$150,0)),"")</f>
        <v/>
      </c>
      <c r="AZ25" s="297" t="str">
        <f t="shared" si="144"/>
        <v/>
      </c>
      <c r="BA25" s="296" t="str">
        <f t="shared" si="24"/>
        <v/>
      </c>
      <c r="BB25" s="190" t="str">
        <f t="shared" si="145"/>
        <v/>
      </c>
      <c r="BC25" s="9"/>
      <c r="BD25" s="5" t="str">
        <f t="shared" si="146"/>
        <v/>
      </c>
      <c r="BE25" s="6" t="str">
        <f t="shared" si="25"/>
        <v/>
      </c>
      <c r="BF25" s="4" t="str">
        <f t="shared" si="26"/>
        <v/>
      </c>
      <c r="BG25" s="5" t="str">
        <f t="shared" si="27"/>
        <v/>
      </c>
      <c r="BH25" s="10" t="str">
        <f t="shared" si="28"/>
        <v/>
      </c>
      <c r="BI25" s="9" t="str">
        <f t="shared" si="147"/>
        <v/>
      </c>
      <c r="BJ25" s="5" t="str">
        <f t="shared" si="29"/>
        <v/>
      </c>
      <c r="BK25" s="8" t="str">
        <f t="shared" si="30"/>
        <v/>
      </c>
      <c r="BL25" s="173" t="str">
        <f t="shared" si="31"/>
        <v/>
      </c>
      <c r="BM25" s="5" t="str">
        <f t="shared" si="32"/>
        <v/>
      </c>
      <c r="BN25" s="6" t="str">
        <f t="shared" si="33"/>
        <v/>
      </c>
      <c r="BO25" s="4" t="str">
        <f t="shared" si="148"/>
        <v/>
      </c>
      <c r="BP25" s="5" t="str">
        <f t="shared" si="239"/>
        <v/>
      </c>
      <c r="BQ25" s="5" t="str">
        <f t="shared" si="149"/>
        <v/>
      </c>
      <c r="BR25" s="6" t="str">
        <f t="shared" si="150"/>
        <v/>
      </c>
      <c r="BS25" s="4" t="str">
        <f t="shared" si="118"/>
        <v/>
      </c>
      <c r="BT25" s="5" t="str">
        <f t="shared" si="118"/>
        <v/>
      </c>
      <c r="BU25" s="10" t="str">
        <f t="shared" si="119"/>
        <v/>
      </c>
      <c r="BV25" s="9" t="str">
        <f t="shared" si="120"/>
        <v/>
      </c>
      <c r="BW25" s="5" t="str">
        <f t="shared" si="121"/>
        <v/>
      </c>
      <c r="BX25" s="8" t="str">
        <f t="shared" si="122"/>
        <v/>
      </c>
      <c r="BY25" s="173" t="str">
        <f t="shared" si="123"/>
        <v/>
      </c>
      <c r="BZ25" s="5" t="str">
        <f t="shared" si="124"/>
        <v/>
      </c>
      <c r="CA25" s="6" t="str">
        <f t="shared" si="125"/>
        <v/>
      </c>
      <c r="CB25" s="4" t="str">
        <f t="shared" si="151"/>
        <v/>
      </c>
      <c r="CC25" s="5" t="str">
        <f t="shared" si="152"/>
        <v/>
      </c>
      <c r="CD25" s="5" t="str">
        <f t="shared" si="153"/>
        <v/>
      </c>
      <c r="CE25" s="6" t="str">
        <f t="shared" si="154"/>
        <v/>
      </c>
      <c r="CF25" s="4" t="str">
        <f t="shared" si="155"/>
        <v/>
      </c>
      <c r="CG25" s="5" t="str">
        <f t="shared" si="156"/>
        <v/>
      </c>
      <c r="CH25" s="5" t="str">
        <f t="shared" si="157"/>
        <v/>
      </c>
      <c r="CI25" s="4" t="str">
        <f t="shared" si="126"/>
        <v/>
      </c>
      <c r="CJ25" s="5" t="str">
        <f t="shared" si="127"/>
        <v/>
      </c>
      <c r="CK25" s="8" t="str">
        <f t="shared" si="128"/>
        <v/>
      </c>
      <c r="CL25" s="173" t="str">
        <f t="shared" si="129"/>
        <v/>
      </c>
      <c r="CM25" s="5" t="str">
        <f t="shared" si="130"/>
        <v/>
      </c>
      <c r="CN25" s="6" t="str">
        <f t="shared" si="131"/>
        <v/>
      </c>
      <c r="CO25" s="167" t="str">
        <f t="shared" si="35"/>
        <v/>
      </c>
      <c r="CP25" s="4" t="str">
        <f t="shared" si="240"/>
        <v/>
      </c>
      <c r="CQ25" s="5" t="str">
        <f t="shared" si="241"/>
        <v/>
      </c>
      <c r="CR25" s="5" t="str">
        <f t="shared" si="158"/>
        <v/>
      </c>
      <c r="CS25" s="8" t="str">
        <f t="shared" si="159"/>
        <v/>
      </c>
      <c r="CT25" s="9" t="str">
        <f t="shared" si="160"/>
        <v/>
      </c>
      <c r="CU25" s="6" t="str">
        <f t="shared" si="161"/>
        <v/>
      </c>
      <c r="CV25" s="4" t="str">
        <f t="shared" si="242"/>
        <v/>
      </c>
      <c r="CW25" s="5" t="str">
        <f t="shared" si="162"/>
        <v/>
      </c>
      <c r="CX25" s="8" t="str">
        <f t="shared" si="163"/>
        <v/>
      </c>
      <c r="CY25" s="9" t="str">
        <f t="shared" si="164"/>
        <v/>
      </c>
      <c r="CZ25" s="5" t="str">
        <f t="shared" si="165"/>
        <v/>
      </c>
      <c r="DA25" s="6" t="str">
        <f t="shared" si="166"/>
        <v/>
      </c>
      <c r="DB25" s="4" t="str">
        <f t="shared" si="167"/>
        <v/>
      </c>
      <c r="DC25" s="5" t="str">
        <f t="shared" si="167"/>
        <v/>
      </c>
      <c r="DD25" s="10" t="str">
        <f t="shared" si="168"/>
        <v/>
      </c>
      <c r="DE25" s="9" t="str">
        <f t="shared" si="169"/>
        <v/>
      </c>
      <c r="DF25" s="5" t="str">
        <f t="shared" si="169"/>
        <v/>
      </c>
      <c r="DG25" s="10" t="str">
        <f t="shared" si="170"/>
        <v/>
      </c>
      <c r="DH25" s="70" t="str">
        <f t="shared" si="171"/>
        <v/>
      </c>
      <c r="DI25" s="4" t="str">
        <f t="shared" si="172"/>
        <v/>
      </c>
      <c r="DJ25" s="5" t="str">
        <f t="shared" si="173"/>
        <v/>
      </c>
      <c r="DK25" s="10" t="str">
        <f t="shared" si="174"/>
        <v/>
      </c>
      <c r="DL25" s="9" t="str">
        <f t="shared" si="175"/>
        <v/>
      </c>
      <c r="DM25" s="173" t="str">
        <f t="shared" si="176"/>
        <v/>
      </c>
      <c r="DN25" s="178" t="str">
        <f t="shared" si="177"/>
        <v/>
      </c>
      <c r="DO25" s="9" t="str">
        <f t="shared" si="178"/>
        <v/>
      </c>
      <c r="DP25" s="173" t="str">
        <f t="shared" si="179"/>
        <v/>
      </c>
      <c r="DQ25" s="11" t="str">
        <f t="shared" si="180"/>
        <v/>
      </c>
      <c r="DR25" s="173" t="str">
        <f t="shared" si="181"/>
        <v/>
      </c>
      <c r="DS25" s="5" t="str">
        <f t="shared" si="182"/>
        <v/>
      </c>
      <c r="DT25" s="5" t="str">
        <f t="shared" si="183"/>
        <v/>
      </c>
      <c r="DU25" s="5" t="str">
        <f t="shared" si="184"/>
        <v/>
      </c>
      <c r="DV25" s="5" t="str">
        <f t="shared" si="185"/>
        <v/>
      </c>
      <c r="DW25" s="5" t="str">
        <f t="shared" si="186"/>
        <v/>
      </c>
      <c r="DX25" s="167" t="str">
        <f t="shared" si="187"/>
        <v/>
      </c>
      <c r="DY25" s="9" t="str">
        <f t="shared" si="188"/>
        <v/>
      </c>
      <c r="DZ25" s="5" t="str">
        <f t="shared" si="189"/>
        <v/>
      </c>
      <c r="EA25" s="10" t="str">
        <f t="shared" si="190"/>
        <v/>
      </c>
      <c r="EB25" s="6" t="str">
        <f t="shared" si="191"/>
        <v/>
      </c>
      <c r="EC25" s="173" t="str">
        <f t="shared" si="192"/>
        <v/>
      </c>
      <c r="ED25" s="5" t="str">
        <f t="shared" si="193"/>
        <v/>
      </c>
      <c r="EE25" s="4" t="str">
        <f t="shared" si="194"/>
        <v/>
      </c>
      <c r="EF25" s="5" t="str">
        <f t="shared" si="195"/>
        <v/>
      </c>
      <c r="EG25" s="10" t="str">
        <f t="shared" si="196"/>
        <v/>
      </c>
      <c r="EH25" s="9" t="str">
        <f t="shared" si="197"/>
        <v/>
      </c>
      <c r="EI25" s="5" t="str">
        <f t="shared" si="198"/>
        <v/>
      </c>
      <c r="EJ25" s="6" t="str">
        <f t="shared" si="199"/>
        <v/>
      </c>
      <c r="EK25" s="236" t="str">
        <f t="shared" si="200"/>
        <v/>
      </c>
      <c r="EL25" s="238" t="str">
        <f t="shared" si="201"/>
        <v/>
      </c>
      <c r="EM25" s="4" t="str">
        <f t="shared" si="202"/>
        <v/>
      </c>
      <c r="EN25" s="5" t="str">
        <f t="shared" si="203"/>
        <v/>
      </c>
      <c r="EO25" s="10" t="str">
        <f t="shared" si="204"/>
        <v/>
      </c>
      <c r="EP25" s="9" t="str">
        <f t="shared" si="205"/>
        <v/>
      </c>
      <c r="EQ25" s="5" t="str">
        <f t="shared" si="206"/>
        <v/>
      </c>
      <c r="ER25" s="7" t="str">
        <f t="shared" si="207"/>
        <v/>
      </c>
      <c r="ES25" s="21" t="str">
        <f t="shared" si="132"/>
        <v/>
      </c>
      <c r="ET25" s="5" t="str">
        <f t="shared" si="44"/>
        <v/>
      </c>
      <c r="EU25" s="10" t="str">
        <f t="shared" si="45"/>
        <v/>
      </c>
      <c r="EV25" s="174" t="str">
        <f t="shared" si="254"/>
        <v/>
      </c>
      <c r="EW25" s="9" t="str">
        <f t="shared" si="133"/>
        <v/>
      </c>
      <c r="EX25" s="5" t="str">
        <f t="shared" si="47"/>
        <v/>
      </c>
      <c r="EY25" s="6" t="str">
        <f t="shared" si="208"/>
        <v/>
      </c>
      <c r="EZ25" s="51" t="str">
        <f t="shared" si="209"/>
        <v/>
      </c>
      <c r="FA25" s="266" t="str">
        <f t="shared" si="134"/>
        <v/>
      </c>
      <c r="FB25" s="267" t="str">
        <f t="shared" si="135"/>
        <v/>
      </c>
      <c r="FC25" s="269" t="str">
        <f t="shared" si="48"/>
        <v/>
      </c>
      <c r="FD25" s="4" t="str">
        <f t="shared" si="136"/>
        <v/>
      </c>
      <c r="FE25" s="5" t="str">
        <f t="shared" si="49"/>
        <v/>
      </c>
      <c r="FF25" s="7" t="str">
        <f t="shared" si="210"/>
        <v/>
      </c>
      <c r="FG25" s="173" t="str">
        <f t="shared" si="211"/>
        <v/>
      </c>
      <c r="FH25" s="5" t="str">
        <f t="shared" si="50"/>
        <v/>
      </c>
      <c r="FI25" s="10" t="str">
        <f t="shared" si="51"/>
        <v/>
      </c>
      <c r="FJ25" s="279" t="str">
        <f t="shared" si="212"/>
        <v/>
      </c>
      <c r="FK25" s="4" t="str">
        <f t="shared" si="52"/>
        <v/>
      </c>
      <c r="FL25" s="5" t="str">
        <f t="shared" si="213"/>
        <v/>
      </c>
      <c r="FM25" s="8" t="str">
        <f t="shared" si="214"/>
        <v/>
      </c>
      <c r="FN25" s="9" t="str">
        <f t="shared" si="215"/>
        <v/>
      </c>
      <c r="FO25" s="10" t="str">
        <f t="shared" si="53"/>
        <v/>
      </c>
      <c r="FP25" s="277" t="str">
        <f t="shared" si="54"/>
        <v/>
      </c>
      <c r="FQ25" s="173" t="str">
        <f t="shared" si="243"/>
        <v/>
      </c>
      <c r="FR25" s="10" t="str">
        <f t="shared" si="216"/>
        <v/>
      </c>
      <c r="FS25" s="9" t="str">
        <f t="shared" si="217"/>
        <v/>
      </c>
      <c r="FT25" s="6" t="str">
        <f t="shared" si="218"/>
        <v/>
      </c>
      <c r="FU25" s="4" t="str">
        <f t="shared" si="219"/>
        <v/>
      </c>
      <c r="FV25" s="5" t="str">
        <f t="shared" si="220"/>
        <v/>
      </c>
      <c r="FW25" s="8" t="str">
        <f t="shared" si="244"/>
        <v/>
      </c>
      <c r="FX25" s="9" t="str">
        <f t="shared" si="245"/>
        <v/>
      </c>
      <c r="FY25" s="10" t="str">
        <f t="shared" si="55"/>
        <v/>
      </c>
      <c r="FZ25" s="277" t="str">
        <f t="shared" si="246"/>
        <v/>
      </c>
      <c r="GA25" s="177" t="str">
        <f t="shared" si="221"/>
        <v/>
      </c>
      <c r="GB25" s="4" t="str">
        <f t="shared" si="222"/>
        <v/>
      </c>
      <c r="GC25" s="5" t="str">
        <f t="shared" si="223"/>
        <v/>
      </c>
      <c r="GD25" s="10" t="str">
        <f t="shared" si="224"/>
        <v/>
      </c>
      <c r="GE25" s="311" t="str">
        <f t="shared" si="225"/>
        <v/>
      </c>
      <c r="GF25" s="341" t="str">
        <f t="shared" si="247"/>
        <v/>
      </c>
      <c r="GG25" s="285" t="str">
        <f t="shared" si="56"/>
        <v/>
      </c>
      <c r="GH25" s="286" t="str">
        <f t="shared" si="57"/>
        <v/>
      </c>
      <c r="GI25" s="281" t="str">
        <f t="shared" si="58"/>
        <v/>
      </c>
      <c r="GJ25" s="167" t="str">
        <f t="shared" si="226"/>
        <v/>
      </c>
      <c r="GK25" s="174" t="str">
        <f t="shared" si="59"/>
        <v/>
      </c>
      <c r="GL25" s="174" t="str">
        <f t="shared" si="227"/>
        <v/>
      </c>
      <c r="GM25" s="177" t="str">
        <f t="shared" si="248"/>
        <v/>
      </c>
      <c r="GN25" s="280" t="str">
        <f t="shared" si="228"/>
        <v/>
      </c>
      <c r="GO25" s="4" t="str">
        <f t="shared" si="229"/>
        <v/>
      </c>
      <c r="GP25" s="8" t="str">
        <f t="shared" si="249"/>
        <v/>
      </c>
      <c r="GQ25" s="177" t="str">
        <f t="shared" si="230"/>
        <v/>
      </c>
      <c r="GR25" s="371" t="str">
        <f t="shared" si="250"/>
        <v/>
      </c>
      <c r="GS25" s="342" t="str">
        <f t="shared" si="61"/>
        <v/>
      </c>
      <c r="GT25" s="343" t="str">
        <f t="shared" si="62"/>
        <v/>
      </c>
      <c r="GU25" s="344" t="str">
        <f t="shared" si="63"/>
        <v/>
      </c>
      <c r="GV25" s="343" t="str">
        <f t="shared" si="252"/>
        <v/>
      </c>
      <c r="GW25" s="345" t="str">
        <f t="shared" si="64"/>
        <v/>
      </c>
      <c r="GX25" s="346" t="str">
        <f t="shared" si="65"/>
        <v/>
      </c>
      <c r="GY25" s="344" t="str">
        <f t="shared" si="66"/>
        <v/>
      </c>
      <c r="GZ25" s="345" t="str">
        <f t="shared" si="67"/>
        <v/>
      </c>
      <c r="HA25" s="342" t="str">
        <f t="shared" si="68"/>
        <v/>
      </c>
      <c r="HB25" s="5" t="str">
        <f t="shared" si="231"/>
        <v/>
      </c>
      <c r="HC25" s="343" t="str">
        <f t="shared" si="232"/>
        <v/>
      </c>
      <c r="HD25" s="363" t="str">
        <f t="shared" si="233"/>
        <v/>
      </c>
      <c r="HE25" s="344" t="str">
        <f t="shared" si="69"/>
        <v/>
      </c>
      <c r="HF25" s="5" t="str">
        <f t="shared" si="70"/>
        <v/>
      </c>
      <c r="HG25" s="343" t="str">
        <f t="shared" si="234"/>
        <v/>
      </c>
      <c r="HH25" s="349" t="str">
        <f t="shared" si="235"/>
        <v/>
      </c>
      <c r="HI25" s="317" t="str">
        <f t="shared" si="71"/>
        <v/>
      </c>
      <c r="HJ25" s="336"/>
      <c r="HK25" s="310" t="str">
        <f t="shared" si="137"/>
        <v/>
      </c>
      <c r="HL25" s="348" t="str">
        <f t="shared" si="72"/>
        <v/>
      </c>
      <c r="HM25" s="909" t="str">
        <f t="shared" si="138"/>
        <v/>
      </c>
      <c r="HN25" s="910" t="str">
        <f t="shared" si="73"/>
        <v/>
      </c>
      <c r="HO25" s="911"/>
      <c r="HP25" s="912"/>
      <c r="HQ25" s="910" t="str">
        <f t="shared" si="74"/>
        <v/>
      </c>
      <c r="HR25" s="913" t="str">
        <f t="shared" si="75"/>
        <v/>
      </c>
      <c r="HS25" s="865" t="str">
        <f t="shared" si="251"/>
        <v/>
      </c>
      <c r="HT25" s="875" t="str">
        <f t="shared" si="76"/>
        <v/>
      </c>
      <c r="HU25" s="876" t="str">
        <f t="shared" si="77"/>
        <v/>
      </c>
      <c r="HV25" s="872" t="str">
        <f t="shared" si="78"/>
        <v/>
      </c>
      <c r="HW25" s="866" t="str">
        <f t="shared" si="79"/>
        <v/>
      </c>
      <c r="HX25" s="867" t="str">
        <f t="shared" si="80"/>
        <v/>
      </c>
      <c r="HY25" s="866" t="str">
        <f t="shared" si="81"/>
        <v/>
      </c>
      <c r="HZ25" s="868" t="str">
        <f t="shared" si="82"/>
        <v/>
      </c>
      <c r="IA25" s="869" t="str">
        <f t="shared" si="83"/>
        <v/>
      </c>
      <c r="IB25" s="870" t="str">
        <f t="shared" si="84"/>
        <v/>
      </c>
      <c r="IC25" s="841" t="str">
        <f t="shared" si="85"/>
        <v/>
      </c>
      <c r="ID25" s="351" t="str">
        <f t="shared" si="86"/>
        <v/>
      </c>
      <c r="IE25" s="843" t="str">
        <f t="shared" si="87"/>
        <v/>
      </c>
      <c r="IF25" s="844"/>
      <c r="IG25" s="790" t="str">
        <f>IFERROR(IF($IW25="","",IF($IW25&lt;(((Settings!$C$19/2)*-1)*$IG$8),"Taper","Nose")),"")</f>
        <v/>
      </c>
      <c r="IH25" s="482" t="str">
        <f>IFERROR(IF((((($IY25*COS(RADIANS(180-$JA25)))*COS(RADIANS($JA25)))-(($IZ25*SIN(RADIANS(180-$JA25)))*SIN(RADIANS($JA25))))+$IW25)&lt;(((Settings!$C$19+$IH$8)/2)*-1),"Gage",""),"")</f>
        <v/>
      </c>
      <c r="II25" s="788">
        <f t="shared" si="236"/>
        <v>1.2529999999999999</v>
      </c>
      <c r="IJ25" s="674" t="str" cm="1">
        <f t="array" ref="IJ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K25" s="677" t="str" cm="1">
        <f t="array" ref="IK25">IFERROR(ROUND(VALUE(IF($IJ25&lt;1,$IJ25+LARGE((IF($M$9:$M$150="",0,$M$9:$M$150)-MOD(IF($M$9:$M$150="",0,$M$9:$M$150),1)),1),$IJ25)),4),"")</f>
        <v/>
      </c>
      <c r="IL25" s="482">
        <f t="shared" si="88"/>
        <v>1313</v>
      </c>
      <c r="IM25" s="482" t="str">
        <f t="shared" si="237"/>
        <v/>
      </c>
      <c r="IN25" s="670" t="str">
        <f t="shared" si="90"/>
        <v/>
      </c>
      <c r="IO25" s="702"/>
      <c r="IP25" s="5" t="str">
        <f t="shared" si="91"/>
        <v/>
      </c>
      <c r="IQ25" s="714"/>
      <c r="IR25" s="9" t="str">
        <f t="shared" si="139"/>
        <v/>
      </c>
      <c r="IS25" s="5" t="str">
        <f t="shared" si="92"/>
        <v/>
      </c>
      <c r="IT25" s="5" t="str">
        <f t="shared" si="93"/>
        <v/>
      </c>
      <c r="IU25" s="5" t="str">
        <f t="shared" si="94"/>
        <v/>
      </c>
      <c r="IV25" s="670" t="str">
        <f t="shared" si="95"/>
        <v/>
      </c>
      <c r="IW25" s="9" t="str">
        <f t="shared" si="96"/>
        <v/>
      </c>
      <c r="IX25" s="5" t="str">
        <f t="shared" si="97"/>
        <v/>
      </c>
      <c r="IY25" s="5" t="str">
        <f t="shared" si="98"/>
        <v/>
      </c>
      <c r="IZ25" s="5" t="str">
        <f t="shared" si="99"/>
        <v/>
      </c>
      <c r="JA25" s="705" t="str">
        <f t="shared" si="100"/>
        <v/>
      </c>
      <c r="JC25" s="739"/>
      <c r="JD25" s="797" t="str" cm="1">
        <f t="array" ref="JD25">IF($JC25="","",COUNT(IF(IF($IK$9:$IK$150&lt;&gt;"",$IM$9:$IM$150,"")=$JC25,$II$9:$II$150,"")))</f>
        <v/>
      </c>
      <c r="JE25" s="5"/>
      <c r="JF25" s="5"/>
      <c r="JG25" s="10"/>
      <c r="JH25" s="236"/>
      <c r="JI25" s="744"/>
      <c r="JJ25" s="728"/>
      <c r="JK25" s="744"/>
    </row>
    <row r="26" spans="1:271" ht="15" customHeight="1" x14ac:dyDescent="0.25">
      <c r="A26" s="75">
        <f t="shared" si="1"/>
        <v>0.02</v>
      </c>
      <c r="B26" s="578">
        <f t="shared" si="2"/>
        <v>2.2091698615105662</v>
      </c>
      <c r="C26" s="572">
        <f t="shared" si="3"/>
        <v>1.0088440066219575</v>
      </c>
      <c r="D26" s="576">
        <f t="shared" si="4"/>
        <v>-0.15567285800779329</v>
      </c>
      <c r="E26" s="580">
        <f t="shared" si="5"/>
        <v>-0.43653446620756692</v>
      </c>
      <c r="F26" s="572">
        <f t="shared" si="6"/>
        <v>0.86172187971823322</v>
      </c>
      <c r="G26" s="579">
        <f t="shared" si="7"/>
        <v>0.25859826338888969</v>
      </c>
      <c r="H26" s="580">
        <f t="shared" si="8"/>
        <v>0.3125</v>
      </c>
      <c r="I26" s="572">
        <f t="shared" si="9"/>
        <v>0.52</v>
      </c>
      <c r="J26" s="483">
        <f t="shared" si="10"/>
        <v>2.11</v>
      </c>
      <c r="K26" s="806">
        <f t="shared" si="11"/>
        <v>1613</v>
      </c>
      <c r="L26" s="162"/>
      <c r="M26" s="164">
        <f t="shared" si="12"/>
        <v>2.11</v>
      </c>
      <c r="N26" s="575">
        <f t="shared" si="13"/>
        <v>2.2091698615105662</v>
      </c>
      <c r="O26" s="572">
        <f t="shared" si="14"/>
        <v>1.0088440066219575</v>
      </c>
      <c r="P26" s="576">
        <f t="shared" si="15"/>
        <v>-0.15567285800779329</v>
      </c>
      <c r="Q26" s="528">
        <f t="shared" si="140"/>
        <v>24.544380170254612</v>
      </c>
      <c r="R26" s="572">
        <f>IF(M26="","",SQRT(N26^2+O26^2))</f>
        <v>2.4286205357576263</v>
      </c>
      <c r="S26" s="577">
        <f>IF(M26="","",P26)</f>
        <v>-0.15567285800779329</v>
      </c>
      <c r="T26" s="578">
        <f>IF(M26="","",X26*COS(RADIANS(W26)))</f>
        <v>1.0255061506637295</v>
      </c>
      <c r="U26" s="572">
        <f>IF(M26="","",X26*SIN(RADIANS(W26)))</f>
        <v>-2.2014846903066392</v>
      </c>
      <c r="V26" s="579">
        <f>IF(M26="","",Y26)</f>
        <v>-0.15567285800779329</v>
      </c>
      <c r="W26" s="528">
        <f t="shared" si="253"/>
        <v>294.9772710161256</v>
      </c>
      <c r="X26" s="572">
        <f>IF(M26="","",R26)</f>
        <v>2.4286205357576263</v>
      </c>
      <c r="Y26" s="573">
        <f t="shared" si="255"/>
        <v>-0.15567285800779329</v>
      </c>
      <c r="Z26" s="575">
        <f t="shared" si="18"/>
        <v>0.43653446620756692</v>
      </c>
      <c r="AA26" s="572">
        <f t="shared" si="19"/>
        <v>-0.86172187971823322</v>
      </c>
      <c r="AB26" s="572">
        <f t="shared" si="20"/>
        <v>-0.25859826338888969</v>
      </c>
      <c r="AC26" s="579">
        <f>IF(M26="","",SQRT(Z26^2+AA26^2+AB26^2))</f>
        <v>1</v>
      </c>
      <c r="AD26" s="580">
        <f>IF(M26="","",Z26*(1/SQRT(Z26^2+AA26^2+AB26^2)))</f>
        <v>0.43653446620756692</v>
      </c>
      <c r="AE26" s="572">
        <f>IF(M26="","",AA26*(1/SQRT(Z26^2+AA26^2+AB26^2)))</f>
        <v>-0.86172187971823322</v>
      </c>
      <c r="AF26" s="576">
        <f>IF(M26="","",AB26*(1/SQRT(Z26^2+AA26^2+AB26^2)))</f>
        <v>-0.25859826338888969</v>
      </c>
      <c r="AG26" s="545">
        <f>IF(M26="","",DEGREES(ATAN2(-AF26,AE26)))</f>
        <v>-73.295772237599806</v>
      </c>
      <c r="AH26" s="546">
        <f>IF(M26="","",DEGREES(ACOS(AD26)))</f>
        <v>64.117025395390456</v>
      </c>
      <c r="AI26" s="528">
        <f>IF(M26="","",DEGREES(-ACOS(-AF26)))</f>
        <v>-75.013095698244058</v>
      </c>
      <c r="AJ26" s="529">
        <f>IF(M26="","",DEGREES(ATAN2(-AE26,AD26)))</f>
        <v>26.86604136351956</v>
      </c>
      <c r="AK26" s="578">
        <f>IF(M26="","",(COS(RADIANS((90-$Q$8)-W26))*AD26)+(-SIN(RADIANS((90-$Q$8)-W26))*AE26))</f>
        <v>0.96519203024194089</v>
      </c>
      <c r="AL26" s="572">
        <f>IF(M26="","",(SIN(RADIANS((90-$Q$8)-W26))*AD26)+(COS(RADIANS((90-$Q$8)-W26))*AE26))</f>
        <v>3.9131610364138869E-2</v>
      </c>
      <c r="AM26" s="577">
        <f>IF(M26="","",AF26)</f>
        <v>-0.25859826338888969</v>
      </c>
      <c r="AN26" s="524">
        <f>IF(M26="","",DEGREES(ATAN2(-AM26,AL26)))</f>
        <v>8.604830320611164</v>
      </c>
      <c r="AO26" s="525">
        <f t="shared" si="116"/>
        <v>15.161593068640046</v>
      </c>
      <c r="AP26" s="528">
        <f>IF(M26="","",DEGREES(ATAN2(AK26,AL26)))</f>
        <v>2.3216611932649722</v>
      </c>
      <c r="AQ26" s="529">
        <f t="shared" si="21"/>
        <v>1.876712521164845</v>
      </c>
      <c r="AS26" s="932">
        <f t="shared" si="143"/>
        <v>294.9772710161256</v>
      </c>
      <c r="AT26" s="928">
        <f t="shared" si="22"/>
        <v>-6.908809304929743E-2</v>
      </c>
      <c r="AU26" s="418"/>
      <c r="AV26" s="164" t="str">
        <f t="shared" si="23"/>
        <v/>
      </c>
      <c r="AW26" s="829" t="str">
        <f>IFERROR(INDEX(MassProp!C$9:C$150,MATCH($M26,MassProp!$B$9:$B$150,0)),"")</f>
        <v/>
      </c>
      <c r="AX26" s="830" t="str">
        <f>IFERROR(INDEX(MassProp!D$9:D$150,MATCH($M26,MassProp!$B$9:$B$150,0)),"")</f>
        <v/>
      </c>
      <c r="AY26" s="831" t="str">
        <f>IFERROR(INDEX(MassProp!E$9:E$150,MATCH($M26,MassProp!$B$9:$B$150,0)),"")</f>
        <v/>
      </c>
      <c r="AZ26" s="297" t="str">
        <f t="shared" si="144"/>
        <v/>
      </c>
      <c r="BA26" s="296" t="str">
        <f t="shared" si="24"/>
        <v/>
      </c>
      <c r="BB26" s="190" t="str">
        <f t="shared" si="145"/>
        <v/>
      </c>
      <c r="BC26" s="9"/>
      <c r="BD26" s="5" t="str">
        <f t="shared" si="146"/>
        <v/>
      </c>
      <c r="BE26" s="6" t="str">
        <f t="shared" si="25"/>
        <v/>
      </c>
      <c r="BF26" s="4" t="str">
        <f t="shared" si="26"/>
        <v/>
      </c>
      <c r="BG26" s="5" t="str">
        <f t="shared" si="27"/>
        <v/>
      </c>
      <c r="BH26" s="10" t="str">
        <f t="shared" si="28"/>
        <v/>
      </c>
      <c r="BI26" s="9" t="str">
        <f t="shared" si="147"/>
        <v/>
      </c>
      <c r="BJ26" s="5" t="str">
        <f t="shared" si="29"/>
        <v/>
      </c>
      <c r="BK26" s="8" t="str">
        <f t="shared" si="30"/>
        <v/>
      </c>
      <c r="BL26" s="173" t="str">
        <f t="shared" si="31"/>
        <v/>
      </c>
      <c r="BM26" s="5" t="str">
        <f t="shared" si="32"/>
        <v/>
      </c>
      <c r="BN26" s="6" t="str">
        <f t="shared" si="33"/>
        <v/>
      </c>
      <c r="BO26" s="4" t="str">
        <f t="shared" si="148"/>
        <v/>
      </c>
      <c r="BP26" s="5" t="str">
        <f t="shared" si="239"/>
        <v/>
      </c>
      <c r="BQ26" s="5" t="str">
        <f t="shared" si="149"/>
        <v/>
      </c>
      <c r="BR26" s="6" t="str">
        <f t="shared" si="150"/>
        <v/>
      </c>
      <c r="BS26" s="4" t="str">
        <f t="shared" si="118"/>
        <v/>
      </c>
      <c r="BT26" s="5" t="str">
        <f t="shared" si="118"/>
        <v/>
      </c>
      <c r="BU26" s="10" t="str">
        <f t="shared" si="119"/>
        <v/>
      </c>
      <c r="BV26" s="9" t="str">
        <f t="shared" si="120"/>
        <v/>
      </c>
      <c r="BW26" s="5" t="str">
        <f t="shared" si="121"/>
        <v/>
      </c>
      <c r="BX26" s="8" t="str">
        <f t="shared" si="122"/>
        <v/>
      </c>
      <c r="BY26" s="173" t="str">
        <f t="shared" si="123"/>
        <v/>
      </c>
      <c r="BZ26" s="5" t="str">
        <f t="shared" si="124"/>
        <v/>
      </c>
      <c r="CA26" s="6" t="str">
        <f t="shared" si="125"/>
        <v/>
      </c>
      <c r="CB26" s="4" t="str">
        <f t="shared" si="151"/>
        <v/>
      </c>
      <c r="CC26" s="5" t="str">
        <f t="shared" si="152"/>
        <v/>
      </c>
      <c r="CD26" s="5" t="str">
        <f t="shared" si="153"/>
        <v/>
      </c>
      <c r="CE26" s="6" t="str">
        <f t="shared" si="154"/>
        <v/>
      </c>
      <c r="CF26" s="4" t="str">
        <f t="shared" si="155"/>
        <v/>
      </c>
      <c r="CG26" s="5" t="str">
        <f t="shared" si="156"/>
        <v/>
      </c>
      <c r="CH26" s="5" t="str">
        <f t="shared" si="157"/>
        <v/>
      </c>
      <c r="CI26" s="4" t="str">
        <f t="shared" si="126"/>
        <v/>
      </c>
      <c r="CJ26" s="5" t="str">
        <f t="shared" si="127"/>
        <v/>
      </c>
      <c r="CK26" s="8" t="str">
        <f t="shared" si="128"/>
        <v/>
      </c>
      <c r="CL26" s="173" t="str">
        <f t="shared" si="129"/>
        <v/>
      </c>
      <c r="CM26" s="5" t="str">
        <f t="shared" si="130"/>
        <v/>
      </c>
      <c r="CN26" s="6" t="str">
        <f t="shared" si="131"/>
        <v/>
      </c>
      <c r="CO26" s="167" t="str">
        <f t="shared" si="35"/>
        <v/>
      </c>
      <c r="CP26" s="4" t="str">
        <f t="shared" si="240"/>
        <v/>
      </c>
      <c r="CQ26" s="5" t="str">
        <f t="shared" si="241"/>
        <v/>
      </c>
      <c r="CR26" s="5" t="str">
        <f t="shared" si="158"/>
        <v/>
      </c>
      <c r="CS26" s="8" t="str">
        <f t="shared" si="159"/>
        <v/>
      </c>
      <c r="CT26" s="9" t="str">
        <f t="shared" si="160"/>
        <v/>
      </c>
      <c r="CU26" s="6" t="str">
        <f t="shared" si="161"/>
        <v/>
      </c>
      <c r="CV26" s="4" t="str">
        <f t="shared" si="242"/>
        <v/>
      </c>
      <c r="CW26" s="5" t="str">
        <f t="shared" si="162"/>
        <v/>
      </c>
      <c r="CX26" s="8" t="str">
        <f t="shared" si="163"/>
        <v/>
      </c>
      <c r="CY26" s="9" t="str">
        <f t="shared" si="164"/>
        <v/>
      </c>
      <c r="CZ26" s="5" t="str">
        <f t="shared" si="165"/>
        <v/>
      </c>
      <c r="DA26" s="6" t="str">
        <f t="shared" si="166"/>
        <v/>
      </c>
      <c r="DB26" s="4" t="str">
        <f t="shared" si="167"/>
        <v/>
      </c>
      <c r="DC26" s="5" t="str">
        <f t="shared" si="167"/>
        <v/>
      </c>
      <c r="DD26" s="10" t="str">
        <f t="shared" si="168"/>
        <v/>
      </c>
      <c r="DE26" s="9" t="str">
        <f t="shared" si="169"/>
        <v/>
      </c>
      <c r="DF26" s="5" t="str">
        <f t="shared" si="169"/>
        <v/>
      </c>
      <c r="DG26" s="10" t="str">
        <f t="shared" si="170"/>
        <v/>
      </c>
      <c r="DH26" s="70" t="str">
        <f t="shared" si="171"/>
        <v/>
      </c>
      <c r="DI26" s="4" t="str">
        <f t="shared" si="172"/>
        <v/>
      </c>
      <c r="DJ26" s="5" t="str">
        <f t="shared" si="173"/>
        <v/>
      </c>
      <c r="DK26" s="10" t="str">
        <f t="shared" si="174"/>
        <v/>
      </c>
      <c r="DL26" s="9" t="str">
        <f t="shared" si="175"/>
        <v/>
      </c>
      <c r="DM26" s="173" t="str">
        <f t="shared" si="176"/>
        <v/>
      </c>
      <c r="DN26" s="178" t="str">
        <f t="shared" si="177"/>
        <v/>
      </c>
      <c r="DO26" s="9" t="str">
        <f t="shared" si="178"/>
        <v/>
      </c>
      <c r="DP26" s="173" t="str">
        <f t="shared" si="179"/>
        <v/>
      </c>
      <c r="DQ26" s="11" t="str">
        <f t="shared" si="180"/>
        <v/>
      </c>
      <c r="DR26" s="173" t="str">
        <f t="shared" si="181"/>
        <v/>
      </c>
      <c r="DS26" s="5" t="str">
        <f t="shared" si="182"/>
        <v/>
      </c>
      <c r="DT26" s="5" t="str">
        <f t="shared" si="183"/>
        <v/>
      </c>
      <c r="DU26" s="5" t="str">
        <f t="shared" si="184"/>
        <v/>
      </c>
      <c r="DV26" s="5" t="str">
        <f t="shared" si="185"/>
        <v/>
      </c>
      <c r="DW26" s="5" t="str">
        <f t="shared" si="186"/>
        <v/>
      </c>
      <c r="DX26" s="167" t="str">
        <f t="shared" si="187"/>
        <v/>
      </c>
      <c r="DY26" s="9" t="str">
        <f t="shared" si="188"/>
        <v/>
      </c>
      <c r="DZ26" s="5" t="str">
        <f t="shared" si="189"/>
        <v/>
      </c>
      <c r="EA26" s="10" t="str">
        <f t="shared" si="190"/>
        <v/>
      </c>
      <c r="EB26" s="6" t="str">
        <f t="shared" si="191"/>
        <v/>
      </c>
      <c r="EC26" s="173" t="str">
        <f t="shared" si="192"/>
        <v/>
      </c>
      <c r="ED26" s="5" t="str">
        <f t="shared" si="193"/>
        <v/>
      </c>
      <c r="EE26" s="4" t="str">
        <f t="shared" si="194"/>
        <v/>
      </c>
      <c r="EF26" s="5" t="str">
        <f t="shared" si="195"/>
        <v/>
      </c>
      <c r="EG26" s="10" t="str">
        <f t="shared" si="196"/>
        <v/>
      </c>
      <c r="EH26" s="9" t="str">
        <f t="shared" si="197"/>
        <v/>
      </c>
      <c r="EI26" s="5" t="str">
        <f t="shared" si="198"/>
        <v/>
      </c>
      <c r="EJ26" s="6" t="str">
        <f t="shared" si="199"/>
        <v/>
      </c>
      <c r="EK26" s="236" t="str">
        <f t="shared" si="200"/>
        <v/>
      </c>
      <c r="EL26" s="238" t="str">
        <f t="shared" si="201"/>
        <v/>
      </c>
      <c r="EM26" s="4" t="str">
        <f t="shared" si="202"/>
        <v/>
      </c>
      <c r="EN26" s="5" t="str">
        <f t="shared" si="203"/>
        <v/>
      </c>
      <c r="EO26" s="10" t="str">
        <f t="shared" si="204"/>
        <v/>
      </c>
      <c r="EP26" s="9" t="str">
        <f t="shared" si="205"/>
        <v/>
      </c>
      <c r="EQ26" s="5" t="str">
        <f t="shared" si="206"/>
        <v/>
      </c>
      <c r="ER26" s="7" t="str">
        <f t="shared" si="207"/>
        <v/>
      </c>
      <c r="ES26" s="21" t="str">
        <f t="shared" si="132"/>
        <v/>
      </c>
      <c r="ET26" s="5" t="str">
        <f t="shared" si="44"/>
        <v/>
      </c>
      <c r="EU26" s="10" t="str">
        <f t="shared" si="45"/>
        <v/>
      </c>
      <c r="EV26" s="174" t="str">
        <f t="shared" si="254"/>
        <v/>
      </c>
      <c r="EW26" s="9" t="str">
        <f t="shared" si="133"/>
        <v/>
      </c>
      <c r="EX26" s="5" t="str">
        <f t="shared" si="47"/>
        <v/>
      </c>
      <c r="EY26" s="6" t="str">
        <f t="shared" si="208"/>
        <v/>
      </c>
      <c r="EZ26" s="51" t="str">
        <f t="shared" si="209"/>
        <v/>
      </c>
      <c r="FA26" s="266" t="str">
        <f t="shared" si="134"/>
        <v/>
      </c>
      <c r="FB26" s="267" t="str">
        <f t="shared" si="135"/>
        <v/>
      </c>
      <c r="FC26" s="269" t="str">
        <f t="shared" si="48"/>
        <v/>
      </c>
      <c r="FD26" s="4" t="str">
        <f t="shared" si="136"/>
        <v/>
      </c>
      <c r="FE26" s="5" t="str">
        <f t="shared" si="49"/>
        <v/>
      </c>
      <c r="FF26" s="7" t="str">
        <f t="shared" si="210"/>
        <v/>
      </c>
      <c r="FG26" s="173" t="str">
        <f t="shared" si="211"/>
        <v/>
      </c>
      <c r="FH26" s="5" t="str">
        <f t="shared" si="50"/>
        <v/>
      </c>
      <c r="FI26" s="10" t="str">
        <f t="shared" si="51"/>
        <v/>
      </c>
      <c r="FJ26" s="279" t="str">
        <f t="shared" si="212"/>
        <v/>
      </c>
      <c r="FK26" s="4" t="str">
        <f t="shared" si="52"/>
        <v/>
      </c>
      <c r="FL26" s="5" t="str">
        <f t="shared" si="213"/>
        <v/>
      </c>
      <c r="FM26" s="8" t="str">
        <f t="shared" si="214"/>
        <v/>
      </c>
      <c r="FN26" s="9" t="str">
        <f t="shared" si="215"/>
        <v/>
      </c>
      <c r="FO26" s="10" t="str">
        <f t="shared" si="53"/>
        <v/>
      </c>
      <c r="FP26" s="277" t="str">
        <f t="shared" si="54"/>
        <v/>
      </c>
      <c r="FQ26" s="173" t="str">
        <f t="shared" si="243"/>
        <v/>
      </c>
      <c r="FR26" s="10" t="str">
        <f t="shared" si="216"/>
        <v/>
      </c>
      <c r="FS26" s="9" t="str">
        <f>IF(ISNUMBER($AV26),FQ26/(FQ26+FR26),"")</f>
        <v/>
      </c>
      <c r="FT26" s="6" t="str">
        <f t="shared" si="218"/>
        <v/>
      </c>
      <c r="FU26" s="4" t="str">
        <f t="shared" si="219"/>
        <v/>
      </c>
      <c r="FV26" s="5" t="str">
        <f t="shared" si="220"/>
        <v/>
      </c>
      <c r="FW26" s="8" t="str">
        <f t="shared" si="244"/>
        <v/>
      </c>
      <c r="FX26" s="9" t="str">
        <f t="shared" si="245"/>
        <v/>
      </c>
      <c r="FY26" s="10" t="str">
        <f t="shared" si="55"/>
        <v/>
      </c>
      <c r="FZ26" s="277" t="str">
        <f t="shared" si="246"/>
        <v/>
      </c>
      <c r="GA26" s="177" t="str">
        <f t="shared" si="221"/>
        <v/>
      </c>
      <c r="GB26" s="4" t="str">
        <f t="shared" si="222"/>
        <v/>
      </c>
      <c r="GC26" s="5" t="str">
        <f t="shared" si="223"/>
        <v/>
      </c>
      <c r="GD26" s="10" t="str">
        <f t="shared" si="224"/>
        <v/>
      </c>
      <c r="GE26" s="311" t="str">
        <f t="shared" si="225"/>
        <v/>
      </c>
      <c r="GF26" s="341" t="str">
        <f>IF(ISNUMBER($AV26),1/GE26,"")</f>
        <v/>
      </c>
      <c r="GG26" s="285" t="str">
        <f t="shared" si="56"/>
        <v/>
      </c>
      <c r="GH26" s="286" t="str">
        <f t="shared" si="57"/>
        <v/>
      </c>
      <c r="GI26" s="281" t="str">
        <f t="shared" si="58"/>
        <v/>
      </c>
      <c r="GJ26" s="167" t="str">
        <f t="shared" si="226"/>
        <v/>
      </c>
      <c r="GK26" s="174" t="str">
        <f t="shared" si="59"/>
        <v/>
      </c>
      <c r="GL26" s="174" t="str">
        <f t="shared" si="227"/>
        <v/>
      </c>
      <c r="GM26" s="177" t="str">
        <f t="shared" si="248"/>
        <v/>
      </c>
      <c r="GN26" s="280" t="str">
        <f t="shared" si="228"/>
        <v/>
      </c>
      <c r="GO26" s="4" t="str">
        <f t="shared" si="229"/>
        <v/>
      </c>
      <c r="GP26" s="8" t="str">
        <f t="shared" si="249"/>
        <v/>
      </c>
      <c r="GQ26" s="177" t="str">
        <f t="shared" si="230"/>
        <v/>
      </c>
      <c r="GR26" s="371" t="str">
        <f t="shared" si="250"/>
        <v/>
      </c>
      <c r="GS26" s="342" t="str">
        <f t="shared" si="61"/>
        <v/>
      </c>
      <c r="GT26" s="343" t="str">
        <f t="shared" si="62"/>
        <v/>
      </c>
      <c r="GU26" s="344" t="str">
        <f t="shared" si="63"/>
        <v/>
      </c>
      <c r="GV26" s="343" t="str">
        <f t="shared" si="252"/>
        <v/>
      </c>
      <c r="GW26" s="345" t="str">
        <f t="shared" si="64"/>
        <v/>
      </c>
      <c r="GX26" s="346" t="str">
        <f t="shared" si="65"/>
        <v/>
      </c>
      <c r="GY26" s="344" t="str">
        <f t="shared" si="66"/>
        <v/>
      </c>
      <c r="GZ26" s="345" t="str">
        <f t="shared" si="67"/>
        <v/>
      </c>
      <c r="HA26" s="342" t="str">
        <f t="shared" si="68"/>
        <v/>
      </c>
      <c r="HB26" s="5" t="str">
        <f t="shared" si="231"/>
        <v/>
      </c>
      <c r="HC26" s="343" t="str">
        <f t="shared" si="232"/>
        <v/>
      </c>
      <c r="HD26" s="363" t="str">
        <f t="shared" si="233"/>
        <v/>
      </c>
      <c r="HE26" s="344" t="str">
        <f t="shared" si="69"/>
        <v/>
      </c>
      <c r="HF26" s="5" t="str">
        <f t="shared" si="70"/>
        <v/>
      </c>
      <c r="HG26" s="343" t="str">
        <f t="shared" si="234"/>
        <v/>
      </c>
      <c r="HH26" s="349" t="str">
        <f t="shared" si="235"/>
        <v/>
      </c>
      <c r="HI26" s="317" t="str">
        <f t="shared" si="71"/>
        <v/>
      </c>
      <c r="HJ26" s="336"/>
      <c r="HK26" s="310" t="str">
        <f t="shared" si="137"/>
        <v/>
      </c>
      <c r="HL26" s="348" t="str">
        <f t="shared" si="72"/>
        <v/>
      </c>
      <c r="HM26" s="909" t="str">
        <f t="shared" si="138"/>
        <v/>
      </c>
      <c r="HN26" s="910" t="str">
        <f t="shared" si="73"/>
        <v/>
      </c>
      <c r="HO26" s="911"/>
      <c r="HP26" s="912"/>
      <c r="HQ26" s="910" t="str">
        <f t="shared" si="74"/>
        <v/>
      </c>
      <c r="HR26" s="913" t="str">
        <f t="shared" si="75"/>
        <v/>
      </c>
      <c r="HS26" s="865" t="str">
        <f t="shared" si="251"/>
        <v/>
      </c>
      <c r="HT26" s="875" t="str">
        <f t="shared" si="76"/>
        <v/>
      </c>
      <c r="HU26" s="876" t="str">
        <f t="shared" si="77"/>
        <v/>
      </c>
      <c r="HV26" s="872" t="str">
        <f t="shared" si="78"/>
        <v/>
      </c>
      <c r="HW26" s="866" t="str">
        <f t="shared" si="79"/>
        <v/>
      </c>
      <c r="HX26" s="867" t="str">
        <f t="shared" si="80"/>
        <v/>
      </c>
      <c r="HY26" s="866" t="str">
        <f t="shared" si="81"/>
        <v/>
      </c>
      <c r="HZ26" s="868" t="str">
        <f t="shared" si="82"/>
        <v/>
      </c>
      <c r="IA26" s="869" t="str">
        <f t="shared" si="83"/>
        <v/>
      </c>
      <c r="IB26" s="870" t="str">
        <f t="shared" si="84"/>
        <v/>
      </c>
      <c r="IC26" s="841" t="str">
        <f t="shared" si="85"/>
        <v/>
      </c>
      <c r="ID26" s="351" t="str">
        <f t="shared" si="86"/>
        <v/>
      </c>
      <c r="IE26" s="843" t="str">
        <f t="shared" si="87"/>
        <v/>
      </c>
      <c r="IF26" s="844"/>
      <c r="IG26" s="790" t="str">
        <f>IFERROR(IF($IW26="","",IF($IW26&lt;(((Settings!$C$19/2)*-1)*$IG$8),"Taper","Nose")),"")</f>
        <v/>
      </c>
      <c r="IH26" s="482" t="str">
        <f>IFERROR(IF((((($IY26*COS(RADIANS(180-$JA26)))*COS(RADIANS($JA26)))-(($IZ26*SIN(RADIANS(180-$JA26)))*SIN(RADIANS($JA26))))+$IW26)&lt;(((Settings!$C$19+$IH$8)/2)*-1),"Gage",""),"")</f>
        <v/>
      </c>
      <c r="II26" s="788">
        <f t="shared" si="236"/>
        <v>2.11</v>
      </c>
      <c r="IJ26" s="674" t="str" cm="1">
        <f t="array" ref="IJ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K26" s="677" t="str" cm="1">
        <f t="array" ref="IK26">IFERROR(ROUND(VALUE(IF($IJ26&lt;1,$IJ26+LARGE((IF($M$9:$M$150="",0,$M$9:$M$150)-MOD(IF($M$9:$M$150="",0,$M$9:$M$150),1)),1),$IJ26)),4),"")</f>
        <v/>
      </c>
      <c r="IL26" s="482">
        <f t="shared" si="88"/>
        <v>1613</v>
      </c>
      <c r="IM26" s="482" t="str">
        <f t="shared" si="237"/>
        <v/>
      </c>
      <c r="IN26" s="670" t="str">
        <f t="shared" si="90"/>
        <v/>
      </c>
      <c r="IO26" s="702"/>
      <c r="IP26" s="5" t="str">
        <f t="shared" si="91"/>
        <v/>
      </c>
      <c r="IQ26" s="714"/>
      <c r="IR26" s="9" t="str">
        <f t="shared" si="139"/>
        <v/>
      </c>
      <c r="IS26" s="5" t="str">
        <f t="shared" si="92"/>
        <v/>
      </c>
      <c r="IT26" s="5" t="str">
        <f t="shared" si="93"/>
        <v/>
      </c>
      <c r="IU26" s="5" t="str">
        <f t="shared" si="94"/>
        <v/>
      </c>
      <c r="IV26" s="670" t="str">
        <f t="shared" si="95"/>
        <v/>
      </c>
      <c r="IW26" s="9" t="str">
        <f t="shared" si="96"/>
        <v/>
      </c>
      <c r="IX26" s="5" t="str">
        <f t="shared" si="97"/>
        <v/>
      </c>
      <c r="IY26" s="5" t="str">
        <f t="shared" si="98"/>
        <v/>
      </c>
      <c r="IZ26" s="5" t="str">
        <f t="shared" si="99"/>
        <v/>
      </c>
      <c r="JA26" s="705" t="str">
        <f t="shared" si="100"/>
        <v/>
      </c>
      <c r="JC26" s="739"/>
      <c r="JD26" s="797" t="str" cm="1">
        <f t="array" ref="JD26">IF($JC26="","",COUNT(IF(IF($IK$9:$IK$150&lt;&gt;"",$IM$9:$IM$150,"")=$JC26,$II$9:$II$150,"")))</f>
        <v/>
      </c>
      <c r="JE26" s="5"/>
      <c r="JF26" s="5"/>
      <c r="JG26" s="10"/>
      <c r="JH26" s="236"/>
      <c r="JI26" s="744"/>
      <c r="JJ26" s="728"/>
      <c r="JK26" s="744"/>
    </row>
    <row r="27" spans="1:271" ht="15" customHeight="1" x14ac:dyDescent="0.25">
      <c r="A27" s="75">
        <f t="shared" si="1"/>
        <v>0.02</v>
      </c>
      <c r="B27" s="578">
        <f t="shared" si="2"/>
        <v>2.904657300571003</v>
      </c>
      <c r="C27" s="572">
        <f t="shared" si="3"/>
        <v>1.3298319412890336</v>
      </c>
      <c r="D27" s="576">
        <f t="shared" si="4"/>
        <v>-0.11880493919077446</v>
      </c>
      <c r="E27" s="580">
        <f t="shared" si="5"/>
        <v>-0.35729909986825681</v>
      </c>
      <c r="F27" s="572">
        <f t="shared" si="6"/>
        <v>0.89554405939127635</v>
      </c>
      <c r="G27" s="579">
        <f t="shared" si="7"/>
        <v>0.2652134817884032</v>
      </c>
      <c r="H27" s="580">
        <f t="shared" si="8"/>
        <v>0.3125</v>
      </c>
      <c r="I27" s="572">
        <f t="shared" si="9"/>
        <v>0.52</v>
      </c>
      <c r="J27" s="483">
        <f t="shared" si="10"/>
        <v>2.1160000000000001</v>
      </c>
      <c r="K27" s="806">
        <f t="shared" si="11"/>
        <v>1613</v>
      </c>
      <c r="L27" s="309"/>
      <c r="M27" s="164">
        <f t="shared" si="12"/>
        <v>2.1160000000000001</v>
      </c>
      <c r="N27" s="575">
        <f t="shared" si="13"/>
        <v>2.904657300571003</v>
      </c>
      <c r="O27" s="572">
        <f t="shared" si="14"/>
        <v>1.3298319412890336</v>
      </c>
      <c r="P27" s="576">
        <f t="shared" si="15"/>
        <v>-0.11880493919077446</v>
      </c>
      <c r="Q27" s="528">
        <f t="shared" si="140"/>
        <v>24.599608612336382</v>
      </c>
      <c r="R27" s="572">
        <f t="shared" si="101"/>
        <v>3.1946027962538608</v>
      </c>
      <c r="S27" s="577">
        <f t="shared" si="102"/>
        <v>-0.11880493919077446</v>
      </c>
      <c r="T27" s="578">
        <f t="shared" si="103"/>
        <v>1.3517395391280866</v>
      </c>
      <c r="U27" s="572">
        <f t="shared" si="104"/>
        <v>-2.8945271192702227</v>
      </c>
      <c r="V27" s="579">
        <f t="shared" si="141"/>
        <v>-0.11880493919077446</v>
      </c>
      <c r="W27" s="528">
        <f t="shared" si="253"/>
        <v>295.03249945820738</v>
      </c>
      <c r="X27" s="572">
        <f t="shared" si="105"/>
        <v>3.1946027962538608</v>
      </c>
      <c r="Y27" s="573">
        <f t="shared" si="255"/>
        <v>-0.11880493919077446</v>
      </c>
      <c r="Z27" s="575">
        <f t="shared" si="18"/>
        <v>0.35729909986825681</v>
      </c>
      <c r="AA27" s="572">
        <f t="shared" si="19"/>
        <v>-0.89554405939127635</v>
      </c>
      <c r="AB27" s="572">
        <f t="shared" si="20"/>
        <v>-0.2652134817884032</v>
      </c>
      <c r="AC27" s="579">
        <f t="shared" si="106"/>
        <v>1</v>
      </c>
      <c r="AD27" s="580">
        <f t="shared" si="142"/>
        <v>0.35729909986825681</v>
      </c>
      <c r="AE27" s="572">
        <f t="shared" si="107"/>
        <v>-0.89554405939127635</v>
      </c>
      <c r="AF27" s="576">
        <f t="shared" si="108"/>
        <v>-0.2652134817884032</v>
      </c>
      <c r="AG27" s="545">
        <f t="shared" si="109"/>
        <v>-73.503455845603284</v>
      </c>
      <c r="AH27" s="546">
        <f t="shared" si="110"/>
        <v>69.065583141916903</v>
      </c>
      <c r="AI27" s="528">
        <f t="shared" si="111"/>
        <v>-74.620361697565556</v>
      </c>
      <c r="AJ27" s="529">
        <f t="shared" si="112"/>
        <v>21.750731231071331</v>
      </c>
      <c r="AK27" s="578">
        <f t="shared" si="238"/>
        <v>0.96299807578582719</v>
      </c>
      <c r="AL27" s="572">
        <f t="shared" si="113"/>
        <v>-4.7921968975268181E-2</v>
      </c>
      <c r="AM27" s="577">
        <f t="shared" si="114"/>
        <v>-0.2652134817884032</v>
      </c>
      <c r="AN27" s="524">
        <f t="shared" si="115"/>
        <v>-10.242376499105918</v>
      </c>
      <c r="AO27" s="525">
        <f t="shared" si="116"/>
        <v>15.635007982189849</v>
      </c>
      <c r="AP27" s="528">
        <f t="shared" si="117"/>
        <v>-2.8488773812650483</v>
      </c>
      <c r="AQ27" s="529">
        <f t="shared" si="21"/>
        <v>1.4269412657390359</v>
      </c>
      <c r="AS27" s="932">
        <f t="shared" si="143"/>
        <v>295.03249945820738</v>
      </c>
      <c r="AT27" s="928">
        <f t="shared" si="22"/>
        <v>-3.2296880401836633E-2</v>
      </c>
      <c r="AU27" s="418"/>
      <c r="AV27" s="164" t="str">
        <f t="shared" si="23"/>
        <v/>
      </c>
      <c r="AW27" s="829" t="str">
        <f>IFERROR(INDEX(MassProp!C$9:C$150,MATCH($M27,MassProp!$B$9:$B$150,0)),"")</f>
        <v/>
      </c>
      <c r="AX27" s="830" t="str">
        <f>IFERROR(INDEX(MassProp!D$9:D$150,MATCH($M27,MassProp!$B$9:$B$150,0)),"")</f>
        <v/>
      </c>
      <c r="AY27" s="831" t="str">
        <f>IFERROR(INDEX(MassProp!E$9:E$150,MATCH($M27,MassProp!$B$9:$B$150,0)),"")</f>
        <v/>
      </c>
      <c r="AZ27" s="297" t="str">
        <f t="shared" si="144"/>
        <v/>
      </c>
      <c r="BA27" s="296" t="str">
        <f t="shared" si="24"/>
        <v/>
      </c>
      <c r="BB27" s="190" t="str">
        <f t="shared" si="145"/>
        <v/>
      </c>
      <c r="BC27" s="9"/>
      <c r="BD27" s="5" t="str">
        <f t="shared" si="146"/>
        <v/>
      </c>
      <c r="BE27" s="6" t="str">
        <f t="shared" si="25"/>
        <v/>
      </c>
      <c r="BF27" s="4" t="str">
        <f t="shared" si="26"/>
        <v/>
      </c>
      <c r="BG27" s="5" t="str">
        <f t="shared" si="27"/>
        <v/>
      </c>
      <c r="BH27" s="10" t="str">
        <f t="shared" si="28"/>
        <v/>
      </c>
      <c r="BI27" s="9" t="str">
        <f>IF(ISNUMBER($AV27),BF27+0,"")</f>
        <v/>
      </c>
      <c r="BJ27" s="5" t="str">
        <f t="shared" si="29"/>
        <v/>
      </c>
      <c r="BK27" s="8" t="str">
        <f t="shared" si="30"/>
        <v/>
      </c>
      <c r="BL27" s="173" t="str">
        <f t="shared" si="31"/>
        <v/>
      </c>
      <c r="BM27" s="5" t="str">
        <f t="shared" si="32"/>
        <v/>
      </c>
      <c r="BN27" s="6" t="str">
        <f t="shared" si="33"/>
        <v/>
      </c>
      <c r="BO27" s="4" t="str">
        <f t="shared" si="148"/>
        <v/>
      </c>
      <c r="BP27" s="5" t="str">
        <f t="shared" si="239"/>
        <v/>
      </c>
      <c r="BQ27" s="5" t="str">
        <f t="shared" si="149"/>
        <v/>
      </c>
      <c r="BR27" s="6" t="str">
        <f t="shared" si="150"/>
        <v/>
      </c>
      <c r="BS27" s="4" t="str">
        <f t="shared" si="118"/>
        <v/>
      </c>
      <c r="BT27" s="5" t="str">
        <f t="shared" si="118"/>
        <v/>
      </c>
      <c r="BU27" s="10" t="str">
        <f t="shared" si="119"/>
        <v/>
      </c>
      <c r="BV27" s="9" t="str">
        <f t="shared" si="120"/>
        <v/>
      </c>
      <c r="BW27" s="5" t="str">
        <f t="shared" si="121"/>
        <v/>
      </c>
      <c r="BX27" s="8" t="str">
        <f t="shared" si="122"/>
        <v/>
      </c>
      <c r="BY27" s="173" t="str">
        <f t="shared" si="123"/>
        <v/>
      </c>
      <c r="BZ27" s="5" t="str">
        <f t="shared" si="124"/>
        <v/>
      </c>
      <c r="CA27" s="6" t="str">
        <f t="shared" si="125"/>
        <v/>
      </c>
      <c r="CB27" s="4" t="str">
        <f t="shared" si="151"/>
        <v/>
      </c>
      <c r="CC27" s="5" t="str">
        <f t="shared" si="152"/>
        <v/>
      </c>
      <c r="CD27" s="5" t="str">
        <f t="shared" si="153"/>
        <v/>
      </c>
      <c r="CE27" s="6" t="str">
        <f t="shared" si="154"/>
        <v/>
      </c>
      <c r="CF27" s="4" t="str">
        <f t="shared" si="155"/>
        <v/>
      </c>
      <c r="CG27" s="5" t="str">
        <f t="shared" si="156"/>
        <v/>
      </c>
      <c r="CH27" s="5" t="str">
        <f t="shared" si="157"/>
        <v/>
      </c>
      <c r="CI27" s="4" t="str">
        <f t="shared" si="126"/>
        <v/>
      </c>
      <c r="CJ27" s="5" t="str">
        <f t="shared" si="127"/>
        <v/>
      </c>
      <c r="CK27" s="8" t="str">
        <f t="shared" si="128"/>
        <v/>
      </c>
      <c r="CL27" s="173" t="str">
        <f t="shared" si="129"/>
        <v/>
      </c>
      <c r="CM27" s="5" t="str">
        <f t="shared" si="130"/>
        <v/>
      </c>
      <c r="CN27" s="6" t="str">
        <f t="shared" si="131"/>
        <v/>
      </c>
      <c r="CO27" s="167" t="str">
        <f t="shared" si="35"/>
        <v/>
      </c>
      <c r="CP27" s="4" t="str">
        <f t="shared" si="240"/>
        <v/>
      </c>
      <c r="CQ27" s="5" t="str">
        <f t="shared" si="241"/>
        <v/>
      </c>
      <c r="CR27" s="5" t="str">
        <f t="shared" si="158"/>
        <v/>
      </c>
      <c r="CS27" s="8" t="str">
        <f>IF(ISNUMBER($AV27),CQ27^2-(4*CP27*CR27),"")</f>
        <v/>
      </c>
      <c r="CT27" s="9" t="str">
        <f t="shared" si="160"/>
        <v/>
      </c>
      <c r="CU27" s="6" t="str">
        <f t="shared" si="161"/>
        <v/>
      </c>
      <c r="CV27" s="4" t="str">
        <f t="shared" si="242"/>
        <v/>
      </c>
      <c r="CW27" s="5" t="str">
        <f t="shared" si="162"/>
        <v/>
      </c>
      <c r="CX27" s="8" t="str">
        <f t="shared" si="163"/>
        <v/>
      </c>
      <c r="CY27" s="9" t="str">
        <f t="shared" si="164"/>
        <v/>
      </c>
      <c r="CZ27" s="5" t="str">
        <f t="shared" si="165"/>
        <v/>
      </c>
      <c r="DA27" s="6" t="str">
        <f t="shared" si="166"/>
        <v/>
      </c>
      <c r="DB27" s="4" t="str">
        <f t="shared" si="167"/>
        <v/>
      </c>
      <c r="DC27" s="5" t="str">
        <f t="shared" si="167"/>
        <v/>
      </c>
      <c r="DD27" s="10" t="str">
        <f t="shared" si="168"/>
        <v/>
      </c>
      <c r="DE27" s="9" t="str">
        <f t="shared" si="169"/>
        <v/>
      </c>
      <c r="DF27" s="5" t="str">
        <f t="shared" si="169"/>
        <v/>
      </c>
      <c r="DG27" s="10" t="str">
        <f t="shared" si="170"/>
        <v/>
      </c>
      <c r="DH27" s="70" t="str">
        <f t="shared" si="171"/>
        <v/>
      </c>
      <c r="DI27" s="4" t="str">
        <f t="shared" si="172"/>
        <v/>
      </c>
      <c r="DJ27" s="5" t="str">
        <f t="shared" si="173"/>
        <v/>
      </c>
      <c r="DK27" s="10" t="str">
        <f t="shared" si="174"/>
        <v/>
      </c>
      <c r="DL27" s="9" t="str">
        <f t="shared" si="175"/>
        <v/>
      </c>
      <c r="DM27" s="173" t="str">
        <f t="shared" si="176"/>
        <v/>
      </c>
      <c r="DN27" s="178" t="str">
        <f t="shared" si="177"/>
        <v/>
      </c>
      <c r="DO27" s="9" t="str">
        <f t="shared" si="178"/>
        <v/>
      </c>
      <c r="DP27" s="173" t="str">
        <f t="shared" si="179"/>
        <v/>
      </c>
      <c r="DQ27" s="11" t="str">
        <f t="shared" si="180"/>
        <v/>
      </c>
      <c r="DR27" s="173" t="str">
        <f t="shared" si="181"/>
        <v/>
      </c>
      <c r="DS27" s="5" t="str">
        <f t="shared" si="182"/>
        <v/>
      </c>
      <c r="DT27" s="5" t="str">
        <f t="shared" si="183"/>
        <v/>
      </c>
      <c r="DU27" s="5" t="str">
        <f t="shared" si="184"/>
        <v/>
      </c>
      <c r="DV27" s="5" t="str">
        <f t="shared" si="185"/>
        <v/>
      </c>
      <c r="DW27" s="5" t="str">
        <f t="shared" si="186"/>
        <v/>
      </c>
      <c r="DX27" s="167" t="str">
        <f t="shared" si="187"/>
        <v/>
      </c>
      <c r="DY27" s="9" t="str">
        <f t="shared" si="188"/>
        <v/>
      </c>
      <c r="DZ27" s="5" t="str">
        <f t="shared" si="189"/>
        <v/>
      </c>
      <c r="EA27" s="10" t="str">
        <f t="shared" si="190"/>
        <v/>
      </c>
      <c r="EB27" s="6" t="str">
        <f t="shared" si="191"/>
        <v/>
      </c>
      <c r="EC27" s="173" t="str">
        <f t="shared" si="192"/>
        <v/>
      </c>
      <c r="ED27" s="5" t="str">
        <f t="shared" si="193"/>
        <v/>
      </c>
      <c r="EE27" s="4" t="str">
        <f t="shared" si="194"/>
        <v/>
      </c>
      <c r="EF27" s="5" t="str">
        <f t="shared" si="195"/>
        <v/>
      </c>
      <c r="EG27" s="10" t="str">
        <f t="shared" si="196"/>
        <v/>
      </c>
      <c r="EH27" s="9" t="str">
        <f t="shared" si="197"/>
        <v/>
      </c>
      <c r="EI27" s="5" t="str">
        <f t="shared" si="198"/>
        <v/>
      </c>
      <c r="EJ27" s="6" t="str">
        <f t="shared" si="199"/>
        <v/>
      </c>
      <c r="EK27" s="236" t="str">
        <f t="shared" si="200"/>
        <v/>
      </c>
      <c r="EL27" s="238" t="str">
        <f t="shared" si="201"/>
        <v/>
      </c>
      <c r="EM27" s="4" t="str">
        <f t="shared" si="202"/>
        <v/>
      </c>
      <c r="EN27" s="5" t="str">
        <f t="shared" si="203"/>
        <v/>
      </c>
      <c r="EO27" s="10" t="str">
        <f t="shared" si="204"/>
        <v/>
      </c>
      <c r="EP27" s="9" t="str">
        <f t="shared" si="205"/>
        <v/>
      </c>
      <c r="EQ27" s="5" t="str">
        <f t="shared" si="206"/>
        <v/>
      </c>
      <c r="ER27" s="7" t="str">
        <f t="shared" si="207"/>
        <v/>
      </c>
      <c r="ES27" s="21" t="str">
        <f t="shared" si="132"/>
        <v/>
      </c>
      <c r="ET27" s="5" t="str">
        <f t="shared" si="44"/>
        <v/>
      </c>
      <c r="EU27" s="10" t="str">
        <f t="shared" si="45"/>
        <v/>
      </c>
      <c r="EV27" s="174" t="str">
        <f t="shared" si="254"/>
        <v/>
      </c>
      <c r="EW27" s="9" t="str">
        <f t="shared" si="133"/>
        <v/>
      </c>
      <c r="EX27" s="5" t="str">
        <f t="shared" si="47"/>
        <v/>
      </c>
      <c r="EY27" s="6" t="str">
        <f t="shared" si="208"/>
        <v/>
      </c>
      <c r="EZ27" s="51" t="str">
        <f t="shared" si="209"/>
        <v/>
      </c>
      <c r="FA27" s="266" t="str">
        <f t="shared" si="134"/>
        <v/>
      </c>
      <c r="FB27" s="267" t="str">
        <f t="shared" si="135"/>
        <v/>
      </c>
      <c r="FC27" s="269" t="str">
        <f t="shared" si="48"/>
        <v/>
      </c>
      <c r="FD27" s="4" t="str">
        <f t="shared" si="136"/>
        <v/>
      </c>
      <c r="FE27" s="5" t="str">
        <f t="shared" si="49"/>
        <v/>
      </c>
      <c r="FF27" s="7" t="str">
        <f t="shared" si="210"/>
        <v/>
      </c>
      <c r="FG27" s="173" t="str">
        <f t="shared" si="211"/>
        <v/>
      </c>
      <c r="FH27" s="5" t="str">
        <f t="shared" si="50"/>
        <v/>
      </c>
      <c r="FI27" s="10" t="str">
        <f t="shared" si="51"/>
        <v/>
      </c>
      <c r="FJ27" s="279" t="str">
        <f t="shared" si="212"/>
        <v/>
      </c>
      <c r="FK27" s="4" t="str">
        <f t="shared" si="52"/>
        <v/>
      </c>
      <c r="FL27" s="5" t="str">
        <f t="shared" si="213"/>
        <v/>
      </c>
      <c r="FM27" s="8" t="str">
        <f t="shared" si="214"/>
        <v/>
      </c>
      <c r="FN27" s="9" t="str">
        <f t="shared" si="215"/>
        <v/>
      </c>
      <c r="FO27" s="10" t="str">
        <f t="shared" si="53"/>
        <v/>
      </c>
      <c r="FP27" s="277" t="str">
        <f t="shared" si="54"/>
        <v/>
      </c>
      <c r="FQ27" s="173" t="str">
        <f t="shared" si="243"/>
        <v/>
      </c>
      <c r="FR27" s="10" t="str">
        <f t="shared" si="216"/>
        <v/>
      </c>
      <c r="FS27" s="9" t="str">
        <f t="shared" si="217"/>
        <v/>
      </c>
      <c r="FT27" s="6" t="str">
        <f t="shared" si="218"/>
        <v/>
      </c>
      <c r="FU27" s="4" t="str">
        <f t="shared" si="219"/>
        <v/>
      </c>
      <c r="FV27" s="5" t="str">
        <f t="shared" si="220"/>
        <v/>
      </c>
      <c r="FW27" s="8" t="str">
        <f t="shared" si="244"/>
        <v/>
      </c>
      <c r="FX27" s="9" t="str">
        <f t="shared" si="245"/>
        <v/>
      </c>
      <c r="FY27" s="10" t="str">
        <f t="shared" si="55"/>
        <v/>
      </c>
      <c r="FZ27" s="277" t="str">
        <f t="shared" si="246"/>
        <v/>
      </c>
      <c r="GA27" s="177" t="str">
        <f t="shared" si="221"/>
        <v/>
      </c>
      <c r="GB27" s="4" t="str">
        <f t="shared" si="222"/>
        <v/>
      </c>
      <c r="GC27" s="5" t="str">
        <f t="shared" si="223"/>
        <v/>
      </c>
      <c r="GD27" s="10" t="str">
        <f t="shared" si="224"/>
        <v/>
      </c>
      <c r="GE27" s="311" t="str">
        <f t="shared" si="225"/>
        <v/>
      </c>
      <c r="GF27" s="341" t="str">
        <f t="shared" si="247"/>
        <v/>
      </c>
      <c r="GG27" s="285" t="str">
        <f t="shared" si="56"/>
        <v/>
      </c>
      <c r="GH27" s="286" t="str">
        <f t="shared" si="57"/>
        <v/>
      </c>
      <c r="GI27" s="281" t="str">
        <f t="shared" si="58"/>
        <v/>
      </c>
      <c r="GJ27" s="167" t="str">
        <f t="shared" si="226"/>
        <v/>
      </c>
      <c r="GK27" s="174" t="str">
        <f t="shared" si="59"/>
        <v/>
      </c>
      <c r="GL27" s="174" t="str">
        <f t="shared" si="227"/>
        <v/>
      </c>
      <c r="GM27" s="177" t="str">
        <f t="shared" si="248"/>
        <v/>
      </c>
      <c r="GN27" s="280" t="str">
        <f t="shared" si="228"/>
        <v/>
      </c>
      <c r="GO27" s="4" t="str">
        <f t="shared" si="229"/>
        <v/>
      </c>
      <c r="GP27" s="8" t="str">
        <f t="shared" si="249"/>
        <v/>
      </c>
      <c r="GQ27" s="177" t="str">
        <f t="shared" si="230"/>
        <v/>
      </c>
      <c r="GR27" s="371" t="str">
        <f t="shared" si="250"/>
        <v/>
      </c>
      <c r="GS27" s="342" t="str">
        <f t="shared" si="61"/>
        <v/>
      </c>
      <c r="GT27" s="343" t="str">
        <f t="shared" si="62"/>
        <v/>
      </c>
      <c r="GU27" s="344" t="str">
        <f t="shared" si="63"/>
        <v/>
      </c>
      <c r="GV27" s="343" t="str">
        <f t="shared" si="252"/>
        <v/>
      </c>
      <c r="GW27" s="345" t="str">
        <f t="shared" si="64"/>
        <v/>
      </c>
      <c r="GX27" s="346" t="str">
        <f t="shared" si="65"/>
        <v/>
      </c>
      <c r="GY27" s="344" t="str">
        <f t="shared" si="66"/>
        <v/>
      </c>
      <c r="GZ27" s="345" t="str">
        <f t="shared" si="67"/>
        <v/>
      </c>
      <c r="HA27" s="342" t="str">
        <f t="shared" si="68"/>
        <v/>
      </c>
      <c r="HB27" s="5" t="str">
        <f t="shared" si="231"/>
        <v/>
      </c>
      <c r="HC27" s="343" t="str">
        <f t="shared" si="232"/>
        <v/>
      </c>
      <c r="HD27" s="363" t="str">
        <f t="shared" si="233"/>
        <v/>
      </c>
      <c r="HE27" s="344" t="str">
        <f t="shared" si="69"/>
        <v/>
      </c>
      <c r="HF27" s="5" t="str">
        <f t="shared" si="70"/>
        <v/>
      </c>
      <c r="HG27" s="343" t="str">
        <f t="shared" si="234"/>
        <v/>
      </c>
      <c r="HH27" s="349" t="str">
        <f t="shared" si="235"/>
        <v/>
      </c>
      <c r="HI27" s="317" t="str">
        <f t="shared" si="71"/>
        <v/>
      </c>
      <c r="HJ27" s="336"/>
      <c r="HK27" s="310" t="str">
        <f t="shared" si="137"/>
        <v/>
      </c>
      <c r="HL27" s="348" t="str">
        <f t="shared" si="72"/>
        <v/>
      </c>
      <c r="HM27" s="909" t="str">
        <f t="shared" si="138"/>
        <v/>
      </c>
      <c r="HN27" s="910" t="str">
        <f t="shared" si="73"/>
        <v/>
      </c>
      <c r="HO27" s="911"/>
      <c r="HP27" s="912"/>
      <c r="HQ27" s="910" t="str">
        <f t="shared" si="74"/>
        <v/>
      </c>
      <c r="HR27" s="913" t="str">
        <f t="shared" si="75"/>
        <v/>
      </c>
      <c r="HS27" s="865" t="str">
        <f t="shared" si="251"/>
        <v/>
      </c>
      <c r="HT27" s="875" t="str">
        <f t="shared" si="76"/>
        <v/>
      </c>
      <c r="HU27" s="876" t="str">
        <f t="shared" si="77"/>
        <v/>
      </c>
      <c r="HV27" s="872" t="str">
        <f t="shared" si="78"/>
        <v/>
      </c>
      <c r="HW27" s="866" t="str">
        <f t="shared" si="79"/>
        <v/>
      </c>
      <c r="HX27" s="867" t="str">
        <f t="shared" si="80"/>
        <v/>
      </c>
      <c r="HY27" s="866" t="str">
        <f t="shared" si="81"/>
        <v/>
      </c>
      <c r="HZ27" s="868" t="str">
        <f t="shared" si="82"/>
        <v/>
      </c>
      <c r="IA27" s="869" t="str">
        <f t="shared" si="83"/>
        <v/>
      </c>
      <c r="IB27" s="870" t="str">
        <f t="shared" si="84"/>
        <v/>
      </c>
      <c r="IC27" s="841" t="str">
        <f t="shared" si="85"/>
        <v/>
      </c>
      <c r="ID27" s="351" t="str">
        <f t="shared" si="86"/>
        <v/>
      </c>
      <c r="IE27" s="843" t="str">
        <f t="shared" si="87"/>
        <v/>
      </c>
      <c r="IF27" s="844"/>
      <c r="IG27" s="790" t="str">
        <f>IFERROR(IF($IW27="","",IF($IW27&lt;(((Settings!$C$19/2)*-1)*$IG$8),"Taper","Nose")),"")</f>
        <v/>
      </c>
      <c r="IH27" s="482" t="str">
        <f>IFERROR(IF((((($IY27*COS(RADIANS(180-$JA27)))*COS(RADIANS($JA27)))-(($IZ27*SIN(RADIANS(180-$JA27)))*SIN(RADIANS($JA27))))+$IW27)&lt;(((Settings!$C$19+$IH$8)/2)*-1),"Gage",""),"")</f>
        <v/>
      </c>
      <c r="II27" s="788">
        <f t="shared" si="236"/>
        <v>2.1160000000000001</v>
      </c>
      <c r="IJ27" s="674" t="str" cm="1">
        <f t="array" ref="IJ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K27" s="677" t="str" cm="1">
        <f t="array" ref="IK27">IFERROR(ROUND(VALUE(IF($IJ27&lt;1,$IJ27+LARGE((IF($M$9:$M$150="",0,$M$9:$M$150)-MOD(IF($M$9:$M$150="",0,$M$9:$M$150),1)),1),$IJ27)),4),"")</f>
        <v/>
      </c>
      <c r="IL27" s="482">
        <f t="shared" si="88"/>
        <v>1613</v>
      </c>
      <c r="IM27" s="482" t="str">
        <f t="shared" si="237"/>
        <v/>
      </c>
      <c r="IN27" s="670" t="str">
        <f t="shared" si="90"/>
        <v/>
      </c>
      <c r="IO27" s="702"/>
      <c r="IP27" s="5" t="str">
        <f t="shared" si="91"/>
        <v/>
      </c>
      <c r="IQ27" s="714"/>
      <c r="IR27" s="9" t="str">
        <f t="shared" si="139"/>
        <v/>
      </c>
      <c r="IS27" s="5" t="str">
        <f t="shared" si="92"/>
        <v/>
      </c>
      <c r="IT27" s="5" t="str">
        <f t="shared" si="93"/>
        <v/>
      </c>
      <c r="IU27" s="5" t="str">
        <f t="shared" si="94"/>
        <v/>
      </c>
      <c r="IV27" s="670" t="str">
        <f t="shared" si="95"/>
        <v/>
      </c>
      <c r="IW27" s="9" t="str">
        <f t="shared" si="96"/>
        <v/>
      </c>
      <c r="IX27" s="5" t="str">
        <f t="shared" si="97"/>
        <v/>
      </c>
      <c r="IY27" s="5" t="str">
        <f t="shared" si="98"/>
        <v/>
      </c>
      <c r="IZ27" s="5" t="str">
        <f t="shared" si="99"/>
        <v/>
      </c>
      <c r="JA27" s="705" t="str">
        <f t="shared" si="100"/>
        <v/>
      </c>
      <c r="JC27" s="739"/>
      <c r="JD27" s="797" t="str" cm="1">
        <f t="array" ref="JD27">IF($JC27="","",COUNT(IF(IF($IK$9:$IK$150&lt;&gt;"",$IM$9:$IM$150,"")=$JC27,$II$9:$II$150,"")))</f>
        <v/>
      </c>
      <c r="JE27" s="5"/>
      <c r="JF27" s="5"/>
      <c r="JG27" s="10"/>
      <c r="JH27" s="236"/>
      <c r="JI27" s="744"/>
      <c r="JJ27" s="728"/>
      <c r="JK27" s="744"/>
    </row>
    <row r="28" spans="1:271" ht="15" customHeight="1" x14ac:dyDescent="0.25">
      <c r="A28" s="75">
        <f t="shared" si="1"/>
        <v>0.02</v>
      </c>
      <c r="B28" s="578">
        <f t="shared" si="2"/>
        <v>3.5808872582229538</v>
      </c>
      <c r="C28" s="572">
        <f t="shared" si="3"/>
        <v>1.6027185324881945</v>
      </c>
      <c r="D28" s="576">
        <f t="shared" si="4"/>
        <v>-0.3574623281411074</v>
      </c>
      <c r="E28" s="580">
        <f t="shared" si="5"/>
        <v>-0.25272732194607628</v>
      </c>
      <c r="F28" s="572">
        <f t="shared" si="6"/>
        <v>0.92967683750431518</v>
      </c>
      <c r="G28" s="579">
        <f t="shared" si="7"/>
        <v>0.26801096721951434</v>
      </c>
      <c r="H28" s="580">
        <f t="shared" si="8"/>
        <v>0.3125</v>
      </c>
      <c r="I28" s="572">
        <f t="shared" si="9"/>
        <v>0.52</v>
      </c>
      <c r="J28" s="483">
        <f t="shared" si="10"/>
        <v>2.1219999999999999</v>
      </c>
      <c r="K28" s="806">
        <f t="shared" si="11"/>
        <v>1613</v>
      </c>
      <c r="L28" s="82"/>
      <c r="M28" s="164">
        <f t="shared" si="12"/>
        <v>2.1219999999999999</v>
      </c>
      <c r="N28" s="575">
        <f t="shared" si="13"/>
        <v>3.5808872582229538</v>
      </c>
      <c r="O28" s="572">
        <f t="shared" si="14"/>
        <v>1.6027185324881945</v>
      </c>
      <c r="P28" s="576">
        <f t="shared" si="15"/>
        <v>-0.3574623281411074</v>
      </c>
      <c r="Q28" s="528">
        <f t="shared" si="140"/>
        <v>24.112134917322567</v>
      </c>
      <c r="R28" s="572">
        <f t="shared" si="101"/>
        <v>3.923195158347927</v>
      </c>
      <c r="S28" s="577">
        <f t="shared" si="102"/>
        <v>-0.3574623281411074</v>
      </c>
      <c r="T28" s="578">
        <f t="shared" si="103"/>
        <v>1.6297274609936201</v>
      </c>
      <c r="U28" s="572">
        <f t="shared" si="104"/>
        <v>-3.5686760364829846</v>
      </c>
      <c r="V28" s="579">
        <f t="shared" si="141"/>
        <v>-0.3574623281411074</v>
      </c>
      <c r="W28" s="528">
        <f t="shared" si="253"/>
        <v>294.54502576319356</v>
      </c>
      <c r="X28" s="572">
        <f t="shared" si="105"/>
        <v>3.923195158347927</v>
      </c>
      <c r="Y28" s="573">
        <f t="shared" si="255"/>
        <v>-0.3574623281411074</v>
      </c>
      <c r="Z28" s="575">
        <f t="shared" si="18"/>
        <v>0.25272732194607628</v>
      </c>
      <c r="AA28" s="572">
        <f t="shared" si="19"/>
        <v>-0.92967683750431518</v>
      </c>
      <c r="AB28" s="572">
        <f t="shared" si="20"/>
        <v>-0.26801096721951434</v>
      </c>
      <c r="AC28" s="579">
        <f t="shared" si="106"/>
        <v>1</v>
      </c>
      <c r="AD28" s="580">
        <f t="shared" si="142"/>
        <v>0.25272732194607628</v>
      </c>
      <c r="AE28" s="572">
        <f t="shared" si="107"/>
        <v>-0.92967683750431518</v>
      </c>
      <c r="AF28" s="576">
        <f t="shared" si="108"/>
        <v>-0.26801096721951434</v>
      </c>
      <c r="AG28" s="545">
        <f t="shared" si="109"/>
        <v>-73.918574333514186</v>
      </c>
      <c r="AH28" s="546">
        <f t="shared" si="110"/>
        <v>75.361040066363785</v>
      </c>
      <c r="AI28" s="528">
        <f t="shared" si="111"/>
        <v>-74.454057970498724</v>
      </c>
      <c r="AJ28" s="529">
        <f t="shared" si="112"/>
        <v>15.208018413848228</v>
      </c>
      <c r="AK28" s="578">
        <f t="shared" si="238"/>
        <v>0.951805493613464</v>
      </c>
      <c r="AL28" s="572">
        <f t="shared" si="113"/>
        <v>-0.14911882435591647</v>
      </c>
      <c r="AM28" s="577">
        <f t="shared" si="114"/>
        <v>-0.26801096721951434</v>
      </c>
      <c r="AN28" s="524">
        <f t="shared" si="115"/>
        <v>-29.091158349317926</v>
      </c>
      <c r="AO28" s="525">
        <f t="shared" si="116"/>
        <v>17.860607850540081</v>
      </c>
      <c r="AP28" s="528">
        <f t="shared" si="117"/>
        <v>-8.9041165034743361</v>
      </c>
      <c r="AQ28" s="529">
        <f t="shared" si="21"/>
        <v>1.1620192035151058</v>
      </c>
      <c r="AS28" s="932">
        <f t="shared" si="143"/>
        <v>294.54502576319356</v>
      </c>
      <c r="AT28" s="928">
        <f t="shared" si="22"/>
        <v>-0.27027722255353925</v>
      </c>
      <c r="AU28" s="418"/>
      <c r="AV28" s="164" t="str">
        <f t="shared" si="23"/>
        <v/>
      </c>
      <c r="AW28" s="829" t="str">
        <f>IFERROR(INDEX(MassProp!C$9:C$150,MATCH($M28,MassProp!$B$9:$B$150,0)),"")</f>
        <v/>
      </c>
      <c r="AX28" s="830" t="str">
        <f>IFERROR(INDEX(MassProp!D$9:D$150,MATCH($M28,MassProp!$B$9:$B$150,0)),"")</f>
        <v/>
      </c>
      <c r="AY28" s="831" t="str">
        <f>IFERROR(INDEX(MassProp!E$9:E$150,MATCH($M28,MassProp!$B$9:$B$150,0)),"")</f>
        <v/>
      </c>
      <c r="AZ28" s="297" t="str">
        <f t="shared" si="144"/>
        <v/>
      </c>
      <c r="BA28" s="296" t="str">
        <f t="shared" si="24"/>
        <v/>
      </c>
      <c r="BB28" s="190" t="str">
        <f t="shared" si="145"/>
        <v/>
      </c>
      <c r="BC28" s="9"/>
      <c r="BD28" s="5" t="str">
        <f t="shared" si="146"/>
        <v/>
      </c>
      <c r="BE28" s="6" t="str">
        <f t="shared" si="25"/>
        <v/>
      </c>
      <c r="BF28" s="4" t="str">
        <f t="shared" si="26"/>
        <v/>
      </c>
      <c r="BG28" s="5" t="str">
        <f t="shared" si="27"/>
        <v/>
      </c>
      <c r="BH28" s="10" t="str">
        <f t="shared" si="28"/>
        <v/>
      </c>
      <c r="BI28" s="9" t="str">
        <f t="shared" si="147"/>
        <v/>
      </c>
      <c r="BJ28" s="5" t="str">
        <f t="shared" si="29"/>
        <v/>
      </c>
      <c r="BK28" s="8" t="str">
        <f t="shared" si="30"/>
        <v/>
      </c>
      <c r="BL28" s="173" t="str">
        <f t="shared" si="31"/>
        <v/>
      </c>
      <c r="BM28" s="5" t="str">
        <f t="shared" si="32"/>
        <v/>
      </c>
      <c r="BN28" s="6" t="str">
        <f t="shared" si="33"/>
        <v/>
      </c>
      <c r="BO28" s="4" t="str">
        <f t="shared" si="148"/>
        <v/>
      </c>
      <c r="BP28" s="5" t="str">
        <f t="shared" si="239"/>
        <v/>
      </c>
      <c r="BQ28" s="5" t="str">
        <f t="shared" si="149"/>
        <v/>
      </c>
      <c r="BR28" s="6" t="str">
        <f t="shared" si="150"/>
        <v/>
      </c>
      <c r="BS28" s="4" t="str">
        <f t="shared" si="118"/>
        <v/>
      </c>
      <c r="BT28" s="5" t="str">
        <f t="shared" si="118"/>
        <v/>
      </c>
      <c r="BU28" s="10" t="str">
        <f t="shared" si="119"/>
        <v/>
      </c>
      <c r="BV28" s="9" t="str">
        <f t="shared" si="120"/>
        <v/>
      </c>
      <c r="BW28" s="5" t="str">
        <f t="shared" si="121"/>
        <v/>
      </c>
      <c r="BX28" s="8" t="str">
        <f t="shared" si="122"/>
        <v/>
      </c>
      <c r="BY28" s="173" t="str">
        <f t="shared" si="123"/>
        <v/>
      </c>
      <c r="BZ28" s="5" t="str">
        <f t="shared" si="124"/>
        <v/>
      </c>
      <c r="CA28" s="6" t="str">
        <f t="shared" si="125"/>
        <v/>
      </c>
      <c r="CB28" s="4" t="str">
        <f t="shared" si="151"/>
        <v/>
      </c>
      <c r="CC28" s="5" t="str">
        <f t="shared" si="152"/>
        <v/>
      </c>
      <c r="CD28" s="5" t="str">
        <f t="shared" si="153"/>
        <v/>
      </c>
      <c r="CE28" s="6" t="str">
        <f t="shared" si="154"/>
        <v/>
      </c>
      <c r="CF28" s="4" t="str">
        <f t="shared" si="155"/>
        <v/>
      </c>
      <c r="CG28" s="5" t="str">
        <f t="shared" si="156"/>
        <v/>
      </c>
      <c r="CH28" s="5" t="str">
        <f t="shared" si="157"/>
        <v/>
      </c>
      <c r="CI28" s="4" t="str">
        <f t="shared" si="126"/>
        <v/>
      </c>
      <c r="CJ28" s="5" t="str">
        <f t="shared" si="127"/>
        <v/>
      </c>
      <c r="CK28" s="8" t="str">
        <f t="shared" si="128"/>
        <v/>
      </c>
      <c r="CL28" s="173" t="str">
        <f t="shared" si="129"/>
        <v/>
      </c>
      <c r="CM28" s="5" t="str">
        <f t="shared" si="130"/>
        <v/>
      </c>
      <c r="CN28" s="6" t="str">
        <f t="shared" si="131"/>
        <v/>
      </c>
      <c r="CO28" s="167" t="str">
        <f t="shared" si="35"/>
        <v/>
      </c>
      <c r="CP28" s="4" t="str">
        <f t="shared" si="240"/>
        <v/>
      </c>
      <c r="CQ28" s="5" t="str">
        <f t="shared" si="241"/>
        <v/>
      </c>
      <c r="CR28" s="5" t="str">
        <f t="shared" si="158"/>
        <v/>
      </c>
      <c r="CS28" s="8" t="str">
        <f t="shared" si="159"/>
        <v/>
      </c>
      <c r="CT28" s="9" t="str">
        <f t="shared" si="160"/>
        <v/>
      </c>
      <c r="CU28" s="6" t="str">
        <f t="shared" si="161"/>
        <v/>
      </c>
      <c r="CV28" s="4" t="str">
        <f t="shared" si="242"/>
        <v/>
      </c>
      <c r="CW28" s="5" t="str">
        <f t="shared" si="162"/>
        <v/>
      </c>
      <c r="CX28" s="8" t="str">
        <f t="shared" si="163"/>
        <v/>
      </c>
      <c r="CY28" s="9" t="str">
        <f t="shared" si="164"/>
        <v/>
      </c>
      <c r="CZ28" s="5" t="str">
        <f t="shared" si="165"/>
        <v/>
      </c>
      <c r="DA28" s="6" t="str">
        <f t="shared" si="166"/>
        <v/>
      </c>
      <c r="DB28" s="4" t="str">
        <f t="shared" si="167"/>
        <v/>
      </c>
      <c r="DC28" s="5" t="str">
        <f t="shared" si="167"/>
        <v/>
      </c>
      <c r="DD28" s="10" t="str">
        <f t="shared" si="168"/>
        <v/>
      </c>
      <c r="DE28" s="9" t="str">
        <f t="shared" si="169"/>
        <v/>
      </c>
      <c r="DF28" s="5" t="str">
        <f t="shared" si="169"/>
        <v/>
      </c>
      <c r="DG28" s="10" t="str">
        <f t="shared" si="170"/>
        <v/>
      </c>
      <c r="DH28" s="70" t="str">
        <f t="shared" si="171"/>
        <v/>
      </c>
      <c r="DI28" s="4" t="str">
        <f t="shared" si="172"/>
        <v/>
      </c>
      <c r="DJ28" s="5" t="str">
        <f t="shared" si="173"/>
        <v/>
      </c>
      <c r="DK28" s="10" t="str">
        <f t="shared" si="174"/>
        <v/>
      </c>
      <c r="DL28" s="9" t="str">
        <f t="shared" si="175"/>
        <v/>
      </c>
      <c r="DM28" s="173" t="str">
        <f t="shared" si="176"/>
        <v/>
      </c>
      <c r="DN28" s="178" t="str">
        <f t="shared" si="177"/>
        <v/>
      </c>
      <c r="DO28" s="9" t="str">
        <f t="shared" si="178"/>
        <v/>
      </c>
      <c r="DP28" s="173" t="str">
        <f t="shared" si="179"/>
        <v/>
      </c>
      <c r="DQ28" s="11" t="str">
        <f t="shared" si="180"/>
        <v/>
      </c>
      <c r="DR28" s="173" t="str">
        <f t="shared" si="181"/>
        <v/>
      </c>
      <c r="DS28" s="5" t="str">
        <f t="shared" si="182"/>
        <v/>
      </c>
      <c r="DT28" s="5" t="str">
        <f t="shared" si="183"/>
        <v/>
      </c>
      <c r="DU28" s="5" t="str">
        <f t="shared" si="184"/>
        <v/>
      </c>
      <c r="DV28" s="5" t="str">
        <f t="shared" si="185"/>
        <v/>
      </c>
      <c r="DW28" s="5" t="str">
        <f t="shared" si="186"/>
        <v/>
      </c>
      <c r="DX28" s="167" t="str">
        <f t="shared" si="187"/>
        <v/>
      </c>
      <c r="DY28" s="9" t="str">
        <f t="shared" si="188"/>
        <v/>
      </c>
      <c r="DZ28" s="5" t="str">
        <f t="shared" si="189"/>
        <v/>
      </c>
      <c r="EA28" s="10" t="str">
        <f t="shared" si="190"/>
        <v/>
      </c>
      <c r="EB28" s="6" t="str">
        <f t="shared" si="191"/>
        <v/>
      </c>
      <c r="EC28" s="173" t="str">
        <f t="shared" si="192"/>
        <v/>
      </c>
      <c r="ED28" s="5" t="str">
        <f t="shared" si="193"/>
        <v/>
      </c>
      <c r="EE28" s="4" t="str">
        <f t="shared" si="194"/>
        <v/>
      </c>
      <c r="EF28" s="5" t="str">
        <f t="shared" si="195"/>
        <v/>
      </c>
      <c r="EG28" s="10" t="str">
        <f t="shared" si="196"/>
        <v/>
      </c>
      <c r="EH28" s="9" t="str">
        <f t="shared" si="197"/>
        <v/>
      </c>
      <c r="EI28" s="5" t="str">
        <f t="shared" si="198"/>
        <v/>
      </c>
      <c r="EJ28" s="6" t="str">
        <f t="shared" si="199"/>
        <v/>
      </c>
      <c r="EK28" s="236" t="str">
        <f t="shared" si="200"/>
        <v/>
      </c>
      <c r="EL28" s="238" t="str">
        <f t="shared" si="201"/>
        <v/>
      </c>
      <c r="EM28" s="4" t="str">
        <f t="shared" si="202"/>
        <v/>
      </c>
      <c r="EN28" s="5" t="str">
        <f t="shared" si="203"/>
        <v/>
      </c>
      <c r="EO28" s="10" t="str">
        <f t="shared" si="204"/>
        <v/>
      </c>
      <c r="EP28" s="9" t="str">
        <f t="shared" si="205"/>
        <v/>
      </c>
      <c r="EQ28" s="5" t="str">
        <f t="shared" si="206"/>
        <v/>
      </c>
      <c r="ER28" s="7" t="str">
        <f t="shared" si="207"/>
        <v/>
      </c>
      <c r="ES28" s="21" t="str">
        <f t="shared" si="132"/>
        <v/>
      </c>
      <c r="ET28" s="5" t="str">
        <f t="shared" si="44"/>
        <v/>
      </c>
      <c r="EU28" s="10" t="str">
        <f t="shared" si="45"/>
        <v/>
      </c>
      <c r="EV28" s="174" t="str">
        <f t="shared" si="254"/>
        <v/>
      </c>
      <c r="EW28" s="9" t="str">
        <f t="shared" si="133"/>
        <v/>
      </c>
      <c r="EX28" s="5" t="str">
        <f t="shared" si="47"/>
        <v/>
      </c>
      <c r="EY28" s="6" t="str">
        <f t="shared" si="208"/>
        <v/>
      </c>
      <c r="EZ28" s="51" t="str">
        <f t="shared" si="209"/>
        <v/>
      </c>
      <c r="FA28" s="266" t="str">
        <f t="shared" si="134"/>
        <v/>
      </c>
      <c r="FB28" s="267" t="str">
        <f t="shared" si="135"/>
        <v/>
      </c>
      <c r="FC28" s="269" t="str">
        <f t="shared" si="48"/>
        <v/>
      </c>
      <c r="FD28" s="4" t="str">
        <f t="shared" si="136"/>
        <v/>
      </c>
      <c r="FE28" s="5" t="str">
        <f t="shared" si="49"/>
        <v/>
      </c>
      <c r="FF28" s="7" t="str">
        <f t="shared" si="210"/>
        <v/>
      </c>
      <c r="FG28" s="173" t="str">
        <f t="shared" si="211"/>
        <v/>
      </c>
      <c r="FH28" s="5" t="str">
        <f t="shared" si="50"/>
        <v/>
      </c>
      <c r="FI28" s="10" t="str">
        <f t="shared" si="51"/>
        <v/>
      </c>
      <c r="FJ28" s="279" t="str">
        <f t="shared" si="212"/>
        <v/>
      </c>
      <c r="FK28" s="4" t="str">
        <f t="shared" si="52"/>
        <v/>
      </c>
      <c r="FL28" s="5" t="str">
        <f t="shared" si="213"/>
        <v/>
      </c>
      <c r="FM28" s="8" t="str">
        <f t="shared" si="214"/>
        <v/>
      </c>
      <c r="FN28" s="9" t="str">
        <f t="shared" si="215"/>
        <v/>
      </c>
      <c r="FO28" s="10" t="str">
        <f t="shared" si="53"/>
        <v/>
      </c>
      <c r="FP28" s="277" t="str">
        <f t="shared" si="54"/>
        <v/>
      </c>
      <c r="FQ28" s="173" t="str">
        <f t="shared" si="243"/>
        <v/>
      </c>
      <c r="FR28" s="10" t="str">
        <f t="shared" si="216"/>
        <v/>
      </c>
      <c r="FS28" s="9" t="str">
        <f t="shared" si="217"/>
        <v/>
      </c>
      <c r="FT28" s="6" t="str">
        <f t="shared" si="218"/>
        <v/>
      </c>
      <c r="FU28" s="4" t="str">
        <f t="shared" si="219"/>
        <v/>
      </c>
      <c r="FV28" s="5" t="str">
        <f t="shared" si="220"/>
        <v/>
      </c>
      <c r="FW28" s="8" t="str">
        <f t="shared" si="244"/>
        <v/>
      </c>
      <c r="FX28" s="9" t="str">
        <f t="shared" si="245"/>
        <v/>
      </c>
      <c r="FY28" s="10" t="str">
        <f t="shared" si="55"/>
        <v/>
      </c>
      <c r="FZ28" s="277" t="str">
        <f t="shared" si="246"/>
        <v/>
      </c>
      <c r="GA28" s="177" t="str">
        <f t="shared" si="221"/>
        <v/>
      </c>
      <c r="GB28" s="4" t="str">
        <f t="shared" si="222"/>
        <v/>
      </c>
      <c r="GC28" s="5" t="str">
        <f t="shared" si="223"/>
        <v/>
      </c>
      <c r="GD28" s="10" t="str">
        <f t="shared" si="224"/>
        <v/>
      </c>
      <c r="GE28" s="311" t="str">
        <f t="shared" si="225"/>
        <v/>
      </c>
      <c r="GF28" s="341" t="str">
        <f t="shared" si="247"/>
        <v/>
      </c>
      <c r="GG28" s="285" t="str">
        <f t="shared" si="56"/>
        <v/>
      </c>
      <c r="GH28" s="286" t="str">
        <f t="shared" si="57"/>
        <v/>
      </c>
      <c r="GI28" s="281" t="str">
        <f t="shared" si="58"/>
        <v/>
      </c>
      <c r="GJ28" s="167" t="str">
        <f t="shared" si="226"/>
        <v/>
      </c>
      <c r="GK28" s="174" t="str">
        <f t="shared" si="59"/>
        <v/>
      </c>
      <c r="GL28" s="174" t="str">
        <f t="shared" si="227"/>
        <v/>
      </c>
      <c r="GM28" s="177" t="str">
        <f t="shared" si="248"/>
        <v/>
      </c>
      <c r="GN28" s="280" t="str">
        <f t="shared" si="228"/>
        <v/>
      </c>
      <c r="GO28" s="4" t="str">
        <f t="shared" si="229"/>
        <v/>
      </c>
      <c r="GP28" s="8" t="str">
        <f t="shared" si="249"/>
        <v/>
      </c>
      <c r="GQ28" s="177" t="str">
        <f t="shared" si="230"/>
        <v/>
      </c>
      <c r="GR28" s="371" t="str">
        <f t="shared" si="250"/>
        <v/>
      </c>
      <c r="GS28" s="342" t="str">
        <f t="shared" si="61"/>
        <v/>
      </c>
      <c r="GT28" s="343" t="str">
        <f t="shared" si="62"/>
        <v/>
      </c>
      <c r="GU28" s="344" t="str">
        <f t="shared" si="63"/>
        <v/>
      </c>
      <c r="GV28" s="343" t="str">
        <f t="shared" si="252"/>
        <v/>
      </c>
      <c r="GW28" s="345" t="str">
        <f t="shared" si="64"/>
        <v/>
      </c>
      <c r="GX28" s="346" t="str">
        <f t="shared" si="65"/>
        <v/>
      </c>
      <c r="GY28" s="344" t="str">
        <f t="shared" si="66"/>
        <v/>
      </c>
      <c r="GZ28" s="345" t="str">
        <f t="shared" si="67"/>
        <v/>
      </c>
      <c r="HA28" s="342" t="str">
        <f t="shared" si="68"/>
        <v/>
      </c>
      <c r="HB28" s="5" t="str">
        <f t="shared" si="231"/>
        <v/>
      </c>
      <c r="HC28" s="343" t="str">
        <f t="shared" si="232"/>
        <v/>
      </c>
      <c r="HD28" s="363" t="str">
        <f t="shared" si="233"/>
        <v/>
      </c>
      <c r="HE28" s="344" t="str">
        <f t="shared" si="69"/>
        <v/>
      </c>
      <c r="HF28" s="5" t="str">
        <f t="shared" si="70"/>
        <v/>
      </c>
      <c r="HG28" s="343" t="str">
        <f t="shared" si="234"/>
        <v/>
      </c>
      <c r="HH28" s="349" t="str">
        <f t="shared" si="235"/>
        <v/>
      </c>
      <c r="HI28" s="317" t="str">
        <f t="shared" si="71"/>
        <v/>
      </c>
      <c r="HJ28" s="336"/>
      <c r="HK28" s="310" t="str">
        <f t="shared" si="137"/>
        <v/>
      </c>
      <c r="HL28" s="348" t="str">
        <f t="shared" si="72"/>
        <v/>
      </c>
      <c r="HM28" s="909" t="str">
        <f t="shared" si="138"/>
        <v/>
      </c>
      <c r="HN28" s="910" t="str">
        <f t="shared" si="73"/>
        <v/>
      </c>
      <c r="HO28" s="911"/>
      <c r="HP28" s="912"/>
      <c r="HQ28" s="910" t="str">
        <f t="shared" si="74"/>
        <v/>
      </c>
      <c r="HR28" s="913" t="str">
        <f t="shared" si="75"/>
        <v/>
      </c>
      <c r="HS28" s="865" t="str">
        <f t="shared" si="251"/>
        <v/>
      </c>
      <c r="HT28" s="875" t="str">
        <f t="shared" si="76"/>
        <v/>
      </c>
      <c r="HU28" s="876" t="str">
        <f t="shared" si="77"/>
        <v/>
      </c>
      <c r="HV28" s="872" t="str">
        <f t="shared" si="78"/>
        <v/>
      </c>
      <c r="HW28" s="866" t="str">
        <f t="shared" si="79"/>
        <v/>
      </c>
      <c r="HX28" s="867" t="str">
        <f t="shared" si="80"/>
        <v/>
      </c>
      <c r="HY28" s="866" t="str">
        <f t="shared" si="81"/>
        <v/>
      </c>
      <c r="HZ28" s="868" t="str">
        <f t="shared" si="82"/>
        <v/>
      </c>
      <c r="IA28" s="869" t="str">
        <f t="shared" si="83"/>
        <v/>
      </c>
      <c r="IB28" s="870" t="str">
        <f t="shared" si="84"/>
        <v/>
      </c>
      <c r="IC28" s="841" t="str">
        <f t="shared" si="85"/>
        <v/>
      </c>
      <c r="ID28" s="351" t="str">
        <f t="shared" si="86"/>
        <v/>
      </c>
      <c r="IE28" s="843" t="str">
        <f t="shared" si="87"/>
        <v/>
      </c>
      <c r="IF28" s="844"/>
      <c r="IG28" s="790" t="str">
        <f>IFERROR(IF($IW28="","",IF($IW28&lt;(((Settings!$C$19/2)*-1)*$IG$8),"Taper","Nose")),"")</f>
        <v/>
      </c>
      <c r="IH28" s="482" t="str">
        <f>IFERROR(IF((((($IY28*COS(RADIANS(180-$JA28)))*COS(RADIANS($JA28)))-(($IZ28*SIN(RADIANS(180-$JA28)))*SIN(RADIANS($JA28))))+$IW28)&lt;(((Settings!$C$19+$IH$8)/2)*-1),"Gage",""),"")</f>
        <v/>
      </c>
      <c r="II28" s="788">
        <f t="shared" si="236"/>
        <v>2.1219999999999999</v>
      </c>
      <c r="IJ28" s="674" t="str" cm="1">
        <f t="array" ref="IJ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K28" s="677" t="str" cm="1">
        <f t="array" ref="IK28">IFERROR(ROUND(VALUE(IF($IJ28&lt;1,$IJ28+LARGE((IF($M$9:$M$150="",0,$M$9:$M$150)-MOD(IF($M$9:$M$150="",0,$M$9:$M$150),1)),1),$IJ28)),4),"")</f>
        <v/>
      </c>
      <c r="IL28" s="482">
        <f t="shared" si="88"/>
        <v>1613</v>
      </c>
      <c r="IM28" s="482" t="str">
        <f t="shared" si="237"/>
        <v/>
      </c>
      <c r="IN28" s="670" t="str">
        <f t="shared" si="90"/>
        <v/>
      </c>
      <c r="IO28" s="702"/>
      <c r="IP28" s="5" t="str">
        <f t="shared" si="91"/>
        <v/>
      </c>
      <c r="IQ28" s="714"/>
      <c r="IR28" s="9" t="str">
        <f t="shared" si="139"/>
        <v/>
      </c>
      <c r="IS28" s="5" t="str">
        <f t="shared" si="92"/>
        <v/>
      </c>
      <c r="IT28" s="5" t="str">
        <f t="shared" si="93"/>
        <v/>
      </c>
      <c r="IU28" s="5" t="str">
        <f t="shared" si="94"/>
        <v/>
      </c>
      <c r="IV28" s="670" t="str">
        <f t="shared" si="95"/>
        <v/>
      </c>
      <c r="IW28" s="9" t="str">
        <f t="shared" si="96"/>
        <v/>
      </c>
      <c r="IX28" s="5" t="str">
        <f t="shared" si="97"/>
        <v/>
      </c>
      <c r="IY28" s="5" t="str">
        <f t="shared" si="98"/>
        <v/>
      </c>
      <c r="IZ28" s="5" t="str">
        <f t="shared" si="99"/>
        <v/>
      </c>
      <c r="JA28" s="705" t="str">
        <f t="shared" si="100"/>
        <v/>
      </c>
      <c r="JC28" s="740"/>
      <c r="JD28" s="798" t="str" cm="1">
        <f t="array" ref="JD28">IF($JC28="","",COUNT(IF(IF($IK$9:$IK$150&lt;&gt;"",$IM$9:$IM$150,"")=$JC28,$II$9:$II$150,"")))</f>
        <v/>
      </c>
      <c r="JE28" s="175"/>
      <c r="JF28" s="175"/>
      <c r="JG28" s="795"/>
      <c r="JH28" s="738"/>
      <c r="JI28" s="98"/>
      <c r="JJ28" s="729"/>
      <c r="JK28" s="98"/>
    </row>
    <row r="29" spans="1:271" ht="15" customHeight="1" x14ac:dyDescent="0.25">
      <c r="A29" s="75">
        <f t="shared" si="1"/>
        <v>0.02</v>
      </c>
      <c r="B29" s="578">
        <f t="shared" si="2"/>
        <v>4.1467013773939261</v>
      </c>
      <c r="C29" s="572">
        <f t="shared" si="3"/>
        <v>1.7953650098070881</v>
      </c>
      <c r="D29" s="576">
        <f t="shared" si="4"/>
        <v>-0.83989448125825528</v>
      </c>
      <c r="E29" s="580">
        <f t="shared" si="5"/>
        <v>-0.11607374711675919</v>
      </c>
      <c r="F29" s="572">
        <f t="shared" si="6"/>
        <v>0.96140007413286788</v>
      </c>
      <c r="G29" s="579">
        <f t="shared" si="7"/>
        <v>0.24947300993813104</v>
      </c>
      <c r="H29" s="580">
        <f t="shared" si="8"/>
        <v>0.3125</v>
      </c>
      <c r="I29" s="572">
        <f t="shared" si="9"/>
        <v>0.52</v>
      </c>
      <c r="J29" s="483">
        <f t="shared" si="10"/>
        <v>2.1280000000000001</v>
      </c>
      <c r="K29" s="806">
        <f t="shared" si="11"/>
        <v>1613</v>
      </c>
      <c r="L29" s="82"/>
      <c r="M29" s="164">
        <f t="shared" si="12"/>
        <v>2.1280000000000001</v>
      </c>
      <c r="N29" s="575">
        <f t="shared" si="13"/>
        <v>4.1467013773939261</v>
      </c>
      <c r="O29" s="572">
        <f t="shared" si="14"/>
        <v>1.7953650098070881</v>
      </c>
      <c r="P29" s="576">
        <f t="shared" si="15"/>
        <v>-0.83989448125825528</v>
      </c>
      <c r="Q29" s="528">
        <f t="shared" si="140"/>
        <v>23.410788414907923</v>
      </c>
      <c r="R29" s="572">
        <f>IF(M29="","",SQRT(N29^2+O29^2))</f>
        <v>4.5186798771013077</v>
      </c>
      <c r="S29" s="577">
        <f>IF(M29="","",P29)</f>
        <v>-0.83989448125825528</v>
      </c>
      <c r="T29" s="578">
        <f>IF(M29="","",X29*COS(RADIANS(W29)))</f>
        <v>1.8266433345274051</v>
      </c>
      <c r="U29" s="572">
        <f>IF(M29="","",X29*SIN(RADIANS(W29)))</f>
        <v>-4.1330185046944674</v>
      </c>
      <c r="V29" s="579">
        <f>IF(M29="","",Y29)</f>
        <v>-0.83989448125825528</v>
      </c>
      <c r="W29" s="528">
        <f t="shared" si="253"/>
        <v>293.84367926077891</v>
      </c>
      <c r="X29" s="572">
        <f>IF(M29="","",R29)</f>
        <v>4.5186798771013077</v>
      </c>
      <c r="Y29" s="573">
        <f t="shared" si="255"/>
        <v>-0.83989448125825528</v>
      </c>
      <c r="Z29" s="575">
        <f t="shared" si="18"/>
        <v>0.11607374711675919</v>
      </c>
      <c r="AA29" s="572">
        <f t="shared" si="19"/>
        <v>-0.96140007413286788</v>
      </c>
      <c r="AB29" s="572">
        <f t="shared" si="20"/>
        <v>-0.24947300993813104</v>
      </c>
      <c r="AC29" s="579">
        <f>IF(M29="","",SQRT(Z29^2+AA29^2+AB29^2))</f>
        <v>1</v>
      </c>
      <c r="AD29" s="580">
        <f>IF(M29="","",Z29*(1/SQRT(Z29^2+AA29^2+AB29^2)))</f>
        <v>0.11607374711675919</v>
      </c>
      <c r="AE29" s="572">
        <f>IF(M29="","",AA29*(1/SQRT(Z29^2+AA29^2+AB29^2)))</f>
        <v>-0.96140007413286788</v>
      </c>
      <c r="AF29" s="576">
        <f>IF(M29="","",AB29*(1/SQRT(Z29^2+AA29^2+AB29^2)))</f>
        <v>-0.24947300993813104</v>
      </c>
      <c r="AG29" s="545">
        <f>IF(M29="","",DEGREES(ATAN2(-AF29,AE29)))</f>
        <v>-75.453196618146492</v>
      </c>
      <c r="AH29" s="546">
        <f>IF(M29="","",DEGREES(ACOS(AD29)))</f>
        <v>83.334438996887584</v>
      </c>
      <c r="AI29" s="528">
        <f>IF(M29="","",DEGREES(-ACOS(-AF29)))</f>
        <v>-75.553670170271147</v>
      </c>
      <c r="AJ29" s="529">
        <f>IF(M29="","",DEGREES(ATAN2(-AE29,AD29)))</f>
        <v>6.8842320564283739</v>
      </c>
      <c r="AK29" s="578">
        <f>IF(M29="","",(COS(RADIANS((90-$Q$8)-W29))*AD29)+(-SIN(RADIANS((90-$Q$8)-W29))*AE29))</f>
        <v>0.92837595710698773</v>
      </c>
      <c r="AL29" s="572">
        <f>IF(M29="","",(SIN(RADIANS((90-$Q$8)-W29))*AD29)+(COS(RADIANS((90-$Q$8)-W29))*AE29))</f>
        <v>-0.27546560507274542</v>
      </c>
      <c r="AM29" s="577">
        <f>IF(M29="","",AF29)</f>
        <v>-0.24947300993813104</v>
      </c>
      <c r="AN29" s="524">
        <f>IF(M29="","",DEGREES(ATAN2(-AM29,AL29)))</f>
        <v>-47.834713669325687</v>
      </c>
      <c r="AO29" s="525">
        <f t="shared" si="116"/>
        <v>21.816944784593154</v>
      </c>
      <c r="AP29" s="528">
        <f>IF(M29="","",DEGREES(ATAN2(AK29,AL29)))</f>
        <v>-16.526556358479532</v>
      </c>
      <c r="AQ29" s="529">
        <f t="shared" si="21"/>
        <v>1.0089190029015089</v>
      </c>
      <c r="AS29" s="932">
        <f t="shared" si="143"/>
        <v>293.84367926077891</v>
      </c>
      <c r="AT29" s="928">
        <f t="shared" si="22"/>
        <v>-0.7517352833062223</v>
      </c>
      <c r="AU29" s="418"/>
      <c r="AV29" s="164" t="str">
        <f t="shared" si="23"/>
        <v/>
      </c>
      <c r="AW29" s="829" t="str">
        <f>IFERROR(INDEX(MassProp!C$9:C$150,MATCH($M29,MassProp!$B$9:$B$150,0)),"")</f>
        <v/>
      </c>
      <c r="AX29" s="830" t="str">
        <f>IFERROR(INDEX(MassProp!D$9:D$150,MATCH($M29,MassProp!$B$9:$B$150,0)),"")</f>
        <v/>
      </c>
      <c r="AY29" s="831" t="str">
        <f>IFERROR(INDEX(MassProp!E$9:E$150,MATCH($M29,MassProp!$B$9:$B$150,0)),"")</f>
        <v/>
      </c>
      <c r="AZ29" s="297" t="str">
        <f t="shared" si="144"/>
        <v/>
      </c>
      <c r="BA29" s="296" t="str">
        <f t="shared" si="24"/>
        <v/>
      </c>
      <c r="BB29" s="190" t="str">
        <f t="shared" si="145"/>
        <v/>
      </c>
      <c r="BC29" s="9"/>
      <c r="BD29" s="5" t="str">
        <f t="shared" si="146"/>
        <v/>
      </c>
      <c r="BE29" s="6" t="str">
        <f t="shared" si="25"/>
        <v/>
      </c>
      <c r="BF29" s="4" t="str">
        <f t="shared" si="26"/>
        <v/>
      </c>
      <c r="BG29" s="5" t="str">
        <f t="shared" si="27"/>
        <v/>
      </c>
      <c r="BH29" s="10" t="str">
        <f t="shared" si="28"/>
        <v/>
      </c>
      <c r="BI29" s="9" t="str">
        <f t="shared" si="147"/>
        <v/>
      </c>
      <c r="BJ29" s="5" t="str">
        <f t="shared" si="29"/>
        <v/>
      </c>
      <c r="BK29" s="8" t="str">
        <f t="shared" si="30"/>
        <v/>
      </c>
      <c r="BL29" s="173" t="str">
        <f t="shared" si="31"/>
        <v/>
      </c>
      <c r="BM29" s="5" t="str">
        <f t="shared" si="32"/>
        <v/>
      </c>
      <c r="BN29" s="6" t="str">
        <f t="shared" si="33"/>
        <v/>
      </c>
      <c r="BO29" s="4" t="str">
        <f t="shared" si="148"/>
        <v/>
      </c>
      <c r="BP29" s="5" t="str">
        <f t="shared" si="239"/>
        <v/>
      </c>
      <c r="BQ29" s="5" t="str">
        <f t="shared" si="149"/>
        <v/>
      </c>
      <c r="BR29" s="6" t="str">
        <f t="shared" si="150"/>
        <v/>
      </c>
      <c r="BS29" s="4" t="str">
        <f t="shared" si="118"/>
        <v/>
      </c>
      <c r="BT29" s="5" t="str">
        <f t="shared" si="118"/>
        <v/>
      </c>
      <c r="BU29" s="10" t="str">
        <f t="shared" si="119"/>
        <v/>
      </c>
      <c r="BV29" s="9" t="str">
        <f t="shared" si="120"/>
        <v/>
      </c>
      <c r="BW29" s="5" t="str">
        <f t="shared" si="121"/>
        <v/>
      </c>
      <c r="BX29" s="8" t="str">
        <f t="shared" si="122"/>
        <v/>
      </c>
      <c r="BY29" s="173" t="str">
        <f t="shared" si="123"/>
        <v/>
      </c>
      <c r="BZ29" s="5" t="str">
        <f t="shared" si="124"/>
        <v/>
      </c>
      <c r="CA29" s="6" t="str">
        <f t="shared" si="125"/>
        <v/>
      </c>
      <c r="CB29" s="4" t="str">
        <f t="shared" si="151"/>
        <v/>
      </c>
      <c r="CC29" s="5" t="str">
        <f t="shared" si="152"/>
        <v/>
      </c>
      <c r="CD29" s="5" t="str">
        <f t="shared" si="153"/>
        <v/>
      </c>
      <c r="CE29" s="6" t="str">
        <f t="shared" si="154"/>
        <v/>
      </c>
      <c r="CF29" s="4" t="str">
        <f t="shared" si="155"/>
        <v/>
      </c>
      <c r="CG29" s="5" t="str">
        <f t="shared" si="156"/>
        <v/>
      </c>
      <c r="CH29" s="5" t="str">
        <f t="shared" si="157"/>
        <v/>
      </c>
      <c r="CI29" s="4" t="str">
        <f t="shared" si="126"/>
        <v/>
      </c>
      <c r="CJ29" s="5" t="str">
        <f t="shared" si="127"/>
        <v/>
      </c>
      <c r="CK29" s="8" t="str">
        <f t="shared" si="128"/>
        <v/>
      </c>
      <c r="CL29" s="173" t="str">
        <f t="shared" si="129"/>
        <v/>
      </c>
      <c r="CM29" s="5" t="str">
        <f t="shared" si="130"/>
        <v/>
      </c>
      <c r="CN29" s="6" t="str">
        <f t="shared" si="131"/>
        <v/>
      </c>
      <c r="CO29" s="167" t="str">
        <f t="shared" si="35"/>
        <v/>
      </c>
      <c r="CP29" s="4" t="str">
        <f t="shared" si="240"/>
        <v/>
      </c>
      <c r="CQ29" s="5" t="str">
        <f t="shared" si="241"/>
        <v/>
      </c>
      <c r="CR29" s="5" t="str">
        <f t="shared" si="158"/>
        <v/>
      </c>
      <c r="CS29" s="8" t="str">
        <f t="shared" si="159"/>
        <v/>
      </c>
      <c r="CT29" s="9" t="str">
        <f t="shared" si="160"/>
        <v/>
      </c>
      <c r="CU29" s="6" t="str">
        <f t="shared" si="161"/>
        <v/>
      </c>
      <c r="CV29" s="4" t="str">
        <f t="shared" si="242"/>
        <v/>
      </c>
      <c r="CW29" s="5" t="str">
        <f t="shared" si="162"/>
        <v/>
      </c>
      <c r="CX29" s="8" t="str">
        <f t="shared" si="163"/>
        <v/>
      </c>
      <c r="CY29" s="9" t="str">
        <f t="shared" si="164"/>
        <v/>
      </c>
      <c r="CZ29" s="5" t="str">
        <f t="shared" si="165"/>
        <v/>
      </c>
      <c r="DA29" s="6" t="str">
        <f t="shared" si="166"/>
        <v/>
      </c>
      <c r="DB29" s="4" t="str">
        <f t="shared" si="167"/>
        <v/>
      </c>
      <c r="DC29" s="5" t="str">
        <f t="shared" si="167"/>
        <v/>
      </c>
      <c r="DD29" s="10" t="str">
        <f t="shared" si="168"/>
        <v/>
      </c>
      <c r="DE29" s="9" t="str">
        <f t="shared" si="169"/>
        <v/>
      </c>
      <c r="DF29" s="5" t="str">
        <f t="shared" si="169"/>
        <v/>
      </c>
      <c r="DG29" s="10" t="str">
        <f t="shared" si="170"/>
        <v/>
      </c>
      <c r="DH29" s="70" t="str">
        <f t="shared" si="171"/>
        <v/>
      </c>
      <c r="DI29" s="4" t="str">
        <f t="shared" si="172"/>
        <v/>
      </c>
      <c r="DJ29" s="5" t="str">
        <f t="shared" si="173"/>
        <v/>
      </c>
      <c r="DK29" s="10" t="str">
        <f t="shared" si="174"/>
        <v/>
      </c>
      <c r="DL29" s="9" t="str">
        <f t="shared" si="175"/>
        <v/>
      </c>
      <c r="DM29" s="173" t="str">
        <f t="shared" si="176"/>
        <v/>
      </c>
      <c r="DN29" s="178" t="str">
        <f t="shared" si="177"/>
        <v/>
      </c>
      <c r="DO29" s="9" t="str">
        <f t="shared" si="178"/>
        <v/>
      </c>
      <c r="DP29" s="173" t="str">
        <f t="shared" si="179"/>
        <v/>
      </c>
      <c r="DQ29" s="11" t="str">
        <f t="shared" si="180"/>
        <v/>
      </c>
      <c r="DR29" s="173" t="str">
        <f t="shared" si="181"/>
        <v/>
      </c>
      <c r="DS29" s="5" t="str">
        <f t="shared" si="182"/>
        <v/>
      </c>
      <c r="DT29" s="5" t="str">
        <f t="shared" si="183"/>
        <v/>
      </c>
      <c r="DU29" s="5" t="str">
        <f t="shared" si="184"/>
        <v/>
      </c>
      <c r="DV29" s="5" t="str">
        <f t="shared" si="185"/>
        <v/>
      </c>
      <c r="DW29" s="5" t="str">
        <f t="shared" si="186"/>
        <v/>
      </c>
      <c r="DX29" s="167" t="str">
        <f t="shared" si="187"/>
        <v/>
      </c>
      <c r="DY29" s="9" t="str">
        <f t="shared" si="188"/>
        <v/>
      </c>
      <c r="DZ29" s="5" t="str">
        <f t="shared" si="189"/>
        <v/>
      </c>
      <c r="EA29" s="10" t="str">
        <f t="shared" si="190"/>
        <v/>
      </c>
      <c r="EB29" s="6" t="str">
        <f t="shared" si="191"/>
        <v/>
      </c>
      <c r="EC29" s="173" t="str">
        <f t="shared" si="192"/>
        <v/>
      </c>
      <c r="ED29" s="5" t="str">
        <f t="shared" si="193"/>
        <v/>
      </c>
      <c r="EE29" s="4" t="str">
        <f t="shared" si="194"/>
        <v/>
      </c>
      <c r="EF29" s="5" t="str">
        <f t="shared" si="195"/>
        <v/>
      </c>
      <c r="EG29" s="10" t="str">
        <f t="shared" si="196"/>
        <v/>
      </c>
      <c r="EH29" s="9" t="str">
        <f t="shared" si="197"/>
        <v/>
      </c>
      <c r="EI29" s="5" t="str">
        <f t="shared" si="198"/>
        <v/>
      </c>
      <c r="EJ29" s="6" t="str">
        <f t="shared" si="199"/>
        <v/>
      </c>
      <c r="EK29" s="236" t="str">
        <f t="shared" si="200"/>
        <v/>
      </c>
      <c r="EL29" s="238" t="str">
        <f t="shared" si="201"/>
        <v/>
      </c>
      <c r="EM29" s="4" t="str">
        <f t="shared" si="202"/>
        <v/>
      </c>
      <c r="EN29" s="5" t="str">
        <f t="shared" si="203"/>
        <v/>
      </c>
      <c r="EO29" s="10" t="str">
        <f t="shared" si="204"/>
        <v/>
      </c>
      <c r="EP29" s="9" t="str">
        <f t="shared" si="205"/>
        <v/>
      </c>
      <c r="EQ29" s="5" t="str">
        <f t="shared" si="206"/>
        <v/>
      </c>
      <c r="ER29" s="7" t="str">
        <f t="shared" si="207"/>
        <v/>
      </c>
      <c r="ES29" s="21" t="str">
        <f t="shared" si="132"/>
        <v/>
      </c>
      <c r="ET29" s="5" t="str">
        <f t="shared" si="44"/>
        <v/>
      </c>
      <c r="EU29" s="10" t="str">
        <f t="shared" si="45"/>
        <v/>
      </c>
      <c r="EV29" s="174" t="str">
        <f t="shared" si="254"/>
        <v/>
      </c>
      <c r="EW29" s="9" t="str">
        <f t="shared" si="133"/>
        <v/>
      </c>
      <c r="EX29" s="5" t="str">
        <f t="shared" si="47"/>
        <v/>
      </c>
      <c r="EY29" s="6" t="str">
        <f t="shared" si="208"/>
        <v/>
      </c>
      <c r="EZ29" s="51" t="str">
        <f t="shared" si="209"/>
        <v/>
      </c>
      <c r="FA29" s="266" t="str">
        <f t="shared" si="134"/>
        <v/>
      </c>
      <c r="FB29" s="267" t="str">
        <f t="shared" si="135"/>
        <v/>
      </c>
      <c r="FC29" s="269" t="str">
        <f t="shared" si="48"/>
        <v/>
      </c>
      <c r="FD29" s="4" t="str">
        <f t="shared" si="136"/>
        <v/>
      </c>
      <c r="FE29" s="5" t="str">
        <f t="shared" si="49"/>
        <v/>
      </c>
      <c r="FF29" s="7" t="str">
        <f t="shared" si="210"/>
        <v/>
      </c>
      <c r="FG29" s="173" t="str">
        <f t="shared" si="211"/>
        <v/>
      </c>
      <c r="FH29" s="5" t="str">
        <f t="shared" si="50"/>
        <v/>
      </c>
      <c r="FI29" s="10" t="str">
        <f t="shared" si="51"/>
        <v/>
      </c>
      <c r="FJ29" s="279" t="str">
        <f t="shared" si="212"/>
        <v/>
      </c>
      <c r="FK29" s="4" t="str">
        <f t="shared" si="52"/>
        <v/>
      </c>
      <c r="FL29" s="5" t="str">
        <f t="shared" si="213"/>
        <v/>
      </c>
      <c r="FM29" s="8" t="str">
        <f t="shared" si="214"/>
        <v/>
      </c>
      <c r="FN29" s="9" t="str">
        <f t="shared" si="215"/>
        <v/>
      </c>
      <c r="FO29" s="10" t="str">
        <f t="shared" si="53"/>
        <v/>
      </c>
      <c r="FP29" s="277" t="str">
        <f t="shared" si="54"/>
        <v/>
      </c>
      <c r="FQ29" s="173" t="str">
        <f t="shared" si="243"/>
        <v/>
      </c>
      <c r="FR29" s="10" t="str">
        <f t="shared" si="216"/>
        <v/>
      </c>
      <c r="FS29" s="9" t="str">
        <f t="shared" si="217"/>
        <v/>
      </c>
      <c r="FT29" s="6" t="str">
        <f t="shared" si="218"/>
        <v/>
      </c>
      <c r="FU29" s="4" t="str">
        <f t="shared" si="219"/>
        <v/>
      </c>
      <c r="FV29" s="5" t="str">
        <f t="shared" si="220"/>
        <v/>
      </c>
      <c r="FW29" s="8" t="str">
        <f t="shared" si="244"/>
        <v/>
      </c>
      <c r="FX29" s="9" t="str">
        <f t="shared" si="245"/>
        <v/>
      </c>
      <c r="FY29" s="10" t="str">
        <f t="shared" si="55"/>
        <v/>
      </c>
      <c r="FZ29" s="277" t="str">
        <f t="shared" si="246"/>
        <v/>
      </c>
      <c r="GA29" s="177" t="str">
        <f t="shared" si="221"/>
        <v/>
      </c>
      <c r="GB29" s="4" t="str">
        <f t="shared" si="222"/>
        <v/>
      </c>
      <c r="GC29" s="5" t="str">
        <f t="shared" si="223"/>
        <v/>
      </c>
      <c r="GD29" s="10" t="str">
        <f t="shared" si="224"/>
        <v/>
      </c>
      <c r="GE29" s="311" t="str">
        <f t="shared" si="225"/>
        <v/>
      </c>
      <c r="GF29" s="341" t="str">
        <f t="shared" si="247"/>
        <v/>
      </c>
      <c r="GG29" s="285" t="str">
        <f t="shared" si="56"/>
        <v/>
      </c>
      <c r="GH29" s="286" t="str">
        <f t="shared" si="57"/>
        <v/>
      </c>
      <c r="GI29" s="281" t="str">
        <f t="shared" si="58"/>
        <v/>
      </c>
      <c r="GJ29" s="167" t="str">
        <f t="shared" si="226"/>
        <v/>
      </c>
      <c r="GK29" s="174" t="str">
        <f t="shared" si="59"/>
        <v/>
      </c>
      <c r="GL29" s="174" t="str">
        <f t="shared" si="227"/>
        <v/>
      </c>
      <c r="GM29" s="177" t="str">
        <f t="shared" si="248"/>
        <v/>
      </c>
      <c r="GN29" s="280" t="str">
        <f t="shared" si="228"/>
        <v/>
      </c>
      <c r="GO29" s="4" t="str">
        <f t="shared" si="229"/>
        <v/>
      </c>
      <c r="GP29" s="8" t="str">
        <f t="shared" si="249"/>
        <v/>
      </c>
      <c r="GQ29" s="177" t="str">
        <f t="shared" si="230"/>
        <v/>
      </c>
      <c r="GR29" s="371" t="str">
        <f t="shared" si="250"/>
        <v/>
      </c>
      <c r="GS29" s="342" t="str">
        <f t="shared" si="61"/>
        <v/>
      </c>
      <c r="GT29" s="343" t="str">
        <f t="shared" si="62"/>
        <v/>
      </c>
      <c r="GU29" s="344" t="str">
        <f t="shared" si="63"/>
        <v/>
      </c>
      <c r="GV29" s="343" t="str">
        <f t="shared" si="252"/>
        <v/>
      </c>
      <c r="GW29" s="345" t="str">
        <f t="shared" si="64"/>
        <v/>
      </c>
      <c r="GX29" s="346" t="str">
        <f t="shared" si="65"/>
        <v/>
      </c>
      <c r="GY29" s="344" t="str">
        <f t="shared" si="66"/>
        <v/>
      </c>
      <c r="GZ29" s="345" t="str">
        <f t="shared" si="67"/>
        <v/>
      </c>
      <c r="HA29" s="342" t="str">
        <f t="shared" si="68"/>
        <v/>
      </c>
      <c r="HB29" s="5" t="str">
        <f t="shared" si="231"/>
        <v/>
      </c>
      <c r="HC29" s="343" t="str">
        <f t="shared" si="232"/>
        <v/>
      </c>
      <c r="HD29" s="363" t="str">
        <f t="shared" si="233"/>
        <v/>
      </c>
      <c r="HE29" s="344" t="str">
        <f t="shared" si="69"/>
        <v/>
      </c>
      <c r="HF29" s="5" t="str">
        <f t="shared" si="70"/>
        <v/>
      </c>
      <c r="HG29" s="343" t="str">
        <f t="shared" si="234"/>
        <v/>
      </c>
      <c r="HH29" s="349" t="str">
        <f t="shared" si="235"/>
        <v/>
      </c>
      <c r="HI29" s="317" t="str">
        <f t="shared" si="71"/>
        <v/>
      </c>
      <c r="HJ29" s="336"/>
      <c r="HK29" s="310" t="str">
        <f t="shared" si="137"/>
        <v/>
      </c>
      <c r="HL29" s="348" t="str">
        <f t="shared" si="72"/>
        <v/>
      </c>
      <c r="HM29" s="909" t="str">
        <f t="shared" si="138"/>
        <v/>
      </c>
      <c r="HN29" s="910" t="str">
        <f t="shared" si="73"/>
        <v/>
      </c>
      <c r="HO29" s="911"/>
      <c r="HP29" s="912"/>
      <c r="HQ29" s="910" t="str">
        <f t="shared" si="74"/>
        <v/>
      </c>
      <c r="HR29" s="913" t="str">
        <f t="shared" si="75"/>
        <v/>
      </c>
      <c r="HS29" s="865" t="str">
        <f t="shared" si="251"/>
        <v/>
      </c>
      <c r="HT29" s="875" t="str">
        <f t="shared" si="76"/>
        <v/>
      </c>
      <c r="HU29" s="876" t="str">
        <f t="shared" si="77"/>
        <v/>
      </c>
      <c r="HV29" s="872" t="str">
        <f t="shared" si="78"/>
        <v/>
      </c>
      <c r="HW29" s="866" t="str">
        <f t="shared" si="79"/>
        <v/>
      </c>
      <c r="HX29" s="867" t="str">
        <f t="shared" si="80"/>
        <v/>
      </c>
      <c r="HY29" s="866" t="str">
        <f t="shared" si="81"/>
        <v/>
      </c>
      <c r="HZ29" s="868" t="str">
        <f t="shared" si="82"/>
        <v/>
      </c>
      <c r="IA29" s="869" t="str">
        <f t="shared" si="83"/>
        <v/>
      </c>
      <c r="IB29" s="870" t="str">
        <f t="shared" si="84"/>
        <v/>
      </c>
      <c r="IC29" s="841" t="str">
        <f t="shared" si="85"/>
        <v/>
      </c>
      <c r="ID29" s="351" t="str">
        <f t="shared" si="86"/>
        <v/>
      </c>
      <c r="IE29" s="843" t="str">
        <f t="shared" si="87"/>
        <v/>
      </c>
      <c r="IF29" s="844"/>
      <c r="IG29" s="790" t="str">
        <f>IFERROR(IF($IW29="","",IF($IW29&lt;(((Settings!$C$19/2)*-1)*$IG$8),"Taper","Nose")),"")</f>
        <v/>
      </c>
      <c r="IH29" s="482" t="str">
        <f>IFERROR(IF((((($IY29*COS(RADIANS(180-$JA29)))*COS(RADIANS($JA29)))-(($IZ29*SIN(RADIANS(180-$JA29)))*SIN(RADIANS($JA29))))+$IW29)&lt;(((Settings!$C$19+$IH$8)/2)*-1),"Gage",""),"")</f>
        <v/>
      </c>
      <c r="II29" s="788">
        <f t="shared" si="236"/>
        <v>2.1280000000000001</v>
      </c>
      <c r="IJ29" s="674" t="str" cm="1">
        <f t="array" ref="IJ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K29" s="677" t="str" cm="1">
        <f t="array" ref="IK29">IFERROR(ROUND(VALUE(IF($IJ29&lt;1,$IJ29+LARGE((IF($M$9:$M$150="",0,$M$9:$M$150)-MOD(IF($M$9:$M$150="",0,$M$9:$M$150),1)),1),$IJ29)),4),"")</f>
        <v/>
      </c>
      <c r="IL29" s="482">
        <f t="shared" si="88"/>
        <v>1613</v>
      </c>
      <c r="IM29" s="482" t="str">
        <f t="shared" si="237"/>
        <v/>
      </c>
      <c r="IN29" s="670" t="str">
        <f t="shared" si="90"/>
        <v/>
      </c>
      <c r="IO29" s="702"/>
      <c r="IP29" s="5" t="str">
        <f t="shared" si="91"/>
        <v/>
      </c>
      <c r="IQ29" s="714"/>
      <c r="IR29" s="9" t="str">
        <f t="shared" si="139"/>
        <v/>
      </c>
      <c r="IS29" s="5" t="str">
        <f t="shared" si="92"/>
        <v/>
      </c>
      <c r="IT29" s="5" t="str">
        <f t="shared" si="93"/>
        <v/>
      </c>
      <c r="IU29" s="5" t="str">
        <f t="shared" si="94"/>
        <v/>
      </c>
      <c r="IV29" s="670" t="str">
        <f t="shared" si="95"/>
        <v/>
      </c>
      <c r="IW29" s="9" t="str">
        <f t="shared" si="96"/>
        <v/>
      </c>
      <c r="IX29" s="5" t="str">
        <f t="shared" si="97"/>
        <v/>
      </c>
      <c r="IY29" s="5" t="str">
        <f t="shared" si="98"/>
        <v/>
      </c>
      <c r="IZ29" s="5" t="str">
        <f t="shared" si="99"/>
        <v/>
      </c>
      <c r="JA29" s="705" t="str">
        <f t="shared" si="100"/>
        <v/>
      </c>
      <c r="JC29" s="419" t="s">
        <v>378</v>
      </c>
      <c r="JD29" s="745" cm="1">
        <f t="array" ref="JD29">IF(AND(ISNUMBER($JC$23)=FALSE),"",SUM(COUNTIFS($IM$9:$IM$150,_xlfn.ANCHORARRAY($JC$23),$IK$9:$IK$150,"&lt;&gt;"&amp;"",$IM$9:$IM$150,IF(ISNUMBER(_xlfn.ANCHORARRAY($JC$23)),_xlfn.ANCHORARRAY($JC$23),""))))</f>
        <v>9</v>
      </c>
      <c r="JE29" s="417"/>
      <c r="JF29" s="417"/>
      <c r="JG29" s="417"/>
      <c r="JH29" s="417"/>
      <c r="JI29" s="417"/>
      <c r="JJ29" s="745" cm="1">
        <f t="array" ref="JJ29">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_xlfn.MINIFS($IQ$9:$IQ$150,$IM$9:$IM$150,_xlfn.ANCHORARRAY($JC$23),$IG$9:$IG$150,JJ$22,$IK$9:$IK$150,"&lt;&gt;"&amp;"",$IH$9:$IH$150,"&lt;&gt;"&amp;"Gage"),"")))),"")</f>
        <v>720</v>
      </c>
      <c r="JK29" s="745" cm="1">
        <f t="array" ref="JK29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_xlfn.MINIFS($IQ$9:$IQ$150,$IM$9:$IM$150,_xlfn.ANCHORARRAY($JC$23),$IG$9:$IG$150,JK$22,$IK$9:$IK$150,"&lt;&gt;"&amp;"",$IH$9:$IH$150,"&lt;&gt;"&amp;"Gage"),"")))),"")</f>
        <v>760</v>
      </c>
    </row>
    <row r="30" spans="1:271" ht="15" customHeight="1" x14ac:dyDescent="0.25">
      <c r="A30" s="75">
        <f t="shared" si="1"/>
        <v>0.02</v>
      </c>
      <c r="B30" s="578">
        <f t="shared" si="2"/>
        <v>4.5180689579593905</v>
      </c>
      <c r="C30" s="572">
        <f t="shared" si="3"/>
        <v>1.9051493568418585</v>
      </c>
      <c r="D30" s="576">
        <f t="shared" si="4"/>
        <v>-1.5023874719178385</v>
      </c>
      <c r="E30" s="580">
        <f t="shared" si="5"/>
        <v>1.769100782323986E-2</v>
      </c>
      <c r="F30" s="572">
        <f t="shared" si="6"/>
        <v>0.98460046155635728</v>
      </c>
      <c r="G30" s="579">
        <f t="shared" si="7"/>
        <v>0.17392227961134338</v>
      </c>
      <c r="H30" s="580">
        <f t="shared" si="8"/>
        <v>0.3125</v>
      </c>
      <c r="I30" s="572">
        <f t="shared" si="9"/>
        <v>0.52</v>
      </c>
      <c r="J30" s="483">
        <f t="shared" si="10"/>
        <v>2.1339999999999999</v>
      </c>
      <c r="K30" s="806">
        <f t="shared" si="11"/>
        <v>1613</v>
      </c>
      <c r="L30" s="82"/>
      <c r="M30" s="164">
        <f t="shared" si="12"/>
        <v>2.1339999999999999</v>
      </c>
      <c r="N30" s="575">
        <f t="shared" si="13"/>
        <v>4.5180689579593905</v>
      </c>
      <c r="O30" s="572">
        <f t="shared" si="14"/>
        <v>1.9051493568418585</v>
      </c>
      <c r="P30" s="576">
        <f t="shared" si="15"/>
        <v>-1.5023874719178385</v>
      </c>
      <c r="Q30" s="528">
        <f t="shared" si="140"/>
        <v>22.863857316245252</v>
      </c>
      <c r="R30" s="572">
        <f>IF(M30="","",SQRT(N30^2+O30^2))</f>
        <v>4.9033194043169575</v>
      </c>
      <c r="S30" s="577">
        <f>IF(M30="","",P30)</f>
        <v>-1.5023874719178385</v>
      </c>
      <c r="T30" s="578">
        <f>IF(M30="","",X30*COS(RADIANS(W30)))</f>
        <v>1.9392303411245069</v>
      </c>
      <c r="U30" s="572">
        <f>IF(M30="","",X30*SIN(RADIANS(W30)))</f>
        <v>-4.5035460322742713</v>
      </c>
      <c r="V30" s="579">
        <f>IF(M30="","",Y30)</f>
        <v>-1.5023874719178385</v>
      </c>
      <c r="W30" s="528">
        <f t="shared" si="253"/>
        <v>293.29674816211622</v>
      </c>
      <c r="X30" s="572">
        <f>IF(M30="","",R30)</f>
        <v>4.9033194043169575</v>
      </c>
      <c r="Y30" s="573">
        <f t="shared" si="255"/>
        <v>-1.5023874719178385</v>
      </c>
      <c r="Z30" s="575">
        <f t="shared" si="18"/>
        <v>-1.769100782323986E-2</v>
      </c>
      <c r="AA30" s="572">
        <f t="shared" si="19"/>
        <v>-0.98460046155635728</v>
      </c>
      <c r="AB30" s="572">
        <f t="shared" si="20"/>
        <v>-0.17392227961134338</v>
      </c>
      <c r="AC30" s="579">
        <f>IF(M30="","",SQRT(Z30^2+AA30^2+AB30^2))</f>
        <v>1</v>
      </c>
      <c r="AD30" s="580">
        <f>IF(M30="","",Z30*(1/SQRT(Z30^2+AA30^2+AB30^2)))</f>
        <v>-1.769100782323986E-2</v>
      </c>
      <c r="AE30" s="572">
        <f>IF(M30="","",AA30*(1/SQRT(Z30^2+AA30^2+AB30^2)))</f>
        <v>-0.98460046155635728</v>
      </c>
      <c r="AF30" s="576">
        <f>IF(M30="","",AB30*(1/SQRT(Z30^2+AA30^2+AB30^2)))</f>
        <v>-0.17392227961134338</v>
      </c>
      <c r="AG30" s="545">
        <f>IF(M30="","",DEGREES(ATAN2(-AF30,AE30)))</f>
        <v>-79.982468557524797</v>
      </c>
      <c r="AH30" s="546">
        <f>IF(M30="","",DEGREES(ACOS(AD30)))</f>
        <v>91.013672963462241</v>
      </c>
      <c r="AI30" s="528">
        <f>IF(M30="","",DEGREES(-ACOS(-AF30)))</f>
        <v>-79.984052450724079</v>
      </c>
      <c r="AJ30" s="529">
        <f>IF(M30="","",DEGREES(ATAN2(-AE30,AD30)))</f>
        <v>-1.0293627373057068</v>
      </c>
      <c r="AK30" s="578">
        <f>IF(M30="","",(COS(RADIANS((90-$Q$8)-W30))*AD30)+(-SIN(RADIANS((90-$Q$8)-W30))*AE30))</f>
        <v>0.90036736446071386</v>
      </c>
      <c r="AL30" s="572">
        <f>IF(M30="","",(SIN(RADIANS((90-$Q$8)-W30))*AD30)+(COS(RADIANS((90-$Q$8)-W30))*AE30))</f>
        <v>-0.3988604388365205</v>
      </c>
      <c r="AM30" s="577">
        <f>IF(M30="","",AF30)</f>
        <v>-0.17392227961134338</v>
      </c>
      <c r="AN30" s="524">
        <f>IF(M30="","",DEGREES(ATAN2(-AM30,AL30)))</f>
        <v>-66.440489504246187</v>
      </c>
      <c r="AO30" s="525">
        <f>IF(ROUND(IF(M30="",0,DEGREES(ACOS(AK30))),4)=90,0,IF(M30="","",DEGREES(ACOS(AK30))))</f>
        <v>25.793602252313281</v>
      </c>
      <c r="AP30" s="528">
        <f>IF(M30="","",DEGREES(ATAN2(AK30,AL30)))</f>
        <v>-23.893220053550959</v>
      </c>
      <c r="AQ30" s="529">
        <f t="shared" si="21"/>
        <v>0.92978911750487447</v>
      </c>
      <c r="AS30" s="932">
        <f t="shared" si="143"/>
        <v>293.29674816211622</v>
      </c>
      <c r="AT30" s="928">
        <f t="shared" si="22"/>
        <v>-1.4134686474398852</v>
      </c>
      <c r="AU30" s="418"/>
      <c r="AV30" s="164" t="str">
        <f t="shared" si="23"/>
        <v/>
      </c>
      <c r="AW30" s="797" t="str">
        <f>IFERROR(INDEX(MassProp!C$9:C$150,MATCH($M30,MassProp!$B$9:$B$150,0)),"")</f>
        <v/>
      </c>
      <c r="AX30" s="744" t="str">
        <f>IFERROR(INDEX(MassProp!D$9:D$150,MATCH($M30,MassProp!$B$9:$B$150,0)),"")</f>
        <v/>
      </c>
      <c r="AY30" s="731" t="str">
        <f>IFERROR(INDEX(MassProp!E$9:E$150,MATCH($M30,MassProp!$B$9:$B$150,0)),"")</f>
        <v/>
      </c>
      <c r="AZ30" s="297" t="str">
        <f t="shared" si="144"/>
        <v/>
      </c>
      <c r="BA30" s="296" t="str">
        <f t="shared" si="24"/>
        <v/>
      </c>
      <c r="BB30" s="177" t="str">
        <f t="shared" si="145"/>
        <v/>
      </c>
      <c r="BC30" s="9"/>
      <c r="BD30" s="5" t="str">
        <f t="shared" si="146"/>
        <v/>
      </c>
      <c r="BE30" s="6" t="str">
        <f t="shared" si="25"/>
        <v/>
      </c>
      <c r="BF30" s="4" t="str">
        <f t="shared" si="26"/>
        <v/>
      </c>
      <c r="BG30" s="5" t="str">
        <f t="shared" si="27"/>
        <v/>
      </c>
      <c r="BH30" s="10" t="str">
        <f t="shared" si="28"/>
        <v/>
      </c>
      <c r="BI30" s="9" t="str">
        <f t="shared" si="147"/>
        <v/>
      </c>
      <c r="BJ30" s="5" t="str">
        <f t="shared" si="29"/>
        <v/>
      </c>
      <c r="BK30" s="8" t="str">
        <f t="shared" si="30"/>
        <v/>
      </c>
      <c r="BL30" s="173" t="str">
        <f t="shared" si="31"/>
        <v/>
      </c>
      <c r="BM30" s="5" t="str">
        <f t="shared" si="32"/>
        <v/>
      </c>
      <c r="BN30" s="6" t="str">
        <f t="shared" si="33"/>
        <v/>
      </c>
      <c r="BO30" s="4" t="str">
        <f t="shared" si="148"/>
        <v/>
      </c>
      <c r="BP30" s="5" t="str">
        <f t="shared" si="239"/>
        <v/>
      </c>
      <c r="BQ30" s="5" t="str">
        <f t="shared" si="149"/>
        <v/>
      </c>
      <c r="BR30" s="6" t="str">
        <f t="shared" si="150"/>
        <v/>
      </c>
      <c r="BS30" s="4" t="str">
        <f t="shared" si="118"/>
        <v/>
      </c>
      <c r="BT30" s="5" t="str">
        <f t="shared" si="118"/>
        <v/>
      </c>
      <c r="BU30" s="10" t="str">
        <f t="shared" si="119"/>
        <v/>
      </c>
      <c r="BV30" s="9" t="str">
        <f t="shared" si="120"/>
        <v/>
      </c>
      <c r="BW30" s="5" t="str">
        <f t="shared" si="121"/>
        <v/>
      </c>
      <c r="BX30" s="8" t="str">
        <f t="shared" si="122"/>
        <v/>
      </c>
      <c r="BY30" s="173" t="str">
        <f t="shared" si="123"/>
        <v/>
      </c>
      <c r="BZ30" s="5" t="str">
        <f t="shared" si="124"/>
        <v/>
      </c>
      <c r="CA30" s="6" t="str">
        <f t="shared" si="125"/>
        <v/>
      </c>
      <c r="CB30" s="4" t="str">
        <f t="shared" si="151"/>
        <v/>
      </c>
      <c r="CC30" s="5" t="str">
        <f t="shared" si="152"/>
        <v/>
      </c>
      <c r="CD30" s="5" t="str">
        <f t="shared" si="153"/>
        <v/>
      </c>
      <c r="CE30" s="6" t="str">
        <f t="shared" si="154"/>
        <v/>
      </c>
      <c r="CF30" s="4" t="str">
        <f t="shared" si="155"/>
        <v/>
      </c>
      <c r="CG30" s="5" t="str">
        <f t="shared" si="156"/>
        <v/>
      </c>
      <c r="CH30" s="5" t="str">
        <f t="shared" si="157"/>
        <v/>
      </c>
      <c r="CI30" s="4" t="str">
        <f t="shared" si="126"/>
        <v/>
      </c>
      <c r="CJ30" s="5" t="str">
        <f t="shared" si="127"/>
        <v/>
      </c>
      <c r="CK30" s="8" t="str">
        <f t="shared" si="128"/>
        <v/>
      </c>
      <c r="CL30" s="173" t="str">
        <f t="shared" si="129"/>
        <v/>
      </c>
      <c r="CM30" s="5" t="str">
        <f t="shared" si="130"/>
        <v/>
      </c>
      <c r="CN30" s="6" t="str">
        <f t="shared" si="131"/>
        <v/>
      </c>
      <c r="CO30" s="167" t="str">
        <f t="shared" si="35"/>
        <v/>
      </c>
      <c r="CP30" s="4" t="str">
        <f t="shared" si="240"/>
        <v/>
      </c>
      <c r="CQ30" s="5" t="str">
        <f t="shared" si="241"/>
        <v/>
      </c>
      <c r="CR30" s="5" t="str">
        <f t="shared" si="158"/>
        <v/>
      </c>
      <c r="CS30" s="8" t="str">
        <f t="shared" si="159"/>
        <v/>
      </c>
      <c r="CT30" s="9" t="str">
        <f t="shared" si="160"/>
        <v/>
      </c>
      <c r="CU30" s="6" t="str">
        <f t="shared" si="161"/>
        <v/>
      </c>
      <c r="CV30" s="4" t="str">
        <f t="shared" si="242"/>
        <v/>
      </c>
      <c r="CW30" s="5" t="str">
        <f t="shared" si="162"/>
        <v/>
      </c>
      <c r="CX30" s="8" t="str">
        <f t="shared" si="163"/>
        <v/>
      </c>
      <c r="CY30" s="9" t="str">
        <f t="shared" si="164"/>
        <v/>
      </c>
      <c r="CZ30" s="5" t="str">
        <f t="shared" si="165"/>
        <v/>
      </c>
      <c r="DA30" s="6" t="str">
        <f t="shared" si="166"/>
        <v/>
      </c>
      <c r="DB30" s="4" t="str">
        <f t="shared" si="167"/>
        <v/>
      </c>
      <c r="DC30" s="5" t="str">
        <f t="shared" si="167"/>
        <v/>
      </c>
      <c r="DD30" s="10" t="str">
        <f t="shared" si="168"/>
        <v/>
      </c>
      <c r="DE30" s="9" t="str">
        <f t="shared" si="169"/>
        <v/>
      </c>
      <c r="DF30" s="5" t="str">
        <f t="shared" si="169"/>
        <v/>
      </c>
      <c r="DG30" s="10" t="str">
        <f t="shared" si="170"/>
        <v/>
      </c>
      <c r="DH30" s="70" t="str">
        <f t="shared" si="171"/>
        <v/>
      </c>
      <c r="DI30" s="4" t="str">
        <f t="shared" si="172"/>
        <v/>
      </c>
      <c r="DJ30" s="5" t="str">
        <f t="shared" si="173"/>
        <v/>
      </c>
      <c r="DK30" s="10" t="str">
        <f t="shared" si="174"/>
        <v/>
      </c>
      <c r="DL30" s="9" t="str">
        <f t="shared" si="175"/>
        <v/>
      </c>
      <c r="DM30" s="173" t="str">
        <f t="shared" si="176"/>
        <v/>
      </c>
      <c r="DN30" s="178" t="str">
        <f t="shared" si="177"/>
        <v/>
      </c>
      <c r="DO30" s="9" t="str">
        <f t="shared" si="178"/>
        <v/>
      </c>
      <c r="DP30" s="173" t="str">
        <f t="shared" si="179"/>
        <v/>
      </c>
      <c r="DQ30" s="11" t="str">
        <f t="shared" si="180"/>
        <v/>
      </c>
      <c r="DR30" s="173" t="str">
        <f t="shared" si="181"/>
        <v/>
      </c>
      <c r="DS30" s="5" t="str">
        <f t="shared" si="182"/>
        <v/>
      </c>
      <c r="DT30" s="5" t="str">
        <f t="shared" si="183"/>
        <v/>
      </c>
      <c r="DU30" s="5" t="str">
        <f t="shared" si="184"/>
        <v/>
      </c>
      <c r="DV30" s="5" t="str">
        <f t="shared" si="185"/>
        <v/>
      </c>
      <c r="DW30" s="5" t="str">
        <f t="shared" si="186"/>
        <v/>
      </c>
      <c r="DX30" s="167" t="str">
        <f t="shared" si="187"/>
        <v/>
      </c>
      <c r="DY30" s="9" t="str">
        <f t="shared" si="188"/>
        <v/>
      </c>
      <c r="DZ30" s="5" t="str">
        <f t="shared" si="189"/>
        <v/>
      </c>
      <c r="EA30" s="10" t="str">
        <f t="shared" si="190"/>
        <v/>
      </c>
      <c r="EB30" s="6" t="str">
        <f t="shared" si="191"/>
        <v/>
      </c>
      <c r="EC30" s="173" t="str">
        <f t="shared" si="192"/>
        <v/>
      </c>
      <c r="ED30" s="5" t="str">
        <f t="shared" si="193"/>
        <v/>
      </c>
      <c r="EE30" s="4" t="str">
        <f t="shared" si="194"/>
        <v/>
      </c>
      <c r="EF30" s="5" t="str">
        <f t="shared" si="195"/>
        <v/>
      </c>
      <c r="EG30" s="10" t="str">
        <f t="shared" si="196"/>
        <v/>
      </c>
      <c r="EH30" s="9" t="str">
        <f t="shared" si="197"/>
        <v/>
      </c>
      <c r="EI30" s="5" t="str">
        <f t="shared" si="198"/>
        <v/>
      </c>
      <c r="EJ30" s="6" t="str">
        <f t="shared" si="199"/>
        <v/>
      </c>
      <c r="EK30" s="236" t="str">
        <f t="shared" si="200"/>
        <v/>
      </c>
      <c r="EL30" s="238" t="str">
        <f t="shared" si="201"/>
        <v/>
      </c>
      <c r="EM30" s="4" t="str">
        <f t="shared" si="202"/>
        <v/>
      </c>
      <c r="EN30" s="5" t="str">
        <f t="shared" si="203"/>
        <v/>
      </c>
      <c r="EO30" s="10" t="str">
        <f t="shared" si="204"/>
        <v/>
      </c>
      <c r="EP30" s="9" t="str">
        <f t="shared" si="205"/>
        <v/>
      </c>
      <c r="EQ30" s="5" t="str">
        <f t="shared" si="206"/>
        <v/>
      </c>
      <c r="ER30" s="7" t="str">
        <f t="shared" si="207"/>
        <v/>
      </c>
      <c r="ES30" s="21" t="str">
        <f t="shared" si="132"/>
        <v/>
      </c>
      <c r="ET30" s="5" t="str">
        <f t="shared" si="44"/>
        <v/>
      </c>
      <c r="EU30" s="10" t="str">
        <f t="shared" si="45"/>
        <v/>
      </c>
      <c r="EV30" s="174" t="str">
        <f t="shared" si="254"/>
        <v/>
      </c>
      <c r="EW30" s="9" t="str">
        <f t="shared" si="133"/>
        <v/>
      </c>
      <c r="EX30" s="5" t="str">
        <f t="shared" si="47"/>
        <v/>
      </c>
      <c r="EY30" s="6" t="str">
        <f t="shared" si="208"/>
        <v/>
      </c>
      <c r="EZ30" s="51" t="str">
        <f t="shared" si="209"/>
        <v/>
      </c>
      <c r="FA30" s="266" t="str">
        <f t="shared" si="134"/>
        <v/>
      </c>
      <c r="FB30" s="267" t="str">
        <f t="shared" si="135"/>
        <v/>
      </c>
      <c r="FC30" s="269" t="str">
        <f t="shared" si="48"/>
        <v/>
      </c>
      <c r="FD30" s="4" t="str">
        <f t="shared" si="136"/>
        <v/>
      </c>
      <c r="FE30" s="5" t="str">
        <f t="shared" si="49"/>
        <v/>
      </c>
      <c r="FF30" s="7" t="str">
        <f t="shared" si="210"/>
        <v/>
      </c>
      <c r="FG30" s="173" t="str">
        <f t="shared" si="211"/>
        <v/>
      </c>
      <c r="FH30" s="5" t="str">
        <f t="shared" si="50"/>
        <v/>
      </c>
      <c r="FI30" s="10" t="str">
        <f t="shared" si="51"/>
        <v/>
      </c>
      <c r="FJ30" s="279" t="str">
        <f t="shared" si="212"/>
        <v/>
      </c>
      <c r="FK30" s="4" t="str">
        <f t="shared" si="52"/>
        <v/>
      </c>
      <c r="FL30" s="5" t="str">
        <f t="shared" si="213"/>
        <v/>
      </c>
      <c r="FM30" s="8" t="str">
        <f t="shared" si="214"/>
        <v/>
      </c>
      <c r="FN30" s="9" t="str">
        <f t="shared" si="215"/>
        <v/>
      </c>
      <c r="FO30" s="10" t="str">
        <f t="shared" si="53"/>
        <v/>
      </c>
      <c r="FP30" s="277" t="str">
        <f t="shared" si="54"/>
        <v/>
      </c>
      <c r="FQ30" s="173" t="str">
        <f t="shared" si="243"/>
        <v/>
      </c>
      <c r="FR30" s="10" t="str">
        <f t="shared" si="216"/>
        <v/>
      </c>
      <c r="FS30" s="9" t="str">
        <f t="shared" si="217"/>
        <v/>
      </c>
      <c r="FT30" s="6" t="str">
        <f t="shared" si="218"/>
        <v/>
      </c>
      <c r="FU30" s="4" t="str">
        <f t="shared" si="219"/>
        <v/>
      </c>
      <c r="FV30" s="5" t="str">
        <f t="shared" si="220"/>
        <v/>
      </c>
      <c r="FW30" s="8" t="str">
        <f t="shared" si="244"/>
        <v/>
      </c>
      <c r="FX30" s="9" t="str">
        <f t="shared" si="245"/>
        <v/>
      </c>
      <c r="FY30" s="10" t="str">
        <f t="shared" si="55"/>
        <v/>
      </c>
      <c r="FZ30" s="277" t="str">
        <f t="shared" si="246"/>
        <v/>
      </c>
      <c r="GA30" s="177" t="str">
        <f t="shared" si="221"/>
        <v/>
      </c>
      <c r="GB30" s="4" t="str">
        <f t="shared" si="222"/>
        <v/>
      </c>
      <c r="GC30" s="5" t="str">
        <f t="shared" si="223"/>
        <v/>
      </c>
      <c r="GD30" s="10" t="str">
        <f t="shared" si="224"/>
        <v/>
      </c>
      <c r="GE30" s="311" t="str">
        <f t="shared" si="225"/>
        <v/>
      </c>
      <c r="GF30" s="341" t="str">
        <f t="shared" si="247"/>
        <v/>
      </c>
      <c r="GG30" s="285" t="str">
        <f t="shared" si="56"/>
        <v/>
      </c>
      <c r="GH30" s="286" t="str">
        <f t="shared" si="57"/>
        <v/>
      </c>
      <c r="GI30" s="281" t="str">
        <f t="shared" si="58"/>
        <v/>
      </c>
      <c r="GJ30" s="167" t="str">
        <f t="shared" si="226"/>
        <v/>
      </c>
      <c r="GK30" s="174" t="str">
        <f t="shared" si="59"/>
        <v/>
      </c>
      <c r="GL30" s="174" t="str">
        <f t="shared" si="227"/>
        <v/>
      </c>
      <c r="GM30" s="177" t="str">
        <f t="shared" si="248"/>
        <v/>
      </c>
      <c r="GN30" s="280" t="str">
        <f t="shared" si="228"/>
        <v/>
      </c>
      <c r="GO30" s="4" t="str">
        <f t="shared" si="229"/>
        <v/>
      </c>
      <c r="GP30" s="8" t="str">
        <f t="shared" si="249"/>
        <v/>
      </c>
      <c r="GQ30" s="177" t="str">
        <f t="shared" si="230"/>
        <v/>
      </c>
      <c r="GR30" s="371" t="str">
        <f t="shared" si="250"/>
        <v/>
      </c>
      <c r="GS30" s="342" t="str">
        <f t="shared" si="61"/>
        <v/>
      </c>
      <c r="GT30" s="343" t="str">
        <f t="shared" si="62"/>
        <v/>
      </c>
      <c r="GU30" s="344" t="str">
        <f t="shared" si="63"/>
        <v/>
      </c>
      <c r="GV30" s="343" t="str">
        <f t="shared" si="252"/>
        <v/>
      </c>
      <c r="GW30" s="345" t="str">
        <f t="shared" si="64"/>
        <v/>
      </c>
      <c r="GX30" s="346" t="str">
        <f t="shared" si="65"/>
        <v/>
      </c>
      <c r="GY30" s="344" t="str">
        <f t="shared" si="66"/>
        <v/>
      </c>
      <c r="GZ30" s="345" t="str">
        <f t="shared" si="67"/>
        <v/>
      </c>
      <c r="HA30" s="342" t="str">
        <f t="shared" si="68"/>
        <v/>
      </c>
      <c r="HB30" s="5" t="str">
        <f t="shared" si="231"/>
        <v/>
      </c>
      <c r="HC30" s="343" t="str">
        <f t="shared" si="232"/>
        <v/>
      </c>
      <c r="HD30" s="363" t="str">
        <f t="shared" si="233"/>
        <v/>
      </c>
      <c r="HE30" s="344" t="str">
        <f t="shared" si="69"/>
        <v/>
      </c>
      <c r="HF30" s="5" t="str">
        <f t="shared" si="70"/>
        <v/>
      </c>
      <c r="HG30" s="343" t="str">
        <f t="shared" si="234"/>
        <v/>
      </c>
      <c r="HH30" s="349" t="str">
        <f t="shared" si="235"/>
        <v/>
      </c>
      <c r="HI30" s="317" t="str">
        <f t="shared" si="71"/>
        <v/>
      </c>
      <c r="HJ30" s="336"/>
      <c r="HK30" s="310" t="str">
        <f t="shared" si="137"/>
        <v/>
      </c>
      <c r="HL30" s="348" t="str">
        <f t="shared" si="72"/>
        <v/>
      </c>
      <c r="HM30" s="909" t="str">
        <f t="shared" si="138"/>
        <v/>
      </c>
      <c r="HN30" s="910" t="str">
        <f t="shared" si="73"/>
        <v/>
      </c>
      <c r="HO30" s="911"/>
      <c r="HP30" s="912"/>
      <c r="HQ30" s="910" t="str">
        <f t="shared" si="74"/>
        <v/>
      </c>
      <c r="HR30" s="913" t="str">
        <f t="shared" si="75"/>
        <v/>
      </c>
      <c r="HS30" s="865" t="str">
        <f t="shared" si="251"/>
        <v/>
      </c>
      <c r="HT30" s="875" t="str">
        <f t="shared" si="76"/>
        <v/>
      </c>
      <c r="HU30" s="876" t="str">
        <f t="shared" si="77"/>
        <v/>
      </c>
      <c r="HV30" s="872" t="str">
        <f t="shared" si="78"/>
        <v/>
      </c>
      <c r="HW30" s="866" t="str">
        <f t="shared" si="79"/>
        <v/>
      </c>
      <c r="HX30" s="867" t="str">
        <f t="shared" si="80"/>
        <v/>
      </c>
      <c r="HY30" s="866" t="str">
        <f t="shared" si="81"/>
        <v/>
      </c>
      <c r="HZ30" s="868" t="str">
        <f t="shared" si="82"/>
        <v/>
      </c>
      <c r="IA30" s="869" t="str">
        <f t="shared" si="83"/>
        <v/>
      </c>
      <c r="IB30" s="870" t="str">
        <f t="shared" si="84"/>
        <v/>
      </c>
      <c r="IC30" s="841" t="str">
        <f t="shared" si="85"/>
        <v/>
      </c>
      <c r="ID30" s="351" t="str">
        <f t="shared" si="86"/>
        <v/>
      </c>
      <c r="IE30" s="843" t="str">
        <f t="shared" si="87"/>
        <v/>
      </c>
      <c r="IF30" s="844"/>
      <c r="IG30" s="790" t="str">
        <f>IFERROR(IF($IW30="","",IF($IW30&lt;(((Settings!$C$19/2)*-1)*$IG$8),"Taper","Nose")),"")</f>
        <v/>
      </c>
      <c r="IH30" s="482" t="str">
        <f>IFERROR(IF((((($IY30*COS(RADIANS(180-$JA30)))*COS(RADIANS($JA30)))-(($IZ30*SIN(RADIANS(180-$JA30)))*SIN(RADIANS($JA30))))+$IW30)&lt;(((Settings!$C$19+$IH$8)/2)*-1),"Gage",""),"")</f>
        <v/>
      </c>
      <c r="II30" s="788">
        <f t="shared" si="236"/>
        <v>2.1339999999999999</v>
      </c>
      <c r="IJ30" s="674" t="str" cm="1">
        <f t="array" ref="IJ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K30" s="677" t="str" cm="1">
        <f t="array" ref="IK30">IFERROR(ROUND(VALUE(IF($IJ30&lt;1,$IJ30+LARGE((IF($M$9:$M$150="",0,$M$9:$M$150)-MOD(IF($M$9:$M$150="",0,$M$9:$M$150),1)),1),$IJ30)),4),"")</f>
        <v/>
      </c>
      <c r="IL30" s="482">
        <f t="shared" si="88"/>
        <v>1613</v>
      </c>
      <c r="IM30" s="482" t="str">
        <f t="shared" si="237"/>
        <v/>
      </c>
      <c r="IN30" s="670" t="str">
        <f t="shared" si="90"/>
        <v/>
      </c>
      <c r="IO30" s="702"/>
      <c r="IP30" s="5" t="str">
        <f t="shared" si="91"/>
        <v/>
      </c>
      <c r="IQ30" s="714"/>
      <c r="IR30" s="9" t="str">
        <f t="shared" si="139"/>
        <v/>
      </c>
      <c r="IS30" s="5" t="str">
        <f t="shared" si="92"/>
        <v/>
      </c>
      <c r="IT30" s="5" t="str">
        <f t="shared" si="93"/>
        <v/>
      </c>
      <c r="IU30" s="5" t="str">
        <f t="shared" si="94"/>
        <v/>
      </c>
      <c r="IV30" s="670" t="str">
        <f t="shared" si="95"/>
        <v/>
      </c>
      <c r="IW30" s="9" t="str">
        <f t="shared" si="96"/>
        <v/>
      </c>
      <c r="IX30" s="5" t="str">
        <f t="shared" si="97"/>
        <v/>
      </c>
      <c r="IY30" s="5" t="str">
        <f t="shared" si="98"/>
        <v/>
      </c>
      <c r="IZ30" s="5" t="str">
        <f t="shared" si="99"/>
        <v/>
      </c>
      <c r="JA30" s="705" t="str">
        <f t="shared" si="100"/>
        <v/>
      </c>
      <c r="JC30" s="31" t="s">
        <v>322</v>
      </c>
      <c r="JD30" s="745" cm="1">
        <f t="array" ref="JD30">IF($JC$23="","",IF(AND(ISTEXT(_xlfn.ANCHORARRAY($JC$23))=FALSE),"",SUM(COUNTIFS($IM$9:$IM$150,_xlfn.ANCHORARRAY($JC$23),$IK$9:$IK$150,"&lt;&gt;"&amp;"",$IM$9:$IM$150,IF(ISTEXT(_xlfn.ANCHORARRAY($JC$23)),_xlfn.ANCHORARRAY($JC$23),"")))))</f>
        <v>26</v>
      </c>
      <c r="JJ30" s="745" cm="1">
        <f t="array" ref="JJ30">IF($JC$23="","",IFERROR(MIN(IF(AND(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=""),"",IF(IF(COUNTIFS($IM$9:$IM$150,_xlfn.ANCHORARRAY($JC$23),$IG$9:$IG$150,JH$22,$IK$9:$IK$150,"&lt;&gt;"&amp;"",$IH$9:$IH$150,"&lt;&gt;"&amp;"Gage")=0,"",COUNTIFS($IM$9:$IM$150,_xlfn.ANCHORARRAY($JC$23),$IG$9:$IG$150,JH$22,$IK$9:$IK$150,"&lt;&gt;"&amp;"",$IH$9:$IH$150,"&lt;&gt;"&amp;"Gage"))="","",IF(ISNUMBER(VALUE(_xlfn.ANCHORARRAY($JC$23))),"",_xlfn.MINIFS($IQ$9:$IQ$150,$IM$9:$IM$150,_xlfn.ANCHORARRAY($JC$23),$IG$9:$IG$150,JJ$22,$IK$9:$IK$150,"&lt;&gt;"&amp;"",$IH$9:$IH$150,"&lt;&gt;"&amp;"Gage"))))),""))</f>
        <v>770</v>
      </c>
      <c r="JK30" s="745" cm="1">
        <f t="array" ref="JK30">IFERROR(MIN(IF(AND(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=""),"",IF(IF(COUNTIFS($IM$9:$IM$150,_xlfn.ANCHORARRAY($JC$23),$IG$9:$IG$150,JI$22,$IK$9:$IK$150,"&lt;&gt;"&amp;"",$IH$9:$IH$150,"&lt;&gt;"&amp;"Gage")=0,"",COUNTIFS($IM$9:$IM$150,_xlfn.ANCHORARRAY($JC$23),$IG$9:$IG$150,JI$22,$IK$9:$IK$150,"&lt;&gt;"&amp;"",$IH$9:$IH$150,"&lt;&gt;"&amp;"Gage"))="","",IF(ISNUMBER(VALUE(_xlfn.ANCHORARRAY($JC$23))),"",_xlfn.MINIFS($IQ$9:$IQ$150,$IM$9:$IM$150,_xlfn.ANCHORARRAY($JC$23),$IG$9:$IG$150,JK$22,$IK$9:$IK$150,"&lt;&gt;"&amp;"",$IH$9:$IH$150,"&lt;&gt;"&amp;"Gage"))))),"")</f>
        <v>800</v>
      </c>
    </row>
    <row r="31" spans="1:271" ht="15" customHeight="1" x14ac:dyDescent="0.25">
      <c r="A31" s="75">
        <f t="shared" si="1"/>
        <v>0.02</v>
      </c>
      <c r="B31" s="578">
        <f t="shared" si="2"/>
        <v>4.6383309825316967</v>
      </c>
      <c r="C31" s="572">
        <f t="shared" si="3"/>
        <v>1.9382093729588601</v>
      </c>
      <c r="D31" s="576">
        <f t="shared" si="4"/>
        <v>-2.2580846543450712</v>
      </c>
      <c r="E31" s="580">
        <f t="shared" si="5"/>
        <v>0.12193397424882359</v>
      </c>
      <c r="F31" s="572">
        <f t="shared" si="6"/>
        <v>0.99158220462938695</v>
      </c>
      <c r="G31" s="579">
        <f t="shared" si="7"/>
        <v>4.3552696658323252E-2</v>
      </c>
      <c r="H31" s="580">
        <f t="shared" si="8"/>
        <v>0.3125</v>
      </c>
      <c r="I31" s="572">
        <f t="shared" si="9"/>
        <v>0.52</v>
      </c>
      <c r="J31" s="483">
        <f t="shared" si="10"/>
        <v>2.14</v>
      </c>
      <c r="K31" s="806">
        <f t="shared" si="11"/>
        <v>1613</v>
      </c>
      <c r="L31" s="309"/>
      <c r="M31" s="164">
        <f t="shared" si="12"/>
        <v>2.14</v>
      </c>
      <c r="N31" s="575">
        <f t="shared" si="13"/>
        <v>4.6383309825316967</v>
      </c>
      <c r="O31" s="572">
        <f t="shared" si="14"/>
        <v>1.9382093729588601</v>
      </c>
      <c r="P31" s="576">
        <f t="shared" si="15"/>
        <v>-2.2580846543450712</v>
      </c>
      <c r="Q31" s="528">
        <f t="shared" si="140"/>
        <v>22.67848155298562</v>
      </c>
      <c r="R31" s="572">
        <f>IF(M31="","",SQRT(N31^2+O31^2))</f>
        <v>5.0270040657372688</v>
      </c>
      <c r="S31" s="577">
        <f>IF(M31="","",P31)</f>
        <v>-2.2580846543450712</v>
      </c>
      <c r="T31" s="578">
        <f>IF(M31="","",X31*COS(RADIANS(W31)))</f>
        <v>1.9731980291688609</v>
      </c>
      <c r="U31" s="572">
        <f>IF(M31="","",X31*SIN(RADIANS(W31)))</f>
        <v>-4.6235548460706237</v>
      </c>
      <c r="V31" s="579">
        <f>IF(M31="","",Y31)</f>
        <v>-2.2580846543450712</v>
      </c>
      <c r="W31" s="528">
        <f t="shared" si="253"/>
        <v>293.11137239885659</v>
      </c>
      <c r="X31" s="572">
        <f>IF(M31="","",R31)</f>
        <v>5.0270040657372688</v>
      </c>
      <c r="Y31" s="573">
        <f t="shared" si="255"/>
        <v>-2.2580846543450712</v>
      </c>
      <c r="Z31" s="575">
        <f t="shared" si="18"/>
        <v>-0.12193397424882359</v>
      </c>
      <c r="AA31" s="572">
        <f t="shared" si="19"/>
        <v>-0.99158220462938695</v>
      </c>
      <c r="AB31" s="572">
        <f t="shared" si="20"/>
        <v>-4.3552696658323252E-2</v>
      </c>
      <c r="AC31" s="579">
        <f>IF(M31="","",SQRT(Z31^2+AA31^2+AB31^2))</f>
        <v>1</v>
      </c>
      <c r="AD31" s="580">
        <f>IF(M31="","",Z31*(1/SQRT(Z31^2+AA31^2+AB31^2)))</f>
        <v>-0.12193397424882359</v>
      </c>
      <c r="AE31" s="572">
        <f>IF(M31="","",AA31*(1/SQRT(Z31^2+AA31^2+AB31^2)))</f>
        <v>-0.99158220462938695</v>
      </c>
      <c r="AF31" s="576">
        <f>IF(M31="","",AB31*(1/SQRT(Z31^2+AA31^2+AB31^2)))</f>
        <v>-4.3552696658323252E-2</v>
      </c>
      <c r="AG31" s="545">
        <f>IF(M31="","",DEGREES(ATAN2(-AF31,AE31)))</f>
        <v>-87.485046760822286</v>
      </c>
      <c r="AH31" s="546">
        <f>IF(M31="","",DEGREES(ACOS(AD31)))</f>
        <v>97.003730898930144</v>
      </c>
      <c r="AI31" s="528">
        <f>IF(M31="","",DEGREES(-ACOS(-AF31)))</f>
        <v>-87.50382473077525</v>
      </c>
      <c r="AJ31" s="529">
        <f>IF(M31="","",DEGREES(ATAN2(-AE31,AD31)))</f>
        <v>-7.0104162115586028</v>
      </c>
      <c r="AK31" s="578">
        <f>IF(M31="","",(COS(RADIANS((90-$Q$8)-W31))*AD31)+(-SIN(RADIANS((90-$Q$8)-W31))*AE31))</f>
        <v>0.86790319495166313</v>
      </c>
      <c r="AL31" s="572">
        <f>IF(M31="","",(SIN(RADIANS((90-$Q$8)-W31))*AD31)+(COS(RADIANS((90-$Q$8)-W31))*AE31))</f>
        <v>-0.49482037832579567</v>
      </c>
      <c r="AM31" s="577">
        <f>IF(M31="","",AF31)</f>
        <v>-4.3552696658323252E-2</v>
      </c>
      <c r="AN31" s="524">
        <f>IF(M31="","",DEGREES(ATAN2(-AM31,AL31)))</f>
        <v>-84.969949372155938</v>
      </c>
      <c r="AO31" s="525">
        <f t="shared" si="116"/>
        <v>29.784116024848295</v>
      </c>
      <c r="AP31" s="528">
        <f>IF(M31="","",DEGREES(ATAN2(AK31,AL31)))</f>
        <v>-29.688897764544222</v>
      </c>
      <c r="AQ31" s="529">
        <f t="shared" si="21"/>
        <v>0.90691640828340925</v>
      </c>
      <c r="AS31" s="932">
        <f t="shared" si="143"/>
        <v>293.11137239885659</v>
      </c>
      <c r="AT31" s="928">
        <f t="shared" si="22"/>
        <v>-2.1689083635292574</v>
      </c>
      <c r="AU31" s="418"/>
      <c r="AV31" s="164" t="str">
        <f t="shared" si="23"/>
        <v/>
      </c>
      <c r="AW31" s="829" t="str">
        <f>IFERROR(INDEX(MassProp!C$9:C$150,MATCH($M31,MassProp!$B$9:$B$150,0)),"")</f>
        <v/>
      </c>
      <c r="AX31" s="830" t="str">
        <f>IFERROR(INDEX(MassProp!D$9:D$150,MATCH($M31,MassProp!$B$9:$B$150,0)),"")</f>
        <v/>
      </c>
      <c r="AY31" s="831" t="str">
        <f>IFERROR(INDEX(MassProp!E$9:E$150,MATCH($M31,MassProp!$B$9:$B$150,0)),"")</f>
        <v/>
      </c>
      <c r="AZ31" s="297" t="str">
        <f t="shared" si="144"/>
        <v/>
      </c>
      <c r="BA31" s="296" t="str">
        <f t="shared" si="24"/>
        <v/>
      </c>
      <c r="BB31" s="190" t="str">
        <f t="shared" si="145"/>
        <v/>
      </c>
      <c r="BC31" s="9"/>
      <c r="BD31" s="5" t="str">
        <f t="shared" si="146"/>
        <v/>
      </c>
      <c r="BE31" s="6" t="str">
        <f t="shared" si="25"/>
        <v/>
      </c>
      <c r="BF31" s="4" t="str">
        <f t="shared" si="26"/>
        <v/>
      </c>
      <c r="BG31" s="5" t="str">
        <f t="shared" si="27"/>
        <v/>
      </c>
      <c r="BH31" s="10" t="str">
        <f t="shared" si="28"/>
        <v/>
      </c>
      <c r="BI31" s="9" t="str">
        <f t="shared" si="147"/>
        <v/>
      </c>
      <c r="BJ31" s="5" t="str">
        <f t="shared" si="29"/>
        <v/>
      </c>
      <c r="BK31" s="8" t="str">
        <f t="shared" si="30"/>
        <v/>
      </c>
      <c r="BL31" s="173" t="str">
        <f t="shared" si="31"/>
        <v/>
      </c>
      <c r="BM31" s="5" t="str">
        <f t="shared" si="32"/>
        <v/>
      </c>
      <c r="BN31" s="6" t="str">
        <f t="shared" si="33"/>
        <v/>
      </c>
      <c r="BO31" s="4" t="str">
        <f t="shared" si="148"/>
        <v/>
      </c>
      <c r="BP31" s="5" t="str">
        <f t="shared" si="239"/>
        <v/>
      </c>
      <c r="BQ31" s="5" t="str">
        <f t="shared" si="149"/>
        <v/>
      </c>
      <c r="BR31" s="6" t="str">
        <f t="shared" si="150"/>
        <v/>
      </c>
      <c r="BS31" s="4" t="str">
        <f t="shared" si="118"/>
        <v/>
      </c>
      <c r="BT31" s="5" t="str">
        <f t="shared" si="118"/>
        <v/>
      </c>
      <c r="BU31" s="10" t="str">
        <f t="shared" si="119"/>
        <v/>
      </c>
      <c r="BV31" s="9" t="str">
        <f t="shared" si="120"/>
        <v/>
      </c>
      <c r="BW31" s="5" t="str">
        <f t="shared" si="121"/>
        <v/>
      </c>
      <c r="BX31" s="8" t="str">
        <f t="shared" si="122"/>
        <v/>
      </c>
      <c r="BY31" s="173" t="str">
        <f t="shared" si="123"/>
        <v/>
      </c>
      <c r="BZ31" s="5" t="str">
        <f t="shared" si="124"/>
        <v/>
      </c>
      <c r="CA31" s="6" t="str">
        <f t="shared" si="125"/>
        <v/>
      </c>
      <c r="CB31" s="4" t="str">
        <f t="shared" si="151"/>
        <v/>
      </c>
      <c r="CC31" s="5" t="str">
        <f t="shared" si="152"/>
        <v/>
      </c>
      <c r="CD31" s="5" t="str">
        <f t="shared" si="153"/>
        <v/>
      </c>
      <c r="CE31" s="6" t="str">
        <f t="shared" si="154"/>
        <v/>
      </c>
      <c r="CF31" s="4" t="str">
        <f t="shared" si="155"/>
        <v/>
      </c>
      <c r="CG31" s="5" t="str">
        <f t="shared" si="156"/>
        <v/>
      </c>
      <c r="CH31" s="5" t="str">
        <f t="shared" si="157"/>
        <v/>
      </c>
      <c r="CI31" s="4" t="str">
        <f t="shared" si="126"/>
        <v/>
      </c>
      <c r="CJ31" s="5" t="str">
        <f t="shared" si="127"/>
        <v/>
      </c>
      <c r="CK31" s="8" t="str">
        <f t="shared" si="128"/>
        <v/>
      </c>
      <c r="CL31" s="173" t="str">
        <f t="shared" si="129"/>
        <v/>
      </c>
      <c r="CM31" s="5" t="str">
        <f t="shared" si="130"/>
        <v/>
      </c>
      <c r="CN31" s="6" t="str">
        <f t="shared" si="131"/>
        <v/>
      </c>
      <c r="CO31" s="167" t="str">
        <f t="shared" si="35"/>
        <v/>
      </c>
      <c r="CP31" s="4" t="str">
        <f t="shared" si="240"/>
        <v/>
      </c>
      <c r="CQ31" s="5" t="str">
        <f t="shared" si="241"/>
        <v/>
      </c>
      <c r="CR31" s="5" t="str">
        <f t="shared" si="158"/>
        <v/>
      </c>
      <c r="CS31" s="8" t="str">
        <f t="shared" si="159"/>
        <v/>
      </c>
      <c r="CT31" s="9" t="str">
        <f t="shared" si="160"/>
        <v/>
      </c>
      <c r="CU31" s="6" t="str">
        <f t="shared" si="161"/>
        <v/>
      </c>
      <c r="CV31" s="4" t="str">
        <f t="shared" si="242"/>
        <v/>
      </c>
      <c r="CW31" s="5" t="str">
        <f t="shared" si="162"/>
        <v/>
      </c>
      <c r="CX31" s="8" t="str">
        <f t="shared" si="163"/>
        <v/>
      </c>
      <c r="CY31" s="9" t="str">
        <f t="shared" si="164"/>
        <v/>
      </c>
      <c r="CZ31" s="5" t="str">
        <f t="shared" si="165"/>
        <v/>
      </c>
      <c r="DA31" s="6" t="str">
        <f t="shared" si="166"/>
        <v/>
      </c>
      <c r="DB31" s="4" t="str">
        <f t="shared" si="167"/>
        <v/>
      </c>
      <c r="DC31" s="5" t="str">
        <f t="shared" si="167"/>
        <v/>
      </c>
      <c r="DD31" s="10" t="str">
        <f t="shared" si="168"/>
        <v/>
      </c>
      <c r="DE31" s="9" t="str">
        <f t="shared" si="169"/>
        <v/>
      </c>
      <c r="DF31" s="5" t="str">
        <f t="shared" si="169"/>
        <v/>
      </c>
      <c r="DG31" s="10" t="str">
        <f t="shared" si="170"/>
        <v/>
      </c>
      <c r="DH31" s="70" t="str">
        <f t="shared" si="171"/>
        <v/>
      </c>
      <c r="DI31" s="4" t="str">
        <f t="shared" si="172"/>
        <v/>
      </c>
      <c r="DJ31" s="5" t="str">
        <f t="shared" si="173"/>
        <v/>
      </c>
      <c r="DK31" s="10" t="str">
        <f t="shared" si="174"/>
        <v/>
      </c>
      <c r="DL31" s="9" t="str">
        <f t="shared" si="175"/>
        <v/>
      </c>
      <c r="DM31" s="173" t="str">
        <f t="shared" si="176"/>
        <v/>
      </c>
      <c r="DN31" s="178" t="str">
        <f t="shared" si="177"/>
        <v/>
      </c>
      <c r="DO31" s="9" t="str">
        <f t="shared" si="178"/>
        <v/>
      </c>
      <c r="DP31" s="173" t="str">
        <f t="shared" si="179"/>
        <v/>
      </c>
      <c r="DQ31" s="11" t="str">
        <f t="shared" si="180"/>
        <v/>
      </c>
      <c r="DR31" s="173" t="str">
        <f t="shared" si="181"/>
        <v/>
      </c>
      <c r="DS31" s="5" t="str">
        <f t="shared" si="182"/>
        <v/>
      </c>
      <c r="DT31" s="5" t="str">
        <f t="shared" si="183"/>
        <v/>
      </c>
      <c r="DU31" s="5" t="str">
        <f t="shared" si="184"/>
        <v/>
      </c>
      <c r="DV31" s="5" t="str">
        <f t="shared" si="185"/>
        <v/>
      </c>
      <c r="DW31" s="5" t="str">
        <f t="shared" si="186"/>
        <v/>
      </c>
      <c r="DX31" s="167" t="str">
        <f t="shared" si="187"/>
        <v/>
      </c>
      <c r="DY31" s="9" t="str">
        <f t="shared" si="188"/>
        <v/>
      </c>
      <c r="DZ31" s="5" t="str">
        <f t="shared" si="189"/>
        <v/>
      </c>
      <c r="EA31" s="10" t="str">
        <f t="shared" si="190"/>
        <v/>
      </c>
      <c r="EB31" s="6" t="str">
        <f t="shared" si="191"/>
        <v/>
      </c>
      <c r="EC31" s="173" t="str">
        <f t="shared" si="192"/>
        <v/>
      </c>
      <c r="ED31" s="5" t="str">
        <f t="shared" si="193"/>
        <v/>
      </c>
      <c r="EE31" s="4" t="str">
        <f t="shared" si="194"/>
        <v/>
      </c>
      <c r="EF31" s="5" t="str">
        <f t="shared" si="195"/>
        <v/>
      </c>
      <c r="EG31" s="10" t="str">
        <f t="shared" si="196"/>
        <v/>
      </c>
      <c r="EH31" s="9" t="str">
        <f t="shared" si="197"/>
        <v/>
      </c>
      <c r="EI31" s="5" t="str">
        <f t="shared" si="198"/>
        <v/>
      </c>
      <c r="EJ31" s="6" t="str">
        <f t="shared" si="199"/>
        <v/>
      </c>
      <c r="EK31" s="236" t="str">
        <f t="shared" si="200"/>
        <v/>
      </c>
      <c r="EL31" s="238" t="str">
        <f t="shared" si="201"/>
        <v/>
      </c>
      <c r="EM31" s="4" t="str">
        <f t="shared" si="202"/>
        <v/>
      </c>
      <c r="EN31" s="5" t="str">
        <f t="shared" si="203"/>
        <v/>
      </c>
      <c r="EO31" s="10" t="str">
        <f t="shared" si="204"/>
        <v/>
      </c>
      <c r="EP31" s="9" t="str">
        <f t="shared" si="205"/>
        <v/>
      </c>
      <c r="EQ31" s="5" t="str">
        <f t="shared" si="206"/>
        <v/>
      </c>
      <c r="ER31" s="7" t="str">
        <f t="shared" si="207"/>
        <v/>
      </c>
      <c r="ES31" s="21" t="str">
        <f t="shared" si="132"/>
        <v/>
      </c>
      <c r="ET31" s="5" t="str">
        <f t="shared" si="44"/>
        <v/>
      </c>
      <c r="EU31" s="10" t="str">
        <f t="shared" si="45"/>
        <v/>
      </c>
      <c r="EV31" s="174" t="str">
        <f t="shared" si="254"/>
        <v/>
      </c>
      <c r="EW31" s="9" t="str">
        <f t="shared" si="133"/>
        <v/>
      </c>
      <c r="EX31" s="5" t="str">
        <f t="shared" si="47"/>
        <v/>
      </c>
      <c r="EY31" s="6" t="str">
        <f t="shared" si="208"/>
        <v/>
      </c>
      <c r="EZ31" s="51" t="str">
        <f t="shared" si="209"/>
        <v/>
      </c>
      <c r="FA31" s="266" t="str">
        <f t="shared" si="134"/>
        <v/>
      </c>
      <c r="FB31" s="267" t="str">
        <f t="shared" si="135"/>
        <v/>
      </c>
      <c r="FC31" s="269" t="str">
        <f t="shared" si="48"/>
        <v/>
      </c>
      <c r="FD31" s="4" t="str">
        <f t="shared" si="136"/>
        <v/>
      </c>
      <c r="FE31" s="5" t="str">
        <f t="shared" si="49"/>
        <v/>
      </c>
      <c r="FF31" s="7" t="str">
        <f t="shared" si="210"/>
        <v/>
      </c>
      <c r="FG31" s="173" t="str">
        <f t="shared" si="211"/>
        <v/>
      </c>
      <c r="FH31" s="5" t="str">
        <f t="shared" si="50"/>
        <v/>
      </c>
      <c r="FI31" s="10" t="str">
        <f t="shared" si="51"/>
        <v/>
      </c>
      <c r="FJ31" s="279" t="str">
        <f t="shared" si="212"/>
        <v/>
      </c>
      <c r="FK31" s="4" t="str">
        <f t="shared" si="52"/>
        <v/>
      </c>
      <c r="FL31" s="5" t="str">
        <f t="shared" si="213"/>
        <v/>
      </c>
      <c r="FM31" s="8" t="str">
        <f t="shared" si="214"/>
        <v/>
      </c>
      <c r="FN31" s="9" t="str">
        <f t="shared" si="215"/>
        <v/>
      </c>
      <c r="FO31" s="10" t="str">
        <f t="shared" si="53"/>
        <v/>
      </c>
      <c r="FP31" s="277" t="str">
        <f t="shared" si="54"/>
        <v/>
      </c>
      <c r="FQ31" s="173" t="str">
        <f t="shared" si="243"/>
        <v/>
      </c>
      <c r="FR31" s="10" t="str">
        <f t="shared" si="216"/>
        <v/>
      </c>
      <c r="FS31" s="9" t="str">
        <f t="shared" si="217"/>
        <v/>
      </c>
      <c r="FT31" s="6" t="str">
        <f t="shared" si="218"/>
        <v/>
      </c>
      <c r="FU31" s="4" t="str">
        <f t="shared" si="219"/>
        <v/>
      </c>
      <c r="FV31" s="5" t="str">
        <f t="shared" si="220"/>
        <v/>
      </c>
      <c r="FW31" s="8" t="str">
        <f t="shared" si="244"/>
        <v/>
      </c>
      <c r="FX31" s="9" t="str">
        <f t="shared" si="245"/>
        <v/>
      </c>
      <c r="FY31" s="10" t="str">
        <f t="shared" si="55"/>
        <v/>
      </c>
      <c r="FZ31" s="277" t="str">
        <f t="shared" si="246"/>
        <v/>
      </c>
      <c r="GA31" s="177" t="str">
        <f t="shared" si="221"/>
        <v/>
      </c>
      <c r="GB31" s="4" t="str">
        <f t="shared" si="222"/>
        <v/>
      </c>
      <c r="GC31" s="5" t="str">
        <f t="shared" si="223"/>
        <v/>
      </c>
      <c r="GD31" s="10" t="str">
        <f t="shared" si="224"/>
        <v/>
      </c>
      <c r="GE31" s="311" t="str">
        <f t="shared" si="225"/>
        <v/>
      </c>
      <c r="GF31" s="341" t="str">
        <f t="shared" si="247"/>
        <v/>
      </c>
      <c r="GG31" s="285" t="str">
        <f t="shared" si="56"/>
        <v/>
      </c>
      <c r="GH31" s="286" t="str">
        <f t="shared" si="57"/>
        <v/>
      </c>
      <c r="GI31" s="281" t="str">
        <f t="shared" si="58"/>
        <v/>
      </c>
      <c r="GJ31" s="167" t="str">
        <f t="shared" si="226"/>
        <v/>
      </c>
      <c r="GK31" s="174" t="str">
        <f t="shared" si="59"/>
        <v/>
      </c>
      <c r="GL31" s="174" t="str">
        <f t="shared" si="227"/>
        <v/>
      </c>
      <c r="GM31" s="177" t="str">
        <f t="shared" si="248"/>
        <v/>
      </c>
      <c r="GN31" s="280" t="str">
        <f t="shared" si="228"/>
        <v/>
      </c>
      <c r="GO31" s="4" t="str">
        <f t="shared" si="229"/>
        <v/>
      </c>
      <c r="GP31" s="8" t="str">
        <f t="shared" si="249"/>
        <v/>
      </c>
      <c r="GQ31" s="177" t="str">
        <f t="shared" si="230"/>
        <v/>
      </c>
      <c r="GR31" s="371" t="str">
        <f t="shared" si="250"/>
        <v/>
      </c>
      <c r="GS31" s="342" t="str">
        <f t="shared" si="61"/>
        <v/>
      </c>
      <c r="GT31" s="343" t="str">
        <f t="shared" si="62"/>
        <v/>
      </c>
      <c r="GU31" s="344" t="str">
        <f t="shared" si="63"/>
        <v/>
      </c>
      <c r="GV31" s="343" t="str">
        <f t="shared" si="252"/>
        <v/>
      </c>
      <c r="GW31" s="345" t="str">
        <f t="shared" si="64"/>
        <v/>
      </c>
      <c r="GX31" s="346" t="str">
        <f t="shared" si="65"/>
        <v/>
      </c>
      <c r="GY31" s="344" t="str">
        <f t="shared" si="66"/>
        <v/>
      </c>
      <c r="GZ31" s="345" t="str">
        <f t="shared" si="67"/>
        <v/>
      </c>
      <c r="HA31" s="342" t="str">
        <f t="shared" si="68"/>
        <v/>
      </c>
      <c r="HB31" s="5" t="str">
        <f t="shared" si="231"/>
        <v/>
      </c>
      <c r="HC31" s="343" t="str">
        <f t="shared" si="232"/>
        <v/>
      </c>
      <c r="HD31" s="363" t="str">
        <f t="shared" si="233"/>
        <v/>
      </c>
      <c r="HE31" s="344" t="str">
        <f t="shared" si="69"/>
        <v/>
      </c>
      <c r="HF31" s="5" t="str">
        <f t="shared" si="70"/>
        <v/>
      </c>
      <c r="HG31" s="343" t="str">
        <f t="shared" si="234"/>
        <v/>
      </c>
      <c r="HH31" s="349" t="str">
        <f t="shared" si="235"/>
        <v/>
      </c>
      <c r="HI31" s="317" t="str">
        <f t="shared" si="71"/>
        <v/>
      </c>
      <c r="HJ31" s="336"/>
      <c r="HK31" s="310" t="str">
        <f t="shared" si="137"/>
        <v/>
      </c>
      <c r="HL31" s="348" t="str">
        <f t="shared" si="72"/>
        <v/>
      </c>
      <c r="HM31" s="909" t="str">
        <f t="shared" si="138"/>
        <v/>
      </c>
      <c r="HN31" s="910" t="str">
        <f t="shared" si="73"/>
        <v/>
      </c>
      <c r="HO31" s="911"/>
      <c r="HP31" s="912"/>
      <c r="HQ31" s="910" t="str">
        <f t="shared" si="74"/>
        <v/>
      </c>
      <c r="HR31" s="913" t="str">
        <f t="shared" si="75"/>
        <v/>
      </c>
      <c r="HS31" s="865" t="str">
        <f t="shared" si="251"/>
        <v/>
      </c>
      <c r="HT31" s="875" t="str">
        <f t="shared" si="76"/>
        <v/>
      </c>
      <c r="HU31" s="876" t="str">
        <f t="shared" si="77"/>
        <v/>
      </c>
      <c r="HV31" s="872" t="str">
        <f t="shared" si="78"/>
        <v/>
      </c>
      <c r="HW31" s="866" t="str">
        <f t="shared" si="79"/>
        <v/>
      </c>
      <c r="HX31" s="867" t="str">
        <f t="shared" si="80"/>
        <v/>
      </c>
      <c r="HY31" s="866" t="str">
        <f t="shared" si="81"/>
        <v/>
      </c>
      <c r="HZ31" s="868" t="str">
        <f t="shared" si="82"/>
        <v/>
      </c>
      <c r="IA31" s="869" t="str">
        <f t="shared" si="83"/>
        <v/>
      </c>
      <c r="IB31" s="870" t="str">
        <f t="shared" si="84"/>
        <v/>
      </c>
      <c r="IC31" s="841" t="str">
        <f t="shared" si="85"/>
        <v/>
      </c>
      <c r="ID31" s="351" t="str">
        <f t="shared" si="86"/>
        <v/>
      </c>
      <c r="IE31" s="843" t="str">
        <f t="shared" si="87"/>
        <v/>
      </c>
      <c r="IF31" s="844"/>
      <c r="IG31" s="790" t="str">
        <f>IFERROR(IF($IW31="","",IF($IW31&lt;(((Settings!$C$19/2)*-1)*$IG$8),"Taper","Nose")),"")</f>
        <v/>
      </c>
      <c r="IH31" s="482" t="str">
        <f>IFERROR(IF((((($IY31*COS(RADIANS(180-$JA31)))*COS(RADIANS($JA31)))-(($IZ31*SIN(RADIANS(180-$JA31)))*SIN(RADIANS($JA31))))+$IW31)&lt;(((Settings!$C$19+$IH$8)/2)*-1),"Gage",""),"")</f>
        <v/>
      </c>
      <c r="II31" s="788">
        <f t="shared" si="236"/>
        <v>2.14</v>
      </c>
      <c r="IJ31" s="674" t="str" cm="1">
        <f t="array" ref="IJ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K31" s="677" t="str" cm="1">
        <f t="array" ref="IK31">IFERROR(ROUND(VALUE(IF($IJ31&lt;1,$IJ31+LARGE((IF($M$9:$M$150="",0,$M$9:$M$150)-MOD(IF($M$9:$M$150="",0,$M$9:$M$150),1)),1),$IJ31)),4),"")</f>
        <v/>
      </c>
      <c r="IL31" s="482">
        <f t="shared" si="88"/>
        <v>1613</v>
      </c>
      <c r="IM31" s="482" t="str">
        <f t="shared" si="237"/>
        <v/>
      </c>
      <c r="IN31" s="670" t="str">
        <f t="shared" si="90"/>
        <v/>
      </c>
      <c r="IO31" s="702"/>
      <c r="IP31" s="5" t="str">
        <f t="shared" si="91"/>
        <v/>
      </c>
      <c r="IQ31" s="714"/>
      <c r="IR31" s="9" t="str">
        <f t="shared" si="139"/>
        <v/>
      </c>
      <c r="IS31" s="5" t="str">
        <f t="shared" si="92"/>
        <v/>
      </c>
      <c r="IT31" s="5" t="str">
        <f t="shared" si="93"/>
        <v/>
      </c>
      <c r="IU31" s="5" t="str">
        <f t="shared" si="94"/>
        <v/>
      </c>
      <c r="IV31" s="670" t="str">
        <f t="shared" si="95"/>
        <v/>
      </c>
      <c r="IW31" s="9" t="str">
        <f t="shared" si="96"/>
        <v/>
      </c>
      <c r="IX31" s="5" t="str">
        <f t="shared" si="97"/>
        <v/>
      </c>
      <c r="IY31" s="5" t="str">
        <f t="shared" si="98"/>
        <v/>
      </c>
      <c r="IZ31" s="5" t="str">
        <f t="shared" si="99"/>
        <v/>
      </c>
      <c r="JA31" s="705" t="str">
        <f t="shared" si="100"/>
        <v/>
      </c>
    </row>
    <row r="32" spans="1:271" ht="15" customHeight="1" x14ac:dyDescent="0.25">
      <c r="A32" s="75">
        <f t="shared" si="1"/>
        <v>0.02</v>
      </c>
      <c r="B32" s="578">
        <f t="shared" si="2"/>
        <v>4.6667204558006903</v>
      </c>
      <c r="C32" s="572">
        <f t="shared" si="3"/>
        <v>1.9431013599869074</v>
      </c>
      <c r="D32" s="576">
        <f t="shared" si="4"/>
        <v>-3.0095891874135794</v>
      </c>
      <c r="E32" s="580">
        <f t="shared" si="5"/>
        <v>0.12321454352127205</v>
      </c>
      <c r="F32" s="572">
        <f t="shared" si="6"/>
        <v>0.99142389464781044</v>
      </c>
      <c r="G32" s="579">
        <f t="shared" si="7"/>
        <v>4.3552696658322981E-2</v>
      </c>
      <c r="H32" s="580">
        <f t="shared" si="8"/>
        <v>0.3125</v>
      </c>
      <c r="I32" s="572">
        <f t="shared" si="9"/>
        <v>0.52</v>
      </c>
      <c r="J32" s="483">
        <f t="shared" si="10"/>
        <v>2.1459999999999999</v>
      </c>
      <c r="K32" s="806">
        <f t="shared" si="11"/>
        <v>1613</v>
      </c>
      <c r="L32" s="309"/>
      <c r="M32" s="164">
        <f t="shared" si="12"/>
        <v>2.1459999999999999</v>
      </c>
      <c r="N32" s="575">
        <f t="shared" si="13"/>
        <v>4.6667204558006903</v>
      </c>
      <c r="O32" s="572">
        <f t="shared" si="14"/>
        <v>1.9431013599869074</v>
      </c>
      <c r="P32" s="576">
        <f t="shared" si="15"/>
        <v>-3.0095891874135794</v>
      </c>
      <c r="Q32" s="528">
        <f t="shared" si="140"/>
        <v>22.605578562558421</v>
      </c>
      <c r="R32" s="572">
        <f t="shared" si="101"/>
        <v>5.0550887932628417</v>
      </c>
      <c r="S32" s="577">
        <f t="shared" si="102"/>
        <v>-3.0095891874135794</v>
      </c>
      <c r="T32" s="578">
        <f t="shared" si="103"/>
        <v>1.9783043675213483</v>
      </c>
      <c r="U32" s="572">
        <f t="shared" si="104"/>
        <v>-4.651906548633316</v>
      </c>
      <c r="V32" s="579">
        <f t="shared" si="141"/>
        <v>-3.0095891874135794</v>
      </c>
      <c r="W32" s="528">
        <f t="shared" si="253"/>
        <v>293.03846940842942</v>
      </c>
      <c r="X32" s="572">
        <f t="shared" si="105"/>
        <v>5.0550887932628417</v>
      </c>
      <c r="Y32" s="573">
        <f t="shared" si="255"/>
        <v>-3.0095891874135794</v>
      </c>
      <c r="Z32" s="575">
        <f t="shared" si="18"/>
        <v>-0.12321454352127205</v>
      </c>
      <c r="AA32" s="572">
        <f t="shared" si="19"/>
        <v>-0.99142389464781044</v>
      </c>
      <c r="AB32" s="572">
        <f t="shared" si="20"/>
        <v>-4.3552696658322981E-2</v>
      </c>
      <c r="AC32" s="579">
        <f t="shared" si="106"/>
        <v>1</v>
      </c>
      <c r="AD32" s="580">
        <f t="shared" si="142"/>
        <v>-0.12321454352127205</v>
      </c>
      <c r="AE32" s="572">
        <f t="shared" si="107"/>
        <v>-0.99142389464781044</v>
      </c>
      <c r="AF32" s="576">
        <f t="shared" si="108"/>
        <v>-4.3552696658322981E-2</v>
      </c>
      <c r="AG32" s="545">
        <f t="shared" si="109"/>
        <v>-87.484645690324669</v>
      </c>
      <c r="AH32" s="546">
        <f t="shared" si="110"/>
        <v>97.077659589705576</v>
      </c>
      <c r="AI32" s="528">
        <f t="shared" si="111"/>
        <v>-87.50382473077525</v>
      </c>
      <c r="AJ32" s="529">
        <f t="shared" si="112"/>
        <v>-7.0844161901901019</v>
      </c>
      <c r="AK32" s="578">
        <f t="shared" si="238"/>
        <v>0.86789372093390582</v>
      </c>
      <c r="AL32" s="572">
        <f t="shared" si="113"/>
        <v>-0.49483699515829221</v>
      </c>
      <c r="AM32" s="577">
        <f t="shared" si="114"/>
        <v>-4.3552696658322981E-2</v>
      </c>
      <c r="AN32" s="524">
        <f t="shared" si="115"/>
        <v>-84.97011741683842</v>
      </c>
      <c r="AO32" s="525">
        <f t="shared" si="116"/>
        <v>29.785208788526894</v>
      </c>
      <c r="AP32" s="528">
        <f t="shared" si="117"/>
        <v>-29.689994752748529</v>
      </c>
      <c r="AQ32" s="529">
        <f t="shared" si="21"/>
        <v>0.90187865672700995</v>
      </c>
      <c r="AS32" s="932">
        <f t="shared" si="143"/>
        <v>293.03846940842942</v>
      </c>
      <c r="AT32" s="928">
        <f t="shared" si="22"/>
        <v>-2.9203116424443945</v>
      </c>
      <c r="AU32" s="418"/>
      <c r="AV32" s="164" t="str">
        <f t="shared" si="23"/>
        <v/>
      </c>
      <c r="AW32" s="829" t="str">
        <f>IFERROR(INDEX(MassProp!C$9:C$150,MATCH($M32,MassProp!$B$9:$B$150,0)),"")</f>
        <v/>
      </c>
      <c r="AX32" s="830" t="str">
        <f>IFERROR(INDEX(MassProp!D$9:D$150,MATCH($M32,MassProp!$B$9:$B$150,0)),"")</f>
        <v/>
      </c>
      <c r="AY32" s="831" t="str">
        <f>IFERROR(INDEX(MassProp!E$9:E$150,MATCH($M32,MassProp!$B$9:$B$150,0)),"")</f>
        <v/>
      </c>
      <c r="AZ32" s="297" t="str">
        <f t="shared" si="144"/>
        <v/>
      </c>
      <c r="BA32" s="296" t="str">
        <f t="shared" si="24"/>
        <v/>
      </c>
      <c r="BB32" s="190" t="str">
        <f t="shared" si="145"/>
        <v/>
      </c>
      <c r="BC32" s="9"/>
      <c r="BD32" s="5" t="str">
        <f t="shared" si="146"/>
        <v/>
      </c>
      <c r="BE32" s="6" t="str">
        <f t="shared" si="25"/>
        <v/>
      </c>
      <c r="BF32" s="4" t="str">
        <f t="shared" si="26"/>
        <v/>
      </c>
      <c r="BG32" s="5" t="str">
        <f t="shared" si="27"/>
        <v/>
      </c>
      <c r="BH32" s="10" t="str">
        <f t="shared" si="28"/>
        <v/>
      </c>
      <c r="BI32" s="9" t="str">
        <f t="shared" si="147"/>
        <v/>
      </c>
      <c r="BJ32" s="5" t="str">
        <f t="shared" si="29"/>
        <v/>
      </c>
      <c r="BK32" s="8" t="str">
        <f t="shared" si="30"/>
        <v/>
      </c>
      <c r="BL32" s="173" t="str">
        <f t="shared" si="31"/>
        <v/>
      </c>
      <c r="BM32" s="5" t="str">
        <f t="shared" si="32"/>
        <v/>
      </c>
      <c r="BN32" s="6" t="str">
        <f t="shared" si="33"/>
        <v/>
      </c>
      <c r="BO32" s="4" t="str">
        <f t="shared" si="148"/>
        <v/>
      </c>
      <c r="BP32" s="5" t="str">
        <f t="shared" si="239"/>
        <v/>
      </c>
      <c r="BQ32" s="5" t="str">
        <f t="shared" si="149"/>
        <v/>
      </c>
      <c r="BR32" s="6" t="str">
        <f t="shared" si="150"/>
        <v/>
      </c>
      <c r="BS32" s="4" t="str">
        <f t="shared" si="118"/>
        <v/>
      </c>
      <c r="BT32" s="5" t="str">
        <f t="shared" si="118"/>
        <v/>
      </c>
      <c r="BU32" s="10" t="str">
        <f t="shared" si="119"/>
        <v/>
      </c>
      <c r="BV32" s="9" t="str">
        <f t="shared" si="120"/>
        <v/>
      </c>
      <c r="BW32" s="5" t="str">
        <f t="shared" si="121"/>
        <v/>
      </c>
      <c r="BX32" s="8" t="str">
        <f t="shared" si="122"/>
        <v/>
      </c>
      <c r="BY32" s="173" t="str">
        <f t="shared" si="123"/>
        <v/>
      </c>
      <c r="BZ32" s="5" t="str">
        <f t="shared" si="124"/>
        <v/>
      </c>
      <c r="CA32" s="6" t="str">
        <f t="shared" si="125"/>
        <v/>
      </c>
      <c r="CB32" s="4" t="str">
        <f t="shared" si="151"/>
        <v/>
      </c>
      <c r="CC32" s="5" t="str">
        <f t="shared" si="152"/>
        <v/>
      </c>
      <c r="CD32" s="5" t="str">
        <f t="shared" si="153"/>
        <v/>
      </c>
      <c r="CE32" s="6" t="str">
        <f t="shared" si="154"/>
        <v/>
      </c>
      <c r="CF32" s="4" t="str">
        <f t="shared" si="155"/>
        <v/>
      </c>
      <c r="CG32" s="5" t="str">
        <f t="shared" si="156"/>
        <v/>
      </c>
      <c r="CH32" s="5" t="str">
        <f t="shared" si="157"/>
        <v/>
      </c>
      <c r="CI32" s="4" t="str">
        <f t="shared" si="126"/>
        <v/>
      </c>
      <c r="CJ32" s="5" t="str">
        <f t="shared" si="127"/>
        <v/>
      </c>
      <c r="CK32" s="8" t="str">
        <f t="shared" si="128"/>
        <v/>
      </c>
      <c r="CL32" s="173" t="str">
        <f t="shared" si="129"/>
        <v/>
      </c>
      <c r="CM32" s="5" t="str">
        <f t="shared" si="130"/>
        <v/>
      </c>
      <c r="CN32" s="6" t="str">
        <f t="shared" si="131"/>
        <v/>
      </c>
      <c r="CO32" s="167" t="str">
        <f t="shared" si="35"/>
        <v/>
      </c>
      <c r="CP32" s="4" t="str">
        <f t="shared" si="240"/>
        <v/>
      </c>
      <c r="CQ32" s="5" t="str">
        <f t="shared" si="241"/>
        <v/>
      </c>
      <c r="CR32" s="5" t="str">
        <f t="shared" si="158"/>
        <v/>
      </c>
      <c r="CS32" s="8" t="str">
        <f t="shared" si="159"/>
        <v/>
      </c>
      <c r="CT32" s="9" t="str">
        <f t="shared" si="160"/>
        <v/>
      </c>
      <c r="CU32" s="6" t="str">
        <f t="shared" si="161"/>
        <v/>
      </c>
      <c r="CV32" s="4" t="str">
        <f t="shared" si="242"/>
        <v/>
      </c>
      <c r="CW32" s="5" t="str">
        <f t="shared" si="162"/>
        <v/>
      </c>
      <c r="CX32" s="8" t="str">
        <f t="shared" si="163"/>
        <v/>
      </c>
      <c r="CY32" s="9" t="str">
        <f t="shared" si="164"/>
        <v/>
      </c>
      <c r="CZ32" s="5" t="str">
        <f t="shared" si="165"/>
        <v/>
      </c>
      <c r="DA32" s="6" t="str">
        <f t="shared" si="166"/>
        <v/>
      </c>
      <c r="DB32" s="4" t="str">
        <f t="shared" si="167"/>
        <v/>
      </c>
      <c r="DC32" s="5" t="str">
        <f t="shared" si="167"/>
        <v/>
      </c>
      <c r="DD32" s="10" t="str">
        <f t="shared" si="168"/>
        <v/>
      </c>
      <c r="DE32" s="9" t="str">
        <f t="shared" si="169"/>
        <v/>
      </c>
      <c r="DF32" s="5" t="str">
        <f t="shared" si="169"/>
        <v/>
      </c>
      <c r="DG32" s="10" t="str">
        <f t="shared" si="170"/>
        <v/>
      </c>
      <c r="DH32" s="70" t="str">
        <f t="shared" si="171"/>
        <v/>
      </c>
      <c r="DI32" s="4" t="str">
        <f t="shared" si="172"/>
        <v/>
      </c>
      <c r="DJ32" s="5" t="str">
        <f t="shared" si="173"/>
        <v/>
      </c>
      <c r="DK32" s="10" t="str">
        <f t="shared" si="174"/>
        <v/>
      </c>
      <c r="DL32" s="9" t="str">
        <f t="shared" si="175"/>
        <v/>
      </c>
      <c r="DM32" s="173" t="str">
        <f t="shared" si="176"/>
        <v/>
      </c>
      <c r="DN32" s="178" t="str">
        <f t="shared" si="177"/>
        <v/>
      </c>
      <c r="DO32" s="9" t="str">
        <f t="shared" si="178"/>
        <v/>
      </c>
      <c r="DP32" s="173" t="str">
        <f t="shared" si="179"/>
        <v/>
      </c>
      <c r="DQ32" s="11" t="str">
        <f t="shared" si="180"/>
        <v/>
      </c>
      <c r="DR32" s="173" t="str">
        <f t="shared" si="181"/>
        <v/>
      </c>
      <c r="DS32" s="5" t="str">
        <f t="shared" si="182"/>
        <v/>
      </c>
      <c r="DT32" s="5" t="str">
        <f t="shared" si="183"/>
        <v/>
      </c>
      <c r="DU32" s="5" t="str">
        <f t="shared" si="184"/>
        <v/>
      </c>
      <c r="DV32" s="5" t="str">
        <f t="shared" si="185"/>
        <v/>
      </c>
      <c r="DW32" s="5" t="str">
        <f t="shared" si="186"/>
        <v/>
      </c>
      <c r="DX32" s="167" t="str">
        <f t="shared" si="187"/>
        <v/>
      </c>
      <c r="DY32" s="9" t="str">
        <f t="shared" si="188"/>
        <v/>
      </c>
      <c r="DZ32" s="5" t="str">
        <f t="shared" si="189"/>
        <v/>
      </c>
      <c r="EA32" s="10" t="str">
        <f t="shared" si="190"/>
        <v/>
      </c>
      <c r="EB32" s="6" t="str">
        <f t="shared" si="191"/>
        <v/>
      </c>
      <c r="EC32" s="173" t="str">
        <f t="shared" si="192"/>
        <v/>
      </c>
      <c r="ED32" s="5" t="str">
        <f t="shared" si="193"/>
        <v/>
      </c>
      <c r="EE32" s="4" t="str">
        <f t="shared" si="194"/>
        <v/>
      </c>
      <c r="EF32" s="5" t="str">
        <f t="shared" si="195"/>
        <v/>
      </c>
      <c r="EG32" s="10" t="str">
        <f t="shared" si="196"/>
        <v/>
      </c>
      <c r="EH32" s="9" t="str">
        <f t="shared" si="197"/>
        <v/>
      </c>
      <c r="EI32" s="5" t="str">
        <f t="shared" si="198"/>
        <v/>
      </c>
      <c r="EJ32" s="6" t="str">
        <f t="shared" si="199"/>
        <v/>
      </c>
      <c r="EK32" s="236" t="str">
        <f t="shared" si="200"/>
        <v/>
      </c>
      <c r="EL32" s="238" t="str">
        <f t="shared" si="201"/>
        <v/>
      </c>
      <c r="EM32" s="4" t="str">
        <f t="shared" si="202"/>
        <v/>
      </c>
      <c r="EN32" s="5" t="str">
        <f t="shared" si="203"/>
        <v/>
      </c>
      <c r="EO32" s="10" t="str">
        <f t="shared" si="204"/>
        <v/>
      </c>
      <c r="EP32" s="9" t="str">
        <f t="shared" si="205"/>
        <v/>
      </c>
      <c r="EQ32" s="5" t="str">
        <f t="shared" si="206"/>
        <v/>
      </c>
      <c r="ER32" s="7" t="str">
        <f t="shared" si="207"/>
        <v/>
      </c>
      <c r="ES32" s="21" t="str">
        <f t="shared" si="132"/>
        <v/>
      </c>
      <c r="ET32" s="5" t="str">
        <f t="shared" si="44"/>
        <v/>
      </c>
      <c r="EU32" s="10" t="str">
        <f t="shared" si="45"/>
        <v/>
      </c>
      <c r="EV32" s="174" t="str">
        <f t="shared" si="254"/>
        <v/>
      </c>
      <c r="EW32" s="9" t="str">
        <f t="shared" si="133"/>
        <v/>
      </c>
      <c r="EX32" s="5" t="str">
        <f t="shared" si="47"/>
        <v/>
      </c>
      <c r="EY32" s="6" t="str">
        <f t="shared" si="208"/>
        <v/>
      </c>
      <c r="EZ32" s="51" t="str">
        <f t="shared" si="209"/>
        <v/>
      </c>
      <c r="FA32" s="266" t="str">
        <f t="shared" si="134"/>
        <v/>
      </c>
      <c r="FB32" s="267" t="str">
        <f t="shared" si="135"/>
        <v/>
      </c>
      <c r="FC32" s="269" t="str">
        <f t="shared" si="48"/>
        <v/>
      </c>
      <c r="FD32" s="4" t="str">
        <f t="shared" si="136"/>
        <v/>
      </c>
      <c r="FE32" s="5" t="str">
        <f t="shared" si="49"/>
        <v/>
      </c>
      <c r="FF32" s="7" t="str">
        <f t="shared" si="210"/>
        <v/>
      </c>
      <c r="FG32" s="173" t="str">
        <f t="shared" si="211"/>
        <v/>
      </c>
      <c r="FH32" s="5" t="str">
        <f t="shared" si="50"/>
        <v/>
      </c>
      <c r="FI32" s="10" t="str">
        <f t="shared" si="51"/>
        <v/>
      </c>
      <c r="FJ32" s="279" t="str">
        <f t="shared" si="212"/>
        <v/>
      </c>
      <c r="FK32" s="4" t="str">
        <f t="shared" si="52"/>
        <v/>
      </c>
      <c r="FL32" s="5" t="str">
        <f t="shared" si="213"/>
        <v/>
      </c>
      <c r="FM32" s="8" t="str">
        <f t="shared" si="214"/>
        <v/>
      </c>
      <c r="FN32" s="9" t="str">
        <f t="shared" si="215"/>
        <v/>
      </c>
      <c r="FO32" s="10" t="str">
        <f t="shared" si="53"/>
        <v/>
      </c>
      <c r="FP32" s="277" t="str">
        <f t="shared" si="54"/>
        <v/>
      </c>
      <c r="FQ32" s="173" t="str">
        <f t="shared" si="243"/>
        <v/>
      </c>
      <c r="FR32" s="10" t="str">
        <f t="shared" si="216"/>
        <v/>
      </c>
      <c r="FS32" s="9" t="str">
        <f t="shared" si="217"/>
        <v/>
      </c>
      <c r="FT32" s="6" t="str">
        <f t="shared" si="218"/>
        <v/>
      </c>
      <c r="FU32" s="4" t="str">
        <f t="shared" si="219"/>
        <v/>
      </c>
      <c r="FV32" s="5" t="str">
        <f t="shared" si="220"/>
        <v/>
      </c>
      <c r="FW32" s="8" t="str">
        <f t="shared" si="244"/>
        <v/>
      </c>
      <c r="FX32" s="9" t="str">
        <f t="shared" si="245"/>
        <v/>
      </c>
      <c r="FY32" s="10" t="str">
        <f t="shared" si="55"/>
        <v/>
      </c>
      <c r="FZ32" s="277" t="str">
        <f t="shared" si="246"/>
        <v/>
      </c>
      <c r="GA32" s="177" t="str">
        <f t="shared" si="221"/>
        <v/>
      </c>
      <c r="GB32" s="4" t="str">
        <f t="shared" si="222"/>
        <v/>
      </c>
      <c r="GC32" s="5" t="str">
        <f t="shared" si="223"/>
        <v/>
      </c>
      <c r="GD32" s="10" t="str">
        <f t="shared" si="224"/>
        <v/>
      </c>
      <c r="GE32" s="311" t="str">
        <f t="shared" si="225"/>
        <v/>
      </c>
      <c r="GF32" s="341" t="str">
        <f t="shared" si="247"/>
        <v/>
      </c>
      <c r="GG32" s="285" t="str">
        <f t="shared" si="56"/>
        <v/>
      </c>
      <c r="GH32" s="286" t="str">
        <f t="shared" si="57"/>
        <v/>
      </c>
      <c r="GI32" s="281" t="str">
        <f t="shared" si="58"/>
        <v/>
      </c>
      <c r="GJ32" s="167" t="str">
        <f t="shared" si="226"/>
        <v/>
      </c>
      <c r="GK32" s="174" t="str">
        <f t="shared" si="59"/>
        <v/>
      </c>
      <c r="GL32" s="174" t="str">
        <f t="shared" si="227"/>
        <v/>
      </c>
      <c r="GM32" s="177" t="str">
        <f t="shared" si="248"/>
        <v/>
      </c>
      <c r="GN32" s="280" t="str">
        <f t="shared" si="228"/>
        <v/>
      </c>
      <c r="GO32" s="4" t="str">
        <f t="shared" si="229"/>
        <v/>
      </c>
      <c r="GP32" s="8" t="str">
        <f t="shared" si="249"/>
        <v/>
      </c>
      <c r="GQ32" s="177" t="str">
        <f t="shared" si="230"/>
        <v/>
      </c>
      <c r="GR32" s="371" t="str">
        <f t="shared" si="250"/>
        <v/>
      </c>
      <c r="GS32" s="342" t="str">
        <f t="shared" si="61"/>
        <v/>
      </c>
      <c r="GT32" s="343" t="str">
        <f t="shared" si="62"/>
        <v/>
      </c>
      <c r="GU32" s="344" t="str">
        <f t="shared" si="63"/>
        <v/>
      </c>
      <c r="GV32" s="343" t="str">
        <f t="shared" si="252"/>
        <v/>
      </c>
      <c r="GW32" s="345" t="str">
        <f t="shared" si="64"/>
        <v/>
      </c>
      <c r="GX32" s="346" t="str">
        <f t="shared" si="65"/>
        <v/>
      </c>
      <c r="GY32" s="344" t="str">
        <f t="shared" si="66"/>
        <v/>
      </c>
      <c r="GZ32" s="345" t="str">
        <f t="shared" si="67"/>
        <v/>
      </c>
      <c r="HA32" s="342" t="str">
        <f t="shared" si="68"/>
        <v/>
      </c>
      <c r="HB32" s="5" t="str">
        <f t="shared" si="231"/>
        <v/>
      </c>
      <c r="HC32" s="343" t="str">
        <f t="shared" si="232"/>
        <v/>
      </c>
      <c r="HD32" s="363" t="str">
        <f t="shared" si="233"/>
        <v/>
      </c>
      <c r="HE32" s="344" t="str">
        <f t="shared" si="69"/>
        <v/>
      </c>
      <c r="HF32" s="5" t="str">
        <f t="shared" si="70"/>
        <v/>
      </c>
      <c r="HG32" s="343" t="str">
        <f t="shared" si="234"/>
        <v/>
      </c>
      <c r="HH32" s="349" t="str">
        <f t="shared" si="235"/>
        <v/>
      </c>
      <c r="HI32" s="317" t="str">
        <f t="shared" si="71"/>
        <v/>
      </c>
      <c r="HJ32" s="336"/>
      <c r="HK32" s="310" t="str">
        <f t="shared" si="137"/>
        <v/>
      </c>
      <c r="HL32" s="348" t="str">
        <f t="shared" si="72"/>
        <v/>
      </c>
      <c r="HM32" s="909" t="str">
        <f t="shared" si="138"/>
        <v/>
      </c>
      <c r="HN32" s="910" t="str">
        <f t="shared" si="73"/>
        <v/>
      </c>
      <c r="HO32" s="911"/>
      <c r="HP32" s="912"/>
      <c r="HQ32" s="910" t="str">
        <f t="shared" si="74"/>
        <v/>
      </c>
      <c r="HR32" s="913" t="str">
        <f t="shared" si="75"/>
        <v/>
      </c>
      <c r="HS32" s="865" t="str">
        <f t="shared" si="251"/>
        <v/>
      </c>
      <c r="HT32" s="875" t="str">
        <f t="shared" si="76"/>
        <v/>
      </c>
      <c r="HU32" s="876" t="str">
        <f t="shared" si="77"/>
        <v/>
      </c>
      <c r="HV32" s="872" t="str">
        <f t="shared" si="78"/>
        <v/>
      </c>
      <c r="HW32" s="866" t="str">
        <f t="shared" si="79"/>
        <v/>
      </c>
      <c r="HX32" s="867" t="str">
        <f t="shared" si="80"/>
        <v/>
      </c>
      <c r="HY32" s="866" t="str">
        <f t="shared" si="81"/>
        <v/>
      </c>
      <c r="HZ32" s="868" t="str">
        <f t="shared" si="82"/>
        <v/>
      </c>
      <c r="IA32" s="869" t="str">
        <f t="shared" si="83"/>
        <v/>
      </c>
      <c r="IB32" s="870" t="str">
        <f t="shared" si="84"/>
        <v/>
      </c>
      <c r="IC32" s="841" t="str">
        <f t="shared" si="85"/>
        <v/>
      </c>
      <c r="ID32" s="351" t="str">
        <f t="shared" si="86"/>
        <v/>
      </c>
      <c r="IE32" s="843" t="str">
        <f t="shared" si="87"/>
        <v/>
      </c>
      <c r="IF32" s="844"/>
      <c r="IG32" s="790" t="str">
        <f>IFERROR(IF($IW32="","",IF($IW32&lt;(((Settings!$C$19/2)*-1)*$IG$8),"Taper","Nose")),"")</f>
        <v/>
      </c>
      <c r="IH32" s="482" t="str">
        <f>IFERROR(IF((((($IY32*COS(RADIANS(180-$JA32)))*COS(RADIANS($JA32)))-(($IZ32*SIN(RADIANS(180-$JA32)))*SIN(RADIANS($JA32))))+$IW32)&lt;(((Settings!$C$19+$IH$8)/2)*-1),"Gage",""),"")</f>
        <v/>
      </c>
      <c r="II32" s="788">
        <f t="shared" si="236"/>
        <v>2.1459999999999999</v>
      </c>
      <c r="IJ32" s="674" t="str" cm="1">
        <f t="array" ref="IJ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K32" s="677" t="str" cm="1">
        <f t="array" ref="IK32">IFERROR(ROUND(VALUE(IF($IJ32&lt;1,$IJ32+LARGE((IF($M$9:$M$150="",0,$M$9:$M$150)-MOD(IF($M$9:$M$150="",0,$M$9:$M$150),1)),1),$IJ32)),4),"")</f>
        <v/>
      </c>
      <c r="IL32" s="482">
        <f t="shared" si="88"/>
        <v>1613</v>
      </c>
      <c r="IM32" s="482" t="str">
        <f t="shared" si="237"/>
        <v/>
      </c>
      <c r="IN32" s="670" t="str">
        <f t="shared" si="90"/>
        <v/>
      </c>
      <c r="IO32" s="702"/>
      <c r="IP32" s="5" t="str">
        <f t="shared" si="91"/>
        <v/>
      </c>
      <c r="IQ32" s="714"/>
      <c r="IR32" s="9" t="str">
        <f t="shared" si="139"/>
        <v/>
      </c>
      <c r="IS32" s="5" t="str">
        <f t="shared" si="92"/>
        <v/>
      </c>
      <c r="IT32" s="5" t="str">
        <f t="shared" si="93"/>
        <v/>
      </c>
      <c r="IU32" s="5" t="str">
        <f t="shared" si="94"/>
        <v/>
      </c>
      <c r="IV32" s="670" t="str">
        <f t="shared" si="95"/>
        <v/>
      </c>
      <c r="IW32" s="9" t="str">
        <f t="shared" si="96"/>
        <v/>
      </c>
      <c r="IX32" s="5" t="str">
        <f t="shared" si="97"/>
        <v/>
      </c>
      <c r="IY32" s="5" t="str">
        <f t="shared" si="98"/>
        <v/>
      </c>
      <c r="IZ32" s="5" t="str">
        <f t="shared" si="99"/>
        <v/>
      </c>
      <c r="JA32" s="705" t="str">
        <f t="shared" si="100"/>
        <v/>
      </c>
    </row>
    <row r="33" spans="1:269" ht="15" customHeight="1" x14ac:dyDescent="0.25">
      <c r="A33" s="75">
        <f t="shared" si="1"/>
        <v>0</v>
      </c>
      <c r="B33" s="578">
        <f t="shared" si="2"/>
        <v>3.175528456305075</v>
      </c>
      <c r="C33" s="572">
        <f t="shared" si="3"/>
        <v>0.34038293778780537</v>
      </c>
      <c r="D33" s="576">
        <f t="shared" si="4"/>
        <v>-0.15425909251969605</v>
      </c>
      <c r="E33" s="580">
        <f t="shared" si="5"/>
        <v>0.10393308058719902</v>
      </c>
      <c r="F33" s="572">
        <f t="shared" si="6"/>
        <v>1.1140522842226726E-2</v>
      </c>
      <c r="G33" s="579">
        <f t="shared" si="7"/>
        <v>0.99452189694870807</v>
      </c>
      <c r="H33" s="580">
        <f t="shared" si="8"/>
        <v>0.255</v>
      </c>
      <c r="I33" s="572">
        <f t="shared" si="9"/>
        <v>0.41499999999999992</v>
      </c>
      <c r="J33" s="483">
        <f t="shared" si="10"/>
        <v>2.2160000000000002</v>
      </c>
      <c r="K33" s="806" t="str">
        <f t="shared" si="11"/>
        <v>CPS-32193r1</v>
      </c>
      <c r="L33" s="309"/>
      <c r="M33" s="164">
        <f t="shared" si="12"/>
        <v>2.2160000000000002</v>
      </c>
      <c r="N33" s="575">
        <f t="shared" si="13"/>
        <v>3.175528456305075</v>
      </c>
      <c r="O33" s="572">
        <f t="shared" si="14"/>
        <v>0.34038293778780537</v>
      </c>
      <c r="P33" s="576">
        <f t="shared" si="15"/>
        <v>-0.15425909251969605</v>
      </c>
      <c r="Q33" s="528">
        <f t="shared" si="140"/>
        <v>6.1181390674357452</v>
      </c>
      <c r="R33" s="572">
        <f t="shared" si="101"/>
        <v>3.1937190736100054</v>
      </c>
      <c r="S33" s="577">
        <f t="shared" si="102"/>
        <v>-0.15425909251969605</v>
      </c>
      <c r="T33" s="578">
        <f t="shared" si="103"/>
        <v>0.36436528864578149</v>
      </c>
      <c r="U33" s="572">
        <f t="shared" si="104"/>
        <v>-3.1728661266385676</v>
      </c>
      <c r="V33" s="579">
        <f t="shared" si="141"/>
        <v>-0.15425909251969605</v>
      </c>
      <c r="W33" s="528">
        <f t="shared" si="253"/>
        <v>276.55102991330671</v>
      </c>
      <c r="X33" s="572">
        <f t="shared" si="105"/>
        <v>3.1937190736100054</v>
      </c>
      <c r="Y33" s="573">
        <f t="shared" si="255"/>
        <v>-0.15425909251969605</v>
      </c>
      <c r="Z33" s="575">
        <f t="shared" si="18"/>
        <v>-0.10393308058719902</v>
      </c>
      <c r="AA33" s="572">
        <f t="shared" si="19"/>
        <v>-1.1140522842226726E-2</v>
      </c>
      <c r="AB33" s="572">
        <f t="shared" si="20"/>
        <v>-0.99452189694870807</v>
      </c>
      <c r="AC33" s="579">
        <f t="shared" si="106"/>
        <v>1</v>
      </c>
      <c r="AD33" s="580">
        <f t="shared" si="142"/>
        <v>-0.10393308058719902</v>
      </c>
      <c r="AE33" s="572">
        <f t="shared" si="107"/>
        <v>-1.1140522842226726E-2</v>
      </c>
      <c r="AF33" s="576">
        <f t="shared" si="108"/>
        <v>-0.99452189694870807</v>
      </c>
      <c r="AG33" s="545">
        <f t="shared" si="109"/>
        <v>-0.64179405776885323</v>
      </c>
      <c r="AH33" s="546">
        <f t="shared" si="110"/>
        <v>95.965700258763846</v>
      </c>
      <c r="AI33" s="528">
        <f t="shared" si="111"/>
        <v>-5.9999991337072789</v>
      </c>
      <c r="AJ33" s="529">
        <f t="shared" si="112"/>
        <v>-83.881860932564223</v>
      </c>
      <c r="AK33" s="578">
        <f t="shared" si="238"/>
        <v>1.0755285551056204E-16</v>
      </c>
      <c r="AL33" s="572">
        <f t="shared" si="113"/>
        <v>-0.10452844823082079</v>
      </c>
      <c r="AM33" s="577">
        <f t="shared" si="114"/>
        <v>-0.99452189694870807</v>
      </c>
      <c r="AN33" s="524">
        <f t="shared" si="115"/>
        <v>-5.9999991337073082</v>
      </c>
      <c r="AO33" s="525">
        <f t="shared" si="116"/>
        <v>0</v>
      </c>
      <c r="AP33" s="528">
        <f t="shared" si="117"/>
        <v>-89.999999999999943</v>
      </c>
      <c r="AQ33" s="529">
        <f t="shared" si="21"/>
        <v>1.4273359462651609</v>
      </c>
      <c r="AS33" s="932">
        <f t="shared" si="143"/>
        <v>276.55102991330671</v>
      </c>
      <c r="AT33" s="928">
        <f t="shared" si="22"/>
        <v>-4.2082326029507289E-2</v>
      </c>
      <c r="AU33" s="418"/>
      <c r="AV33" s="164" t="str">
        <f t="shared" si="23"/>
        <v/>
      </c>
      <c r="AW33" s="829" t="str">
        <f>IFERROR(INDEX(MassProp!C$9:C$150,MATCH($M33,MassProp!$B$9:$B$150,0)),"")</f>
        <v/>
      </c>
      <c r="AX33" s="830" t="str">
        <f>IFERROR(INDEX(MassProp!D$9:D$150,MATCH($M33,MassProp!$B$9:$B$150,0)),"")</f>
        <v/>
      </c>
      <c r="AY33" s="831" t="str">
        <f>IFERROR(INDEX(MassProp!E$9:E$150,MATCH($M33,MassProp!$B$9:$B$150,0)),"")</f>
        <v/>
      </c>
      <c r="AZ33" s="297" t="str">
        <f t="shared" si="144"/>
        <v/>
      </c>
      <c r="BA33" s="296" t="str">
        <f t="shared" si="24"/>
        <v/>
      </c>
      <c r="BB33" s="190" t="str">
        <f t="shared" si="145"/>
        <v/>
      </c>
      <c r="BC33" s="9"/>
      <c r="BD33" s="5" t="str">
        <f t="shared" si="146"/>
        <v/>
      </c>
      <c r="BE33" s="6" t="str">
        <f t="shared" si="25"/>
        <v/>
      </c>
      <c r="BF33" s="4" t="str">
        <f t="shared" si="26"/>
        <v/>
      </c>
      <c r="BG33" s="5" t="str">
        <f t="shared" si="27"/>
        <v/>
      </c>
      <c r="BH33" s="10" t="str">
        <f t="shared" si="28"/>
        <v/>
      </c>
      <c r="BI33" s="9" t="str">
        <f t="shared" si="147"/>
        <v/>
      </c>
      <c r="BJ33" s="5" t="str">
        <f t="shared" si="29"/>
        <v/>
      </c>
      <c r="BK33" s="8" t="str">
        <f t="shared" si="30"/>
        <v/>
      </c>
      <c r="BL33" s="173" t="str">
        <f t="shared" si="31"/>
        <v/>
      </c>
      <c r="BM33" s="5" t="str">
        <f t="shared" si="32"/>
        <v/>
      </c>
      <c r="BN33" s="6" t="str">
        <f t="shared" si="33"/>
        <v/>
      </c>
      <c r="BO33" s="4" t="str">
        <f t="shared" si="148"/>
        <v/>
      </c>
      <c r="BP33" s="5" t="str">
        <f t="shared" si="239"/>
        <v/>
      </c>
      <c r="BQ33" s="5" t="str">
        <f t="shared" si="149"/>
        <v/>
      </c>
      <c r="BR33" s="6" t="str">
        <f t="shared" si="150"/>
        <v/>
      </c>
      <c r="BS33" s="4" t="str">
        <f t="shared" si="118"/>
        <v/>
      </c>
      <c r="BT33" s="5" t="str">
        <f t="shared" si="118"/>
        <v/>
      </c>
      <c r="BU33" s="10" t="str">
        <f t="shared" si="119"/>
        <v/>
      </c>
      <c r="BV33" s="9" t="str">
        <f t="shared" si="120"/>
        <v/>
      </c>
      <c r="BW33" s="5" t="str">
        <f t="shared" si="121"/>
        <v/>
      </c>
      <c r="BX33" s="8" t="str">
        <f t="shared" si="122"/>
        <v/>
      </c>
      <c r="BY33" s="173" t="str">
        <f t="shared" si="123"/>
        <v/>
      </c>
      <c r="BZ33" s="5" t="str">
        <f t="shared" si="124"/>
        <v/>
      </c>
      <c r="CA33" s="6" t="str">
        <f t="shared" si="125"/>
        <v/>
      </c>
      <c r="CB33" s="4" t="str">
        <f t="shared" si="151"/>
        <v/>
      </c>
      <c r="CC33" s="5" t="str">
        <f t="shared" si="152"/>
        <v/>
      </c>
      <c r="CD33" s="5" t="str">
        <f t="shared" si="153"/>
        <v/>
      </c>
      <c r="CE33" s="6" t="str">
        <f t="shared" si="154"/>
        <v/>
      </c>
      <c r="CF33" s="4" t="str">
        <f t="shared" si="155"/>
        <v/>
      </c>
      <c r="CG33" s="5" t="str">
        <f t="shared" si="156"/>
        <v/>
      </c>
      <c r="CH33" s="5" t="str">
        <f t="shared" si="157"/>
        <v/>
      </c>
      <c r="CI33" s="4" t="str">
        <f t="shared" si="126"/>
        <v/>
      </c>
      <c r="CJ33" s="5" t="str">
        <f t="shared" si="127"/>
        <v/>
      </c>
      <c r="CK33" s="8" t="str">
        <f t="shared" si="128"/>
        <v/>
      </c>
      <c r="CL33" s="173" t="str">
        <f t="shared" si="129"/>
        <v/>
      </c>
      <c r="CM33" s="5" t="str">
        <f t="shared" si="130"/>
        <v/>
      </c>
      <c r="CN33" s="6" t="str">
        <f t="shared" si="131"/>
        <v/>
      </c>
      <c r="CO33" s="167" t="str">
        <f t="shared" si="35"/>
        <v/>
      </c>
      <c r="CP33" s="4" t="str">
        <f t="shared" si="240"/>
        <v/>
      </c>
      <c r="CQ33" s="5" t="str">
        <f t="shared" si="241"/>
        <v/>
      </c>
      <c r="CR33" s="5" t="str">
        <f t="shared" si="158"/>
        <v/>
      </c>
      <c r="CS33" s="8" t="str">
        <f t="shared" si="159"/>
        <v/>
      </c>
      <c r="CT33" s="9" t="str">
        <f t="shared" si="160"/>
        <v/>
      </c>
      <c r="CU33" s="6" t="str">
        <f t="shared" si="161"/>
        <v/>
      </c>
      <c r="CV33" s="4" t="str">
        <f t="shared" si="242"/>
        <v/>
      </c>
      <c r="CW33" s="5" t="str">
        <f t="shared" si="162"/>
        <v/>
      </c>
      <c r="CX33" s="8" t="str">
        <f t="shared" si="163"/>
        <v/>
      </c>
      <c r="CY33" s="9" t="str">
        <f t="shared" si="164"/>
        <v/>
      </c>
      <c r="CZ33" s="5" t="str">
        <f t="shared" si="165"/>
        <v/>
      </c>
      <c r="DA33" s="6" t="str">
        <f t="shared" si="166"/>
        <v/>
      </c>
      <c r="DB33" s="4" t="str">
        <f t="shared" si="167"/>
        <v/>
      </c>
      <c r="DC33" s="5" t="str">
        <f t="shared" si="167"/>
        <v/>
      </c>
      <c r="DD33" s="10" t="str">
        <f t="shared" si="168"/>
        <v/>
      </c>
      <c r="DE33" s="9" t="str">
        <f t="shared" si="169"/>
        <v/>
      </c>
      <c r="DF33" s="5" t="str">
        <f t="shared" si="169"/>
        <v/>
      </c>
      <c r="DG33" s="10" t="str">
        <f t="shared" si="170"/>
        <v/>
      </c>
      <c r="DH33" s="70" t="str">
        <f t="shared" si="171"/>
        <v/>
      </c>
      <c r="DI33" s="4" t="str">
        <f t="shared" si="172"/>
        <v/>
      </c>
      <c r="DJ33" s="5" t="str">
        <f t="shared" si="173"/>
        <v/>
      </c>
      <c r="DK33" s="10" t="str">
        <f t="shared" si="174"/>
        <v/>
      </c>
      <c r="DL33" s="9" t="str">
        <f t="shared" si="175"/>
        <v/>
      </c>
      <c r="DM33" s="173" t="str">
        <f t="shared" si="176"/>
        <v/>
      </c>
      <c r="DN33" s="178" t="str">
        <f t="shared" si="177"/>
        <v/>
      </c>
      <c r="DO33" s="9" t="str">
        <f t="shared" si="178"/>
        <v/>
      </c>
      <c r="DP33" s="173" t="str">
        <f t="shared" si="179"/>
        <v/>
      </c>
      <c r="DQ33" s="11" t="str">
        <f t="shared" si="180"/>
        <v/>
      </c>
      <c r="DR33" s="173" t="str">
        <f t="shared" si="181"/>
        <v/>
      </c>
      <c r="DS33" s="5" t="str">
        <f t="shared" si="182"/>
        <v/>
      </c>
      <c r="DT33" s="5" t="str">
        <f t="shared" si="183"/>
        <v/>
      </c>
      <c r="DU33" s="5" t="str">
        <f t="shared" si="184"/>
        <v/>
      </c>
      <c r="DV33" s="5" t="str">
        <f t="shared" si="185"/>
        <v/>
      </c>
      <c r="DW33" s="5" t="str">
        <f t="shared" si="186"/>
        <v/>
      </c>
      <c r="DX33" s="167" t="str">
        <f t="shared" si="187"/>
        <v/>
      </c>
      <c r="DY33" s="9" t="str">
        <f t="shared" si="188"/>
        <v/>
      </c>
      <c r="DZ33" s="5" t="str">
        <f t="shared" si="189"/>
        <v/>
      </c>
      <c r="EA33" s="10" t="str">
        <f t="shared" si="190"/>
        <v/>
      </c>
      <c r="EB33" s="6" t="str">
        <f t="shared" si="191"/>
        <v/>
      </c>
      <c r="EC33" s="173" t="str">
        <f t="shared" si="192"/>
        <v/>
      </c>
      <c r="ED33" s="5" t="str">
        <f t="shared" si="193"/>
        <v/>
      </c>
      <c r="EE33" s="4" t="str">
        <f t="shared" si="194"/>
        <v/>
      </c>
      <c r="EF33" s="5" t="str">
        <f t="shared" si="195"/>
        <v/>
      </c>
      <c r="EG33" s="10" t="str">
        <f t="shared" si="196"/>
        <v/>
      </c>
      <c r="EH33" s="9" t="str">
        <f t="shared" si="197"/>
        <v/>
      </c>
      <c r="EI33" s="5" t="str">
        <f t="shared" si="198"/>
        <v/>
      </c>
      <c r="EJ33" s="6" t="str">
        <f t="shared" si="199"/>
        <v/>
      </c>
      <c r="EK33" s="236" t="str">
        <f t="shared" si="200"/>
        <v/>
      </c>
      <c r="EL33" s="238" t="str">
        <f t="shared" si="201"/>
        <v/>
      </c>
      <c r="EM33" s="272" t="str">
        <f t="shared" si="202"/>
        <v/>
      </c>
      <c r="EN33" s="267" t="str">
        <f t="shared" si="203"/>
        <v/>
      </c>
      <c r="EO33" s="273" t="str">
        <f t="shared" si="204"/>
        <v/>
      </c>
      <c r="EP33" s="9" t="str">
        <f t="shared" si="205"/>
        <v/>
      </c>
      <c r="EQ33" s="5" t="str">
        <f t="shared" si="206"/>
        <v/>
      </c>
      <c r="ER33" s="7" t="str">
        <f t="shared" si="207"/>
        <v/>
      </c>
      <c r="ES33" s="274" t="str">
        <f t="shared" si="132"/>
        <v/>
      </c>
      <c r="ET33" s="267" t="str">
        <f t="shared" si="44"/>
        <v/>
      </c>
      <c r="EU33" s="273" t="str">
        <f t="shared" si="45"/>
        <v/>
      </c>
      <c r="EV33" s="174" t="str">
        <f t="shared" si="254"/>
        <v/>
      </c>
      <c r="EW33" s="9" t="str">
        <f t="shared" si="133"/>
        <v/>
      </c>
      <c r="EX33" s="5" t="str">
        <f t="shared" si="47"/>
        <v/>
      </c>
      <c r="EY33" s="6" t="str">
        <f t="shared" si="208"/>
        <v/>
      </c>
      <c r="EZ33" s="51" t="str">
        <f t="shared" si="209"/>
        <v/>
      </c>
      <c r="FA33" s="266" t="str">
        <f t="shared" si="134"/>
        <v/>
      </c>
      <c r="FB33" s="267" t="str">
        <f t="shared" si="135"/>
        <v/>
      </c>
      <c r="FC33" s="269" t="str">
        <f t="shared" si="48"/>
        <v/>
      </c>
      <c r="FD33" s="4" t="str">
        <f t="shared" si="136"/>
        <v/>
      </c>
      <c r="FE33" s="5" t="str">
        <f t="shared" si="49"/>
        <v/>
      </c>
      <c r="FF33" s="7" t="str">
        <f t="shared" si="210"/>
        <v/>
      </c>
      <c r="FG33" s="173" t="str">
        <f t="shared" si="211"/>
        <v/>
      </c>
      <c r="FH33" s="5" t="str">
        <f t="shared" si="50"/>
        <v/>
      </c>
      <c r="FI33" s="10" t="str">
        <f t="shared" si="51"/>
        <v/>
      </c>
      <c r="FJ33" s="279" t="str">
        <f t="shared" si="212"/>
        <v/>
      </c>
      <c r="FK33" s="4" t="str">
        <f t="shared" si="52"/>
        <v/>
      </c>
      <c r="FL33" s="5" t="str">
        <f t="shared" si="213"/>
        <v/>
      </c>
      <c r="FM33" s="8" t="str">
        <f t="shared" si="214"/>
        <v/>
      </c>
      <c r="FN33" s="9" t="str">
        <f t="shared" si="215"/>
        <v/>
      </c>
      <c r="FO33" s="10" t="str">
        <f t="shared" si="53"/>
        <v/>
      </c>
      <c r="FP33" s="277" t="str">
        <f t="shared" si="54"/>
        <v/>
      </c>
      <c r="FQ33" s="173" t="str">
        <f t="shared" si="243"/>
        <v/>
      </c>
      <c r="FR33" s="10" t="str">
        <f t="shared" si="216"/>
        <v/>
      </c>
      <c r="FS33" s="9" t="str">
        <f t="shared" si="217"/>
        <v/>
      </c>
      <c r="FT33" s="6" t="str">
        <f t="shared" si="218"/>
        <v/>
      </c>
      <c r="FU33" s="4" t="str">
        <f t="shared" si="219"/>
        <v/>
      </c>
      <c r="FV33" s="5" t="str">
        <f t="shared" si="220"/>
        <v/>
      </c>
      <c r="FW33" s="8" t="str">
        <f t="shared" si="244"/>
        <v/>
      </c>
      <c r="FX33" s="9" t="str">
        <f t="shared" si="245"/>
        <v/>
      </c>
      <c r="FY33" s="10" t="str">
        <f t="shared" si="55"/>
        <v/>
      </c>
      <c r="FZ33" s="277" t="str">
        <f t="shared" si="246"/>
        <v/>
      </c>
      <c r="GA33" s="177" t="str">
        <f t="shared" si="221"/>
        <v/>
      </c>
      <c r="GB33" s="4" t="str">
        <f t="shared" si="222"/>
        <v/>
      </c>
      <c r="GC33" s="5" t="str">
        <f t="shared" si="223"/>
        <v/>
      </c>
      <c r="GD33" s="10" t="str">
        <f t="shared" si="224"/>
        <v/>
      </c>
      <c r="GE33" s="311" t="str">
        <f t="shared" si="225"/>
        <v/>
      </c>
      <c r="GF33" s="341" t="str">
        <f t="shared" si="247"/>
        <v/>
      </c>
      <c r="GG33" s="285" t="str">
        <f t="shared" si="56"/>
        <v/>
      </c>
      <c r="GH33" s="286" t="str">
        <f t="shared" si="57"/>
        <v/>
      </c>
      <c r="GI33" s="281" t="str">
        <f t="shared" si="58"/>
        <v/>
      </c>
      <c r="GJ33" s="167" t="str">
        <f t="shared" si="226"/>
        <v/>
      </c>
      <c r="GK33" s="174" t="str">
        <f t="shared" si="59"/>
        <v/>
      </c>
      <c r="GL33" s="174" t="str">
        <f t="shared" si="227"/>
        <v/>
      </c>
      <c r="GM33" s="177" t="str">
        <f t="shared" si="248"/>
        <v/>
      </c>
      <c r="GN33" s="280" t="str">
        <f t="shared" si="228"/>
        <v/>
      </c>
      <c r="GO33" s="4" t="str">
        <f t="shared" si="229"/>
        <v/>
      </c>
      <c r="GP33" s="8" t="str">
        <f t="shared" si="249"/>
        <v/>
      </c>
      <c r="GQ33" s="177" t="str">
        <f t="shared" si="230"/>
        <v/>
      </c>
      <c r="GR33" s="371" t="str">
        <f t="shared" si="250"/>
        <v/>
      </c>
      <c r="GS33" s="342" t="str">
        <f t="shared" si="61"/>
        <v/>
      </c>
      <c r="GT33" s="343" t="str">
        <f t="shared" si="62"/>
        <v/>
      </c>
      <c r="GU33" s="344" t="str">
        <f t="shared" si="63"/>
        <v/>
      </c>
      <c r="GV33" s="343" t="str">
        <f t="shared" si="252"/>
        <v/>
      </c>
      <c r="GW33" s="345" t="str">
        <f t="shared" si="64"/>
        <v/>
      </c>
      <c r="GX33" s="346" t="str">
        <f t="shared" si="65"/>
        <v/>
      </c>
      <c r="GY33" s="344" t="str">
        <f t="shared" si="66"/>
        <v/>
      </c>
      <c r="GZ33" s="345" t="str">
        <f t="shared" si="67"/>
        <v/>
      </c>
      <c r="HA33" s="342" t="str">
        <f t="shared" si="68"/>
        <v/>
      </c>
      <c r="HB33" s="5" t="str">
        <f t="shared" si="231"/>
        <v/>
      </c>
      <c r="HC33" s="343" t="str">
        <f t="shared" si="232"/>
        <v/>
      </c>
      <c r="HD33" s="363" t="str">
        <f t="shared" si="233"/>
        <v/>
      </c>
      <c r="HE33" s="344" t="str">
        <f t="shared" si="69"/>
        <v/>
      </c>
      <c r="HF33" s="5" t="str">
        <f t="shared" si="70"/>
        <v/>
      </c>
      <c r="HG33" s="343" t="str">
        <f t="shared" si="234"/>
        <v/>
      </c>
      <c r="HH33" s="349" t="str">
        <f t="shared" si="235"/>
        <v/>
      </c>
      <c r="HI33" s="317" t="str">
        <f t="shared" si="71"/>
        <v/>
      </c>
      <c r="HJ33" s="336"/>
      <c r="HK33" s="310" t="str">
        <f t="shared" si="137"/>
        <v/>
      </c>
      <c r="HL33" s="348" t="str">
        <f t="shared" si="72"/>
        <v/>
      </c>
      <c r="HM33" s="909" t="str">
        <f t="shared" si="138"/>
        <v/>
      </c>
      <c r="HN33" s="910" t="str">
        <f t="shared" si="73"/>
        <v/>
      </c>
      <c r="HO33" s="911"/>
      <c r="HP33" s="912"/>
      <c r="HQ33" s="910" t="str">
        <f t="shared" si="74"/>
        <v/>
      </c>
      <c r="HR33" s="913" t="str">
        <f t="shared" si="75"/>
        <v/>
      </c>
      <c r="HS33" s="865" t="str">
        <f t="shared" si="251"/>
        <v/>
      </c>
      <c r="HT33" s="875" t="str">
        <f t="shared" si="76"/>
        <v/>
      </c>
      <c r="HU33" s="876" t="str">
        <f t="shared" si="77"/>
        <v/>
      </c>
      <c r="HV33" s="872" t="str">
        <f t="shared" si="78"/>
        <v/>
      </c>
      <c r="HW33" s="866" t="str">
        <f t="shared" si="79"/>
        <v/>
      </c>
      <c r="HX33" s="867" t="str">
        <f t="shared" si="80"/>
        <v/>
      </c>
      <c r="HY33" s="866" t="str">
        <f t="shared" si="81"/>
        <v/>
      </c>
      <c r="HZ33" s="868" t="str">
        <f t="shared" si="82"/>
        <v/>
      </c>
      <c r="IA33" s="869" t="str">
        <f t="shared" si="83"/>
        <v/>
      </c>
      <c r="IB33" s="870" t="str">
        <f t="shared" si="84"/>
        <v/>
      </c>
      <c r="IC33" s="841" t="str">
        <f t="shared" si="85"/>
        <v/>
      </c>
      <c r="ID33" s="351" t="str">
        <f t="shared" si="86"/>
        <v/>
      </c>
      <c r="IE33" s="843" t="str">
        <f t="shared" si="87"/>
        <v/>
      </c>
      <c r="IF33" s="844"/>
      <c r="IG33" s="790" t="str">
        <f>IFERROR(IF($IW33="","",IF($IW33&lt;(((Settings!$C$19/2)*-1)*$IG$8),"Taper","Nose")),"")</f>
        <v>Nose</v>
      </c>
      <c r="IH33" s="482" t="str">
        <f>IFERROR(IF((((($IY33*COS(RADIANS(180-$JA33)))*COS(RADIANS($JA33)))-(($IZ33*SIN(RADIANS(180-$JA33)))*SIN(RADIANS($JA33))))+$IW33)&lt;(((Settings!$C$19+$IH$8)/2)*-1),"Gage",""),"")</f>
        <v/>
      </c>
      <c r="II33" s="788">
        <f t="shared" si="236"/>
        <v>2.2160000000000002</v>
      </c>
      <c r="IJ33" s="674" cm="1">
        <f t="array" ref="IJ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2.1160000000000001</v>
      </c>
      <c r="IK33" s="677" cm="1">
        <f t="array" ref="IK33">IFERROR(ROUND(VALUE(IF($IJ33&lt;1,$IJ33+LARGE((IF($M$9:$M$150="",0,$M$9:$M$150)-MOD(IF($M$9:$M$150="",0,$M$9:$M$150),1)),1),$IJ33)),4),"")</f>
        <v>2.1160000000000001</v>
      </c>
      <c r="IL33" s="482">
        <f t="shared" si="88"/>
        <v>1613</v>
      </c>
      <c r="IM33" s="482" t="str">
        <f t="shared" si="237"/>
        <v>CPS-32193r1</v>
      </c>
      <c r="IN33" s="670">
        <f t="shared" si="90"/>
        <v>18.481469544900676</v>
      </c>
      <c r="IO33" s="702">
        <v>6.8837462985836498E-2</v>
      </c>
      <c r="IP33" s="5">
        <f t="shared" si="91"/>
        <v>1.56</v>
      </c>
      <c r="IQ33" s="714">
        <v>780</v>
      </c>
      <c r="IR33" s="9">
        <f t="shared" si="139"/>
        <v>-3.1946027962538608</v>
      </c>
      <c r="IS33" s="5">
        <f t="shared" si="92"/>
        <v>-0.11880493919077446</v>
      </c>
      <c r="IT33" s="5">
        <f t="shared" si="93"/>
        <v>0.3125</v>
      </c>
      <c r="IU33" s="5">
        <f t="shared" si="94"/>
        <v>0.300936898683071</v>
      </c>
      <c r="IV33" s="670">
        <f t="shared" si="95"/>
        <v>10.242376499105918</v>
      </c>
      <c r="IW33" s="9">
        <f t="shared" si="96"/>
        <v>-3.1937190736100054</v>
      </c>
      <c r="IX33" s="5">
        <f t="shared" si="97"/>
        <v>-0.15425909251969605</v>
      </c>
      <c r="IY33" s="5">
        <f t="shared" si="98"/>
        <v>0.255</v>
      </c>
      <c r="IZ33" s="5">
        <f t="shared" si="99"/>
        <v>0.255</v>
      </c>
      <c r="JA33" s="705">
        <f t="shared" si="100"/>
        <v>5.9999991337073082</v>
      </c>
    </row>
    <row r="34" spans="1:269" ht="15" customHeight="1" x14ac:dyDescent="0.25">
      <c r="A34" s="75">
        <f t="shared" si="1"/>
        <v>0</v>
      </c>
      <c r="B34" s="578">
        <f t="shared" si="2"/>
        <v>3.878126591350461</v>
      </c>
      <c r="C34" s="572">
        <f t="shared" si="3"/>
        <v>0.56642244007706855</v>
      </c>
      <c r="D34" s="576">
        <f t="shared" si="4"/>
        <v>-0.39102043806262499</v>
      </c>
      <c r="E34" s="580">
        <f t="shared" si="5"/>
        <v>0.44922423854638721</v>
      </c>
      <c r="F34" s="572">
        <f t="shared" si="6"/>
        <v>6.5611754373031406E-2</v>
      </c>
      <c r="G34" s="579">
        <f t="shared" si="7"/>
        <v>0.8910065550771844</v>
      </c>
      <c r="H34" s="580">
        <f t="shared" si="8"/>
        <v>0.255</v>
      </c>
      <c r="I34" s="572">
        <f t="shared" si="9"/>
        <v>0.41499999999999992</v>
      </c>
      <c r="J34" s="483">
        <f t="shared" si="10"/>
        <v>2.222</v>
      </c>
      <c r="K34" s="806" t="str">
        <f t="shared" si="11"/>
        <v>CPS-32193r1</v>
      </c>
      <c r="L34" s="309"/>
      <c r="M34" s="164">
        <f t="shared" si="12"/>
        <v>2.222</v>
      </c>
      <c r="N34" s="575">
        <f t="shared" si="13"/>
        <v>3.878126591350461</v>
      </c>
      <c r="O34" s="572">
        <f t="shared" si="14"/>
        <v>0.56642244007706855</v>
      </c>
      <c r="P34" s="576">
        <f t="shared" si="15"/>
        <v>-0.39102043806262499</v>
      </c>
      <c r="Q34" s="528">
        <f t="shared" si="140"/>
        <v>8.3096191473203369</v>
      </c>
      <c r="R34" s="572">
        <f>IF(M34="","",SQRT(N34^2+O34^2))</f>
        <v>3.9192729222602507</v>
      </c>
      <c r="S34" s="577">
        <f>IF(M34="","",P34)</f>
        <v>-0.39102043806262499</v>
      </c>
      <c r="T34" s="578">
        <f>IF(M34="","",X34*COS(RADIANS(W34)))</f>
        <v>0.59570667815175282</v>
      </c>
      <c r="U34" s="572">
        <f>IF(M34="","",X34*SIN(RADIANS(W34)))</f>
        <v>-3.873736412401831</v>
      </c>
      <c r="V34" s="579">
        <f>IF(M34="","",Y34)</f>
        <v>-0.39102043806262499</v>
      </c>
      <c r="W34" s="528">
        <f t="shared" si="253"/>
        <v>278.74250999319133</v>
      </c>
      <c r="X34" s="572">
        <f>IF(M34="","",R34)</f>
        <v>3.9192729222602507</v>
      </c>
      <c r="Y34" s="573">
        <f t="shared" si="255"/>
        <v>-0.39102043806262499</v>
      </c>
      <c r="Z34" s="575">
        <f t="shared" si="18"/>
        <v>-0.44922423854638721</v>
      </c>
      <c r="AA34" s="572">
        <f t="shared" si="19"/>
        <v>-6.5611754373031406E-2</v>
      </c>
      <c r="AB34" s="572">
        <f t="shared" si="20"/>
        <v>-0.8910065550771844</v>
      </c>
      <c r="AC34" s="579">
        <f>IF(M34="","",SQRT(Z34^2+AA34^2+AB34^2))</f>
        <v>1</v>
      </c>
      <c r="AD34" s="580">
        <f>IF(M34="","",Z34*(1/SQRT(Z34^2+AA34^2+AB34^2)))</f>
        <v>-0.44922423854638721</v>
      </c>
      <c r="AE34" s="572">
        <f>IF(M34="","",AA34*(1/SQRT(Z34^2+AA34^2+AB34^2)))</f>
        <v>-6.5611754373031406E-2</v>
      </c>
      <c r="AF34" s="576">
        <f>IF(M34="","",AB34*(1/SQRT(Z34^2+AA34^2+AB34^2)))</f>
        <v>-0.8910065550771844</v>
      </c>
      <c r="AG34" s="545">
        <f>IF(M34="","",DEGREES(ATAN2(-AF34,AE34)))</f>
        <v>-4.2115332259859191</v>
      </c>
      <c r="AH34" s="546">
        <f>IF(M34="","",DEGREES(ACOS(AD34)))</f>
        <v>116.6939227880854</v>
      </c>
      <c r="AI34" s="528">
        <f>IF(M34="","",DEGREES(-ACOS(-AF34)))</f>
        <v>-26.999996101682878</v>
      </c>
      <c r="AJ34" s="529">
        <f>IF(M34="","",DEGREES(ATAN2(-AE34,AD34)))</f>
        <v>-81.690380852679652</v>
      </c>
      <c r="AK34" s="578">
        <f>IF(M34="","",(COS(RADIANS((90-$Q$8)-W34))*AD34)+(-SIN(RADIANS((90-$Q$8)-W34))*AE34))</f>
        <v>-1.8041124150158794E-16</v>
      </c>
      <c r="AL34" s="572">
        <f>IF(M34="","",(SIN(RADIANS((90-$Q$8)-W34))*AD34)+(COS(RADIANS((90-$Q$8)-W34))*AE34))</f>
        <v>-0.45399043911682596</v>
      </c>
      <c r="AM34" s="577">
        <f>IF(M34="","",AF34)</f>
        <v>-0.8910065550771844</v>
      </c>
      <c r="AN34" s="524">
        <f>IF(M34="","",DEGREES(ATAN2(-AM34,AL34)))</f>
        <v>-26.999996101682878</v>
      </c>
      <c r="AO34" s="525">
        <f t="shared" si="116"/>
        <v>0</v>
      </c>
      <c r="AP34" s="528">
        <f>IF(M34="","",DEGREES(ATAN2(AK34,AL34)))</f>
        <v>-90.000000000000028</v>
      </c>
      <c r="AQ34" s="529">
        <f t="shared" si="21"/>
        <v>1.1631817819273798</v>
      </c>
      <c r="AS34" s="932">
        <f t="shared" si="143"/>
        <v>278.74250999319133</v>
      </c>
      <c r="AT34" s="928">
        <f t="shared" si="22"/>
        <v>-0.2818873939056093</v>
      </c>
      <c r="AU34" s="418"/>
      <c r="AV34" s="164" t="str">
        <f t="shared" si="23"/>
        <v/>
      </c>
      <c r="AW34" s="829" t="str">
        <f>IFERROR(INDEX(MassProp!C$9:C$150,MATCH($M34,MassProp!$B$9:$B$150,0)),"")</f>
        <v/>
      </c>
      <c r="AX34" s="830" t="str">
        <f>IFERROR(INDEX(MassProp!D$9:D$150,MATCH($M34,MassProp!$B$9:$B$150,0)),"")</f>
        <v/>
      </c>
      <c r="AY34" s="831" t="str">
        <f>IFERROR(INDEX(MassProp!E$9:E$150,MATCH($M34,MassProp!$B$9:$B$150,0)),"")</f>
        <v/>
      </c>
      <c r="AZ34" s="297" t="str">
        <f t="shared" si="144"/>
        <v/>
      </c>
      <c r="BA34" s="296" t="str">
        <f t="shared" si="24"/>
        <v/>
      </c>
      <c r="BB34" s="190" t="str">
        <f t="shared" si="145"/>
        <v/>
      </c>
      <c r="BC34" s="9"/>
      <c r="BD34" s="5" t="str">
        <f t="shared" si="146"/>
        <v/>
      </c>
      <c r="BE34" s="6" t="str">
        <f t="shared" si="25"/>
        <v/>
      </c>
      <c r="BF34" s="4" t="str">
        <f t="shared" si="26"/>
        <v/>
      </c>
      <c r="BG34" s="5" t="str">
        <f t="shared" si="27"/>
        <v/>
      </c>
      <c r="BH34" s="10" t="str">
        <f t="shared" si="28"/>
        <v/>
      </c>
      <c r="BI34" s="9" t="str">
        <f t="shared" si="147"/>
        <v/>
      </c>
      <c r="BJ34" s="5" t="str">
        <f t="shared" si="29"/>
        <v/>
      </c>
      <c r="BK34" s="8" t="str">
        <f t="shared" si="30"/>
        <v/>
      </c>
      <c r="BL34" s="173" t="str">
        <f t="shared" si="31"/>
        <v/>
      </c>
      <c r="BM34" s="5" t="str">
        <f t="shared" si="32"/>
        <v/>
      </c>
      <c r="BN34" s="6" t="str">
        <f t="shared" si="33"/>
        <v/>
      </c>
      <c r="BO34" s="4" t="str">
        <f t="shared" si="148"/>
        <v/>
      </c>
      <c r="BP34" s="5" t="str">
        <f t="shared" si="239"/>
        <v/>
      </c>
      <c r="BQ34" s="5" t="str">
        <f t="shared" si="149"/>
        <v/>
      </c>
      <c r="BR34" s="6" t="str">
        <f t="shared" si="150"/>
        <v/>
      </c>
      <c r="BS34" s="4" t="str">
        <f t="shared" si="118"/>
        <v/>
      </c>
      <c r="BT34" s="5" t="str">
        <f t="shared" si="118"/>
        <v/>
      </c>
      <c r="BU34" s="10" t="str">
        <f t="shared" si="119"/>
        <v/>
      </c>
      <c r="BV34" s="9" t="str">
        <f t="shared" si="120"/>
        <v/>
      </c>
      <c r="BW34" s="5" t="str">
        <f t="shared" si="121"/>
        <v/>
      </c>
      <c r="BX34" s="8" t="str">
        <f t="shared" si="122"/>
        <v/>
      </c>
      <c r="BY34" s="173" t="str">
        <f t="shared" si="123"/>
        <v/>
      </c>
      <c r="BZ34" s="5" t="str">
        <f t="shared" si="124"/>
        <v/>
      </c>
      <c r="CA34" s="6" t="str">
        <f t="shared" si="125"/>
        <v/>
      </c>
      <c r="CB34" s="4" t="str">
        <f t="shared" si="151"/>
        <v/>
      </c>
      <c r="CC34" s="5" t="str">
        <f t="shared" si="152"/>
        <v/>
      </c>
      <c r="CD34" s="5" t="str">
        <f t="shared" si="153"/>
        <v/>
      </c>
      <c r="CE34" s="6" t="str">
        <f t="shared" si="154"/>
        <v/>
      </c>
      <c r="CF34" s="4" t="str">
        <f t="shared" si="155"/>
        <v/>
      </c>
      <c r="CG34" s="5" t="str">
        <f t="shared" si="156"/>
        <v/>
      </c>
      <c r="CH34" s="5" t="str">
        <f t="shared" si="157"/>
        <v/>
      </c>
      <c r="CI34" s="4" t="str">
        <f t="shared" si="126"/>
        <v/>
      </c>
      <c r="CJ34" s="5" t="str">
        <f t="shared" si="127"/>
        <v/>
      </c>
      <c r="CK34" s="8" t="str">
        <f t="shared" si="128"/>
        <v/>
      </c>
      <c r="CL34" s="173" t="str">
        <f t="shared" si="129"/>
        <v/>
      </c>
      <c r="CM34" s="5" t="str">
        <f t="shared" si="130"/>
        <v/>
      </c>
      <c r="CN34" s="6" t="str">
        <f t="shared" si="131"/>
        <v/>
      </c>
      <c r="CO34" s="167" t="str">
        <f t="shared" si="35"/>
        <v/>
      </c>
      <c r="CP34" s="4" t="str">
        <f t="shared" si="240"/>
        <v/>
      </c>
      <c r="CQ34" s="5" t="str">
        <f t="shared" si="241"/>
        <v/>
      </c>
      <c r="CR34" s="5" t="str">
        <f t="shared" si="158"/>
        <v/>
      </c>
      <c r="CS34" s="8" t="str">
        <f t="shared" si="159"/>
        <v/>
      </c>
      <c r="CT34" s="9" t="str">
        <f t="shared" si="160"/>
        <v/>
      </c>
      <c r="CU34" s="6" t="str">
        <f t="shared" si="161"/>
        <v/>
      </c>
      <c r="CV34" s="4" t="str">
        <f t="shared" si="242"/>
        <v/>
      </c>
      <c r="CW34" s="5" t="str">
        <f t="shared" si="162"/>
        <v/>
      </c>
      <c r="CX34" s="8" t="str">
        <f t="shared" si="163"/>
        <v/>
      </c>
      <c r="CY34" s="9" t="str">
        <f t="shared" si="164"/>
        <v/>
      </c>
      <c r="CZ34" s="5" t="str">
        <f t="shared" si="165"/>
        <v/>
      </c>
      <c r="DA34" s="6" t="str">
        <f t="shared" si="166"/>
        <v/>
      </c>
      <c r="DB34" s="4" t="str">
        <f t="shared" si="167"/>
        <v/>
      </c>
      <c r="DC34" s="5" t="str">
        <f t="shared" si="167"/>
        <v/>
      </c>
      <c r="DD34" s="10" t="str">
        <f t="shared" si="168"/>
        <v/>
      </c>
      <c r="DE34" s="9" t="str">
        <f t="shared" si="169"/>
        <v/>
      </c>
      <c r="DF34" s="5" t="str">
        <f t="shared" si="169"/>
        <v/>
      </c>
      <c r="DG34" s="10" t="str">
        <f t="shared" si="170"/>
        <v/>
      </c>
      <c r="DH34" s="70" t="str">
        <f t="shared" si="171"/>
        <v/>
      </c>
      <c r="DI34" s="4" t="str">
        <f t="shared" si="172"/>
        <v/>
      </c>
      <c r="DJ34" s="5" t="str">
        <f t="shared" si="173"/>
        <v/>
      </c>
      <c r="DK34" s="10" t="str">
        <f t="shared" si="174"/>
        <v/>
      </c>
      <c r="DL34" s="9" t="str">
        <f t="shared" si="175"/>
        <v/>
      </c>
      <c r="DM34" s="173" t="str">
        <f t="shared" si="176"/>
        <v/>
      </c>
      <c r="DN34" s="178" t="str">
        <f t="shared" si="177"/>
        <v/>
      </c>
      <c r="DO34" s="9" t="str">
        <f t="shared" si="178"/>
        <v/>
      </c>
      <c r="DP34" s="173" t="str">
        <f t="shared" si="179"/>
        <v/>
      </c>
      <c r="DQ34" s="11" t="str">
        <f t="shared" si="180"/>
        <v/>
      </c>
      <c r="DR34" s="173" t="str">
        <f t="shared" si="181"/>
        <v/>
      </c>
      <c r="DS34" s="5" t="str">
        <f t="shared" si="182"/>
        <v/>
      </c>
      <c r="DT34" s="5" t="str">
        <f t="shared" si="183"/>
        <v/>
      </c>
      <c r="DU34" s="5" t="str">
        <f t="shared" si="184"/>
        <v/>
      </c>
      <c r="DV34" s="5" t="str">
        <f t="shared" si="185"/>
        <v/>
      </c>
      <c r="DW34" s="5" t="str">
        <f t="shared" si="186"/>
        <v/>
      </c>
      <c r="DX34" s="167" t="str">
        <f t="shared" si="187"/>
        <v/>
      </c>
      <c r="DY34" s="9" t="str">
        <f t="shared" si="188"/>
        <v/>
      </c>
      <c r="DZ34" s="5" t="str">
        <f t="shared" si="189"/>
        <v/>
      </c>
      <c r="EA34" s="10" t="str">
        <f t="shared" si="190"/>
        <v/>
      </c>
      <c r="EB34" s="6" t="str">
        <f t="shared" si="191"/>
        <v/>
      </c>
      <c r="EC34" s="173" t="str">
        <f t="shared" si="192"/>
        <v/>
      </c>
      <c r="ED34" s="5" t="str">
        <f t="shared" si="193"/>
        <v/>
      </c>
      <c r="EE34" s="4" t="str">
        <f t="shared" si="194"/>
        <v/>
      </c>
      <c r="EF34" s="5" t="str">
        <f t="shared" si="195"/>
        <v/>
      </c>
      <c r="EG34" s="10" t="str">
        <f t="shared" si="196"/>
        <v/>
      </c>
      <c r="EH34" s="9" t="str">
        <f t="shared" si="197"/>
        <v/>
      </c>
      <c r="EI34" s="5" t="str">
        <f t="shared" si="198"/>
        <v/>
      </c>
      <c r="EJ34" s="6" t="str">
        <f t="shared" si="199"/>
        <v/>
      </c>
      <c r="EK34" s="236" t="str">
        <f t="shared" si="200"/>
        <v/>
      </c>
      <c r="EL34" s="238" t="str">
        <f t="shared" si="201"/>
        <v/>
      </c>
      <c r="EM34" s="4" t="str">
        <f t="shared" si="202"/>
        <v/>
      </c>
      <c r="EN34" s="5" t="str">
        <f t="shared" si="203"/>
        <v/>
      </c>
      <c r="EO34" s="10" t="str">
        <f t="shared" si="204"/>
        <v/>
      </c>
      <c r="EP34" s="9" t="str">
        <f t="shared" si="205"/>
        <v/>
      </c>
      <c r="EQ34" s="5" t="str">
        <f t="shared" si="206"/>
        <v/>
      </c>
      <c r="ER34" s="7" t="str">
        <f t="shared" si="207"/>
        <v/>
      </c>
      <c r="ES34" s="21" t="str">
        <f t="shared" si="132"/>
        <v/>
      </c>
      <c r="ET34" s="5" t="str">
        <f t="shared" si="44"/>
        <v/>
      </c>
      <c r="EU34" s="10" t="str">
        <f t="shared" si="45"/>
        <v/>
      </c>
      <c r="EV34" s="174" t="str">
        <f t="shared" si="254"/>
        <v/>
      </c>
      <c r="EW34" s="9" t="str">
        <f t="shared" si="133"/>
        <v/>
      </c>
      <c r="EX34" s="5" t="str">
        <f t="shared" si="47"/>
        <v/>
      </c>
      <c r="EY34" s="6" t="str">
        <f t="shared" si="208"/>
        <v/>
      </c>
      <c r="EZ34" s="51" t="str">
        <f t="shared" si="209"/>
        <v/>
      </c>
      <c r="FA34" s="266" t="str">
        <f t="shared" si="134"/>
        <v/>
      </c>
      <c r="FB34" s="267" t="str">
        <f t="shared" si="135"/>
        <v/>
      </c>
      <c r="FC34" s="269" t="str">
        <f t="shared" si="48"/>
        <v/>
      </c>
      <c r="FD34" s="4" t="str">
        <f t="shared" si="136"/>
        <v/>
      </c>
      <c r="FE34" s="5" t="str">
        <f t="shared" si="49"/>
        <v/>
      </c>
      <c r="FF34" s="7" t="str">
        <f t="shared" si="210"/>
        <v/>
      </c>
      <c r="FG34" s="173" t="str">
        <f t="shared" si="211"/>
        <v/>
      </c>
      <c r="FH34" s="5" t="str">
        <f t="shared" si="50"/>
        <v/>
      </c>
      <c r="FI34" s="10" t="str">
        <f t="shared" si="51"/>
        <v/>
      </c>
      <c r="FJ34" s="279" t="str">
        <f t="shared" si="212"/>
        <v/>
      </c>
      <c r="FK34" s="4" t="str">
        <f t="shared" si="52"/>
        <v/>
      </c>
      <c r="FL34" s="5" t="str">
        <f t="shared" si="213"/>
        <v/>
      </c>
      <c r="FM34" s="8" t="str">
        <f t="shared" si="214"/>
        <v/>
      </c>
      <c r="FN34" s="9" t="str">
        <f t="shared" si="215"/>
        <v/>
      </c>
      <c r="FO34" s="10" t="str">
        <f t="shared" si="53"/>
        <v/>
      </c>
      <c r="FP34" s="277" t="str">
        <f t="shared" si="54"/>
        <v/>
      </c>
      <c r="FQ34" s="173" t="str">
        <f t="shared" si="243"/>
        <v/>
      </c>
      <c r="FR34" s="10" t="str">
        <f t="shared" si="216"/>
        <v/>
      </c>
      <c r="FS34" s="9" t="str">
        <f t="shared" si="217"/>
        <v/>
      </c>
      <c r="FT34" s="6" t="str">
        <f t="shared" si="218"/>
        <v/>
      </c>
      <c r="FU34" s="4" t="str">
        <f t="shared" si="219"/>
        <v/>
      </c>
      <c r="FV34" s="5" t="str">
        <f t="shared" si="220"/>
        <v/>
      </c>
      <c r="FW34" s="8" t="str">
        <f t="shared" si="244"/>
        <v/>
      </c>
      <c r="FX34" s="9" t="str">
        <f t="shared" si="245"/>
        <v/>
      </c>
      <c r="FY34" s="10" t="str">
        <f t="shared" si="55"/>
        <v/>
      </c>
      <c r="FZ34" s="277" t="str">
        <f t="shared" si="246"/>
        <v/>
      </c>
      <c r="GA34" s="177" t="str">
        <f t="shared" si="221"/>
        <v/>
      </c>
      <c r="GB34" s="4" t="str">
        <f t="shared" si="222"/>
        <v/>
      </c>
      <c r="GC34" s="5" t="str">
        <f t="shared" si="223"/>
        <v/>
      </c>
      <c r="GD34" s="10" t="str">
        <f t="shared" si="224"/>
        <v/>
      </c>
      <c r="GE34" s="311" t="str">
        <f t="shared" si="225"/>
        <v/>
      </c>
      <c r="GF34" s="341" t="str">
        <f t="shared" si="247"/>
        <v/>
      </c>
      <c r="GG34" s="285" t="str">
        <f t="shared" si="56"/>
        <v/>
      </c>
      <c r="GH34" s="286" t="str">
        <f t="shared" si="57"/>
        <v/>
      </c>
      <c r="GI34" s="281" t="str">
        <f t="shared" si="58"/>
        <v/>
      </c>
      <c r="GJ34" s="167" t="str">
        <f t="shared" si="226"/>
        <v/>
      </c>
      <c r="GK34" s="174" t="str">
        <f t="shared" si="59"/>
        <v/>
      </c>
      <c r="GL34" s="174" t="str">
        <f t="shared" si="227"/>
        <v/>
      </c>
      <c r="GM34" s="177" t="str">
        <f t="shared" si="248"/>
        <v/>
      </c>
      <c r="GN34" s="280" t="str">
        <f t="shared" si="228"/>
        <v/>
      </c>
      <c r="GO34" s="4" t="str">
        <f t="shared" si="229"/>
        <v/>
      </c>
      <c r="GP34" s="8" t="str">
        <f t="shared" si="249"/>
        <v/>
      </c>
      <c r="GQ34" s="177" t="str">
        <f t="shared" si="230"/>
        <v/>
      </c>
      <c r="GR34" s="371" t="str">
        <f t="shared" si="250"/>
        <v/>
      </c>
      <c r="GS34" s="342" t="str">
        <f t="shared" si="61"/>
        <v/>
      </c>
      <c r="GT34" s="343" t="str">
        <f t="shared" si="62"/>
        <v/>
      </c>
      <c r="GU34" s="344" t="str">
        <f t="shared" si="63"/>
        <v/>
      </c>
      <c r="GV34" s="343" t="str">
        <f t="shared" si="252"/>
        <v/>
      </c>
      <c r="GW34" s="345" t="str">
        <f t="shared" si="64"/>
        <v/>
      </c>
      <c r="GX34" s="346" t="str">
        <f t="shared" si="65"/>
        <v/>
      </c>
      <c r="GY34" s="344" t="str">
        <f t="shared" si="66"/>
        <v/>
      </c>
      <c r="GZ34" s="345" t="str">
        <f t="shared" si="67"/>
        <v/>
      </c>
      <c r="HA34" s="342" t="str">
        <f t="shared" si="68"/>
        <v/>
      </c>
      <c r="HB34" s="5" t="str">
        <f t="shared" si="231"/>
        <v/>
      </c>
      <c r="HC34" s="343" t="str">
        <f t="shared" si="232"/>
        <v/>
      </c>
      <c r="HD34" s="363" t="str">
        <f t="shared" si="233"/>
        <v/>
      </c>
      <c r="HE34" s="344" t="str">
        <f t="shared" si="69"/>
        <v/>
      </c>
      <c r="HF34" s="5" t="str">
        <f t="shared" si="70"/>
        <v/>
      </c>
      <c r="HG34" s="343" t="str">
        <f t="shared" si="234"/>
        <v/>
      </c>
      <c r="HH34" s="349" t="str">
        <f t="shared" si="235"/>
        <v/>
      </c>
      <c r="HI34" s="317" t="str">
        <f t="shared" si="71"/>
        <v/>
      </c>
      <c r="HJ34" s="336"/>
      <c r="HK34" s="310" t="str">
        <f t="shared" si="137"/>
        <v/>
      </c>
      <c r="HL34" s="348" t="str">
        <f t="shared" si="72"/>
        <v/>
      </c>
      <c r="HM34" s="909" t="str">
        <f t="shared" si="138"/>
        <v/>
      </c>
      <c r="HN34" s="910" t="str">
        <f t="shared" si="73"/>
        <v/>
      </c>
      <c r="HO34" s="911"/>
      <c r="HP34" s="912"/>
      <c r="HQ34" s="910" t="str">
        <f t="shared" si="74"/>
        <v/>
      </c>
      <c r="HR34" s="913" t="str">
        <f t="shared" si="75"/>
        <v/>
      </c>
      <c r="HS34" s="865" t="str">
        <f t="shared" si="251"/>
        <v/>
      </c>
      <c r="HT34" s="875" t="str">
        <f t="shared" si="76"/>
        <v/>
      </c>
      <c r="HU34" s="876" t="str">
        <f t="shared" si="77"/>
        <v/>
      </c>
      <c r="HV34" s="872" t="str">
        <f t="shared" si="78"/>
        <v/>
      </c>
      <c r="HW34" s="866" t="str">
        <f t="shared" si="79"/>
        <v/>
      </c>
      <c r="HX34" s="867" t="str">
        <f t="shared" si="80"/>
        <v/>
      </c>
      <c r="HY34" s="866" t="str">
        <f t="shared" si="81"/>
        <v/>
      </c>
      <c r="HZ34" s="868" t="str">
        <f t="shared" si="82"/>
        <v/>
      </c>
      <c r="IA34" s="869" t="str">
        <f t="shared" si="83"/>
        <v/>
      </c>
      <c r="IB34" s="870" t="str">
        <f t="shared" si="84"/>
        <v/>
      </c>
      <c r="IC34" s="841" t="str">
        <f t="shared" si="85"/>
        <v/>
      </c>
      <c r="ID34" s="351" t="str">
        <f t="shared" si="86"/>
        <v/>
      </c>
      <c r="IE34" s="843" t="str">
        <f t="shared" si="87"/>
        <v/>
      </c>
      <c r="IF34" s="844"/>
      <c r="IG34" s="790" t="str">
        <f>IFERROR(IF($IW34="","",IF($IW34&lt;(((Settings!$C$19/2)*-1)*$IG$8),"Taper","Nose")),"")</f>
        <v>Nose</v>
      </c>
      <c r="IH34" s="482" t="str">
        <f>IFERROR(IF((((($IY34*COS(RADIANS(180-$JA34)))*COS(RADIANS($JA34)))-(($IZ34*SIN(RADIANS(180-$JA34)))*SIN(RADIANS($JA34))))+$IW34)&lt;(((Settings!$C$19+$IH$8)/2)*-1),"Gage",""),"")</f>
        <v/>
      </c>
      <c r="II34" s="788">
        <f t="shared" si="236"/>
        <v>2.222</v>
      </c>
      <c r="IJ34" s="674" cm="1">
        <f t="array" ref="IJ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2.1219999999999999</v>
      </c>
      <c r="IK34" s="677" cm="1">
        <f t="array" ref="IK34">IFERROR(ROUND(VALUE(IF($IJ34&lt;1,$IJ34+LARGE((IF($M$9:$M$150="",0,$M$9:$M$150)-MOD(IF($M$9:$M$150="",0,$M$9:$M$150),1)),1),$IJ34)),4),"")</f>
        <v>2.1219999999999999</v>
      </c>
      <c r="IL34" s="482">
        <f t="shared" si="88"/>
        <v>1613</v>
      </c>
      <c r="IM34" s="482" t="str">
        <f t="shared" si="237"/>
        <v>CPS-32193r1</v>
      </c>
      <c r="IN34" s="670">
        <f t="shared" si="90"/>
        <v>15.802515770002231</v>
      </c>
      <c r="IO34" s="702">
        <v>5.9523524782473601E-2</v>
      </c>
      <c r="IP34" s="5">
        <f t="shared" si="91"/>
        <v>1.78</v>
      </c>
      <c r="IQ34" s="714">
        <v>890</v>
      </c>
      <c r="IR34" s="9">
        <f t="shared" si="139"/>
        <v>-3.923195158347927</v>
      </c>
      <c r="IS34" s="5">
        <f t="shared" si="92"/>
        <v>-0.3574623281411074</v>
      </c>
      <c r="IT34" s="5">
        <f t="shared" si="93"/>
        <v>0.3125</v>
      </c>
      <c r="IU34" s="5">
        <f t="shared" si="94"/>
        <v>0.29743921675420748</v>
      </c>
      <c r="IV34" s="670">
        <f t="shared" si="95"/>
        <v>29.091158349317926</v>
      </c>
      <c r="IW34" s="9">
        <f t="shared" si="96"/>
        <v>-3.9192729222602507</v>
      </c>
      <c r="IX34" s="5">
        <f t="shared" si="97"/>
        <v>-0.39102043806262499</v>
      </c>
      <c r="IY34" s="5">
        <f t="shared" si="98"/>
        <v>0.255</v>
      </c>
      <c r="IZ34" s="5">
        <f t="shared" si="99"/>
        <v>0.255</v>
      </c>
      <c r="JA34" s="705">
        <f t="shared" si="100"/>
        <v>26.999996101682878</v>
      </c>
      <c r="JI34" s="419"/>
    </row>
    <row r="35" spans="1:269" ht="15" customHeight="1" x14ac:dyDescent="0.25">
      <c r="A35" s="75">
        <f t="shared" si="1"/>
        <v>0</v>
      </c>
      <c r="B35" s="578">
        <f t="shared" si="2"/>
        <v>4.4392726783140954</v>
      </c>
      <c r="C35" s="572">
        <f t="shared" si="3"/>
        <v>0.76179852339491338</v>
      </c>
      <c r="D35" s="576">
        <f t="shared" si="4"/>
        <v>-0.86976760741104675</v>
      </c>
      <c r="E35" s="580">
        <f t="shared" si="5"/>
        <v>0.73243854669546282</v>
      </c>
      <c r="F35" s="572">
        <f t="shared" si="6"/>
        <v>0.12568964417883446</v>
      </c>
      <c r="G35" s="579">
        <f t="shared" si="7"/>
        <v>0.66913069624762889</v>
      </c>
      <c r="H35" s="580">
        <f t="shared" si="8"/>
        <v>0.255</v>
      </c>
      <c r="I35" s="572">
        <f t="shared" si="9"/>
        <v>0.41499999999999992</v>
      </c>
      <c r="J35" s="483">
        <f t="shared" si="10"/>
        <v>2.2280000000000002</v>
      </c>
      <c r="K35" s="806" t="str">
        <f t="shared" si="11"/>
        <v>CPS-32193r1</v>
      </c>
      <c r="L35" s="309"/>
      <c r="M35" s="164">
        <f t="shared" si="12"/>
        <v>2.2280000000000002</v>
      </c>
      <c r="N35" s="575">
        <f t="shared" si="13"/>
        <v>4.4392726783140954</v>
      </c>
      <c r="O35" s="572">
        <f t="shared" si="14"/>
        <v>0.76179852339491338</v>
      </c>
      <c r="P35" s="576">
        <f t="shared" si="15"/>
        <v>-0.86976760741104675</v>
      </c>
      <c r="Q35" s="528">
        <f t="shared" si="140"/>
        <v>9.7373623727245207</v>
      </c>
      <c r="R35" s="572">
        <f>IF(M35="","",SQRT(N35^2+O35^2))</f>
        <v>4.5041623974577867</v>
      </c>
      <c r="S35" s="577">
        <f>IF(M35="","",P35)</f>
        <v>-0.86976760741104675</v>
      </c>
      <c r="T35" s="578">
        <f>IF(M35="","",X35*COS(RADIANS(W35)))</f>
        <v>0.7953168113993806</v>
      </c>
      <c r="U35" s="572">
        <f>IF(M35="","",X35*SIN(RADIANS(W35)))</f>
        <v>-4.4333903586508372</v>
      </c>
      <c r="V35" s="579">
        <f>IF(M35="","",Y35)</f>
        <v>-0.86976760741104675</v>
      </c>
      <c r="W35" s="528">
        <f t="shared" si="253"/>
        <v>280.17025321859552</v>
      </c>
      <c r="X35" s="572">
        <f>IF(M35="","",R35)</f>
        <v>4.5041623974577867</v>
      </c>
      <c r="Y35" s="573">
        <f t="shared" si="255"/>
        <v>-0.86976760741104675</v>
      </c>
      <c r="Z35" s="575">
        <f t="shared" si="18"/>
        <v>-0.73243854669546282</v>
      </c>
      <c r="AA35" s="572">
        <f t="shared" si="19"/>
        <v>-0.12568964417883446</v>
      </c>
      <c r="AB35" s="572">
        <f t="shared" si="20"/>
        <v>-0.66913069624762889</v>
      </c>
      <c r="AC35" s="579">
        <f>IF(M35="","",SQRT(Z35^2+AA35^2+AB35^2))</f>
        <v>1</v>
      </c>
      <c r="AD35" s="580">
        <f>IF(M35="","",Z35*(1/SQRT(Z35^2+AA35^2+AB35^2)))</f>
        <v>-0.73243854669546282</v>
      </c>
      <c r="AE35" s="572">
        <f>IF(M35="","",AA35*(1/SQRT(Z35^2+AA35^2+AB35^2)))</f>
        <v>-0.12568964417883446</v>
      </c>
      <c r="AF35" s="576">
        <f>IF(M35="","",AB35*(1/SQRT(Z35^2+AA35^2+AB35^2)))</f>
        <v>-0.66913069624762889</v>
      </c>
      <c r="AG35" s="545">
        <f>IF(M35="","",DEGREES(ATAN2(-AF35,AE35)))</f>
        <v>-10.638484176701256</v>
      </c>
      <c r="AH35" s="546">
        <f>IF(M35="","",DEGREES(ACOS(AD35)))</f>
        <v>137.09121748477946</v>
      </c>
      <c r="AI35" s="528">
        <f>IF(M35="","",DEGREES(-ACOS(-AF35)))</f>
        <v>-47.999993069658444</v>
      </c>
      <c r="AJ35" s="529">
        <f>IF(M35="","",DEGREES(ATAN2(-AE35,AD35)))</f>
        <v>-80.262637627275467</v>
      </c>
      <c r="AK35" s="578">
        <f>IF(M35="","",(COS(RADIANS((90-$Q$8)-W35))*AD35)+(-SIN(RADIANS((90-$Q$8)-W35))*AE35))</f>
        <v>9.7144514654701197E-17</v>
      </c>
      <c r="AL35" s="572">
        <f>IF(M35="","",(SIN(RADIANS((90-$Q$8)-W35))*AD35)+(COS(RADIANS((90-$Q$8)-W35))*AE35))</f>
        <v>-0.74314474454117196</v>
      </c>
      <c r="AM35" s="577">
        <f>IF(M35="","",AF35)</f>
        <v>-0.66913069624762889</v>
      </c>
      <c r="AN35" s="524">
        <f>IF(M35="","",DEGREES(ATAN2(-AM35,AL35)))</f>
        <v>-47.999993069658451</v>
      </c>
      <c r="AO35" s="525">
        <f t="shared" si="116"/>
        <v>0</v>
      </c>
      <c r="AP35" s="528">
        <f>IF(M35="","",DEGREES(ATAN2(AK35,AL35)))</f>
        <v>-90</v>
      </c>
      <c r="AQ35" s="529">
        <f t="shared" si="21"/>
        <v>1.0121701998072945</v>
      </c>
      <c r="AS35" s="932">
        <f t="shared" si="143"/>
        <v>280.17025321859552</v>
      </c>
      <c r="AT35" s="928">
        <f t="shared" si="22"/>
        <v>-0.76261753995598136</v>
      </c>
      <c r="AU35" s="418"/>
      <c r="AV35" s="164" t="str">
        <f t="shared" si="23"/>
        <v/>
      </c>
      <c r="AW35" s="829" t="str">
        <f>IFERROR(INDEX(MassProp!C$9:C$150,MATCH($M35,MassProp!$B$9:$B$150,0)),"")</f>
        <v/>
      </c>
      <c r="AX35" s="830" t="str">
        <f>IFERROR(INDEX(MassProp!D$9:D$150,MATCH($M35,MassProp!$B$9:$B$150,0)),"")</f>
        <v/>
      </c>
      <c r="AY35" s="831" t="str">
        <f>IFERROR(INDEX(MassProp!E$9:E$150,MATCH($M35,MassProp!$B$9:$B$150,0)),"")</f>
        <v/>
      </c>
      <c r="AZ35" s="297" t="str">
        <f t="shared" si="144"/>
        <v/>
      </c>
      <c r="BA35" s="296" t="str">
        <f t="shared" si="24"/>
        <v/>
      </c>
      <c r="BB35" s="190" t="str">
        <f t="shared" si="145"/>
        <v/>
      </c>
      <c r="BC35" s="9"/>
      <c r="BD35" s="5" t="str">
        <f t="shared" si="146"/>
        <v/>
      </c>
      <c r="BE35" s="6" t="str">
        <f t="shared" si="25"/>
        <v/>
      </c>
      <c r="BF35" s="4" t="str">
        <f t="shared" si="26"/>
        <v/>
      </c>
      <c r="BG35" s="5" t="str">
        <f t="shared" si="27"/>
        <v/>
      </c>
      <c r="BH35" s="10" t="str">
        <f t="shared" si="28"/>
        <v/>
      </c>
      <c r="BI35" s="9" t="str">
        <f t="shared" si="147"/>
        <v/>
      </c>
      <c r="BJ35" s="5" t="str">
        <f t="shared" si="29"/>
        <v/>
      </c>
      <c r="BK35" s="8" t="str">
        <f t="shared" si="30"/>
        <v/>
      </c>
      <c r="BL35" s="173" t="str">
        <f t="shared" si="31"/>
        <v/>
      </c>
      <c r="BM35" s="5" t="str">
        <f t="shared" si="32"/>
        <v/>
      </c>
      <c r="BN35" s="6" t="str">
        <f t="shared" si="33"/>
        <v/>
      </c>
      <c r="BO35" s="4" t="str">
        <f t="shared" si="148"/>
        <v/>
      </c>
      <c r="BP35" s="5" t="str">
        <f t="shared" si="239"/>
        <v/>
      </c>
      <c r="BQ35" s="5" t="str">
        <f t="shared" si="149"/>
        <v/>
      </c>
      <c r="BR35" s="6" t="str">
        <f t="shared" si="150"/>
        <v/>
      </c>
      <c r="BS35" s="4" t="str">
        <f t="shared" si="118"/>
        <v/>
      </c>
      <c r="BT35" s="5" t="str">
        <f t="shared" si="118"/>
        <v/>
      </c>
      <c r="BU35" s="10" t="str">
        <f t="shared" si="119"/>
        <v/>
      </c>
      <c r="BV35" s="9" t="str">
        <f t="shared" si="120"/>
        <v/>
      </c>
      <c r="BW35" s="5" t="str">
        <f t="shared" si="121"/>
        <v/>
      </c>
      <c r="BX35" s="8" t="str">
        <f t="shared" si="122"/>
        <v/>
      </c>
      <c r="BY35" s="173" t="str">
        <f t="shared" si="123"/>
        <v/>
      </c>
      <c r="BZ35" s="5" t="str">
        <f t="shared" si="124"/>
        <v/>
      </c>
      <c r="CA35" s="6" t="str">
        <f t="shared" si="125"/>
        <v/>
      </c>
      <c r="CB35" s="4" t="str">
        <f t="shared" si="151"/>
        <v/>
      </c>
      <c r="CC35" s="5" t="str">
        <f t="shared" si="152"/>
        <v/>
      </c>
      <c r="CD35" s="5" t="str">
        <f t="shared" si="153"/>
        <v/>
      </c>
      <c r="CE35" s="6" t="str">
        <f t="shared" si="154"/>
        <v/>
      </c>
      <c r="CF35" s="4" t="str">
        <f t="shared" si="155"/>
        <v/>
      </c>
      <c r="CG35" s="5" t="str">
        <f t="shared" si="156"/>
        <v/>
      </c>
      <c r="CH35" s="5" t="str">
        <f t="shared" si="157"/>
        <v/>
      </c>
      <c r="CI35" s="4" t="str">
        <f t="shared" si="126"/>
        <v/>
      </c>
      <c r="CJ35" s="5" t="str">
        <f t="shared" si="127"/>
        <v/>
      </c>
      <c r="CK35" s="8" t="str">
        <f t="shared" si="128"/>
        <v/>
      </c>
      <c r="CL35" s="173" t="str">
        <f t="shared" si="129"/>
        <v/>
      </c>
      <c r="CM35" s="5" t="str">
        <f t="shared" si="130"/>
        <v/>
      </c>
      <c r="CN35" s="6" t="str">
        <f t="shared" si="131"/>
        <v/>
      </c>
      <c r="CO35" s="167" t="str">
        <f t="shared" si="35"/>
        <v/>
      </c>
      <c r="CP35" s="4" t="str">
        <f t="shared" si="240"/>
        <v/>
      </c>
      <c r="CQ35" s="5" t="str">
        <f t="shared" si="241"/>
        <v/>
      </c>
      <c r="CR35" s="5" t="str">
        <f t="shared" si="158"/>
        <v/>
      </c>
      <c r="CS35" s="8" t="str">
        <f t="shared" si="159"/>
        <v/>
      </c>
      <c r="CT35" s="9" t="str">
        <f t="shared" si="160"/>
        <v/>
      </c>
      <c r="CU35" s="6" t="str">
        <f t="shared" si="161"/>
        <v/>
      </c>
      <c r="CV35" s="4" t="str">
        <f t="shared" si="242"/>
        <v/>
      </c>
      <c r="CW35" s="5" t="str">
        <f t="shared" si="162"/>
        <v/>
      </c>
      <c r="CX35" s="8" t="str">
        <f t="shared" si="163"/>
        <v/>
      </c>
      <c r="CY35" s="9" t="str">
        <f t="shared" si="164"/>
        <v/>
      </c>
      <c r="CZ35" s="5" t="str">
        <f t="shared" si="165"/>
        <v/>
      </c>
      <c r="DA35" s="6" t="str">
        <f t="shared" si="166"/>
        <v/>
      </c>
      <c r="DB35" s="4" t="str">
        <f t="shared" si="167"/>
        <v/>
      </c>
      <c r="DC35" s="5" t="str">
        <f t="shared" si="167"/>
        <v/>
      </c>
      <c r="DD35" s="10" t="str">
        <f t="shared" si="168"/>
        <v/>
      </c>
      <c r="DE35" s="9" t="str">
        <f t="shared" si="169"/>
        <v/>
      </c>
      <c r="DF35" s="5" t="str">
        <f t="shared" si="169"/>
        <v/>
      </c>
      <c r="DG35" s="10" t="str">
        <f t="shared" si="170"/>
        <v/>
      </c>
      <c r="DH35" s="70" t="str">
        <f t="shared" si="171"/>
        <v/>
      </c>
      <c r="DI35" s="4" t="str">
        <f t="shared" si="172"/>
        <v/>
      </c>
      <c r="DJ35" s="5" t="str">
        <f t="shared" si="173"/>
        <v/>
      </c>
      <c r="DK35" s="10" t="str">
        <f t="shared" si="174"/>
        <v/>
      </c>
      <c r="DL35" s="9" t="str">
        <f t="shared" si="175"/>
        <v/>
      </c>
      <c r="DM35" s="173" t="str">
        <f t="shared" si="176"/>
        <v/>
      </c>
      <c r="DN35" s="178" t="str">
        <f t="shared" si="177"/>
        <v/>
      </c>
      <c r="DO35" s="9" t="str">
        <f t="shared" si="178"/>
        <v/>
      </c>
      <c r="DP35" s="173" t="str">
        <f t="shared" si="179"/>
        <v/>
      </c>
      <c r="DQ35" s="11" t="str">
        <f t="shared" si="180"/>
        <v/>
      </c>
      <c r="DR35" s="173" t="str">
        <f t="shared" si="181"/>
        <v/>
      </c>
      <c r="DS35" s="5" t="str">
        <f t="shared" si="182"/>
        <v/>
      </c>
      <c r="DT35" s="5" t="str">
        <f t="shared" si="183"/>
        <v/>
      </c>
      <c r="DU35" s="5" t="str">
        <f t="shared" si="184"/>
        <v/>
      </c>
      <c r="DV35" s="5" t="str">
        <f t="shared" si="185"/>
        <v/>
      </c>
      <c r="DW35" s="5" t="str">
        <f t="shared" si="186"/>
        <v/>
      </c>
      <c r="DX35" s="167" t="str">
        <f t="shared" si="187"/>
        <v/>
      </c>
      <c r="DY35" s="9" t="str">
        <f t="shared" si="188"/>
        <v/>
      </c>
      <c r="DZ35" s="5" t="str">
        <f t="shared" si="189"/>
        <v/>
      </c>
      <c r="EA35" s="10" t="str">
        <f t="shared" si="190"/>
        <v/>
      </c>
      <c r="EB35" s="6" t="str">
        <f t="shared" si="191"/>
        <v/>
      </c>
      <c r="EC35" s="173" t="str">
        <f t="shared" si="192"/>
        <v/>
      </c>
      <c r="ED35" s="5" t="str">
        <f t="shared" si="193"/>
        <v/>
      </c>
      <c r="EE35" s="4" t="str">
        <f t="shared" si="194"/>
        <v/>
      </c>
      <c r="EF35" s="5" t="str">
        <f t="shared" si="195"/>
        <v/>
      </c>
      <c r="EG35" s="10" t="str">
        <f t="shared" si="196"/>
        <v/>
      </c>
      <c r="EH35" s="9" t="str">
        <f t="shared" si="197"/>
        <v/>
      </c>
      <c r="EI35" s="5" t="str">
        <f t="shared" si="198"/>
        <v/>
      </c>
      <c r="EJ35" s="6" t="str">
        <f t="shared" si="199"/>
        <v/>
      </c>
      <c r="EK35" s="236" t="str">
        <f t="shared" si="200"/>
        <v/>
      </c>
      <c r="EL35" s="238" t="str">
        <f t="shared" si="201"/>
        <v/>
      </c>
      <c r="EM35" s="4" t="str">
        <f t="shared" si="202"/>
        <v/>
      </c>
      <c r="EN35" s="5" t="str">
        <f t="shared" si="203"/>
        <v/>
      </c>
      <c r="EO35" s="10" t="str">
        <f t="shared" si="204"/>
        <v/>
      </c>
      <c r="EP35" s="9" t="str">
        <f t="shared" si="205"/>
        <v/>
      </c>
      <c r="EQ35" s="5" t="str">
        <f t="shared" si="206"/>
        <v/>
      </c>
      <c r="ER35" s="7" t="str">
        <f t="shared" si="207"/>
        <v/>
      </c>
      <c r="ES35" s="21" t="str">
        <f t="shared" si="132"/>
        <v/>
      </c>
      <c r="ET35" s="5" t="str">
        <f t="shared" si="44"/>
        <v/>
      </c>
      <c r="EU35" s="10" t="str">
        <f t="shared" si="45"/>
        <v/>
      </c>
      <c r="EV35" s="174" t="str">
        <f t="shared" si="254"/>
        <v/>
      </c>
      <c r="EW35" s="9" t="str">
        <f t="shared" si="133"/>
        <v/>
      </c>
      <c r="EX35" s="5" t="str">
        <f t="shared" si="47"/>
        <v/>
      </c>
      <c r="EY35" s="6" t="str">
        <f t="shared" si="208"/>
        <v/>
      </c>
      <c r="EZ35" s="51" t="str">
        <f t="shared" si="209"/>
        <v/>
      </c>
      <c r="FA35" s="266" t="str">
        <f t="shared" si="134"/>
        <v/>
      </c>
      <c r="FB35" s="267" t="str">
        <f t="shared" si="135"/>
        <v/>
      </c>
      <c r="FC35" s="269" t="str">
        <f t="shared" si="48"/>
        <v/>
      </c>
      <c r="FD35" s="4" t="str">
        <f t="shared" si="136"/>
        <v/>
      </c>
      <c r="FE35" s="5" t="str">
        <f t="shared" si="49"/>
        <v/>
      </c>
      <c r="FF35" s="7" t="str">
        <f t="shared" si="210"/>
        <v/>
      </c>
      <c r="FG35" s="173" t="str">
        <f t="shared" si="211"/>
        <v/>
      </c>
      <c r="FH35" s="5" t="str">
        <f t="shared" si="50"/>
        <v/>
      </c>
      <c r="FI35" s="10" t="str">
        <f t="shared" si="51"/>
        <v/>
      </c>
      <c r="FJ35" s="279" t="str">
        <f t="shared" si="212"/>
        <v/>
      </c>
      <c r="FK35" s="4" t="str">
        <f t="shared" si="52"/>
        <v/>
      </c>
      <c r="FL35" s="5" t="str">
        <f t="shared" si="213"/>
        <v/>
      </c>
      <c r="FM35" s="8" t="str">
        <f t="shared" si="214"/>
        <v/>
      </c>
      <c r="FN35" s="9" t="str">
        <f t="shared" si="215"/>
        <v/>
      </c>
      <c r="FO35" s="10" t="str">
        <f t="shared" si="53"/>
        <v/>
      </c>
      <c r="FP35" s="277" t="str">
        <f t="shared" si="54"/>
        <v/>
      </c>
      <c r="FQ35" s="173" t="str">
        <f t="shared" si="243"/>
        <v/>
      </c>
      <c r="FR35" s="10" t="str">
        <f t="shared" si="216"/>
        <v/>
      </c>
      <c r="FS35" s="9" t="str">
        <f t="shared" si="217"/>
        <v/>
      </c>
      <c r="FT35" s="6" t="str">
        <f t="shared" si="218"/>
        <v/>
      </c>
      <c r="FU35" s="4" t="str">
        <f t="shared" si="219"/>
        <v/>
      </c>
      <c r="FV35" s="5" t="str">
        <f t="shared" si="220"/>
        <v/>
      </c>
      <c r="FW35" s="8" t="str">
        <f t="shared" si="244"/>
        <v/>
      </c>
      <c r="FX35" s="9" t="str">
        <f t="shared" si="245"/>
        <v/>
      </c>
      <c r="FY35" s="10" t="str">
        <f t="shared" si="55"/>
        <v/>
      </c>
      <c r="FZ35" s="277" t="str">
        <f t="shared" si="246"/>
        <v/>
      </c>
      <c r="GA35" s="177" t="str">
        <f t="shared" si="221"/>
        <v/>
      </c>
      <c r="GB35" s="4" t="str">
        <f t="shared" si="222"/>
        <v/>
      </c>
      <c r="GC35" s="5" t="str">
        <f t="shared" si="223"/>
        <v/>
      </c>
      <c r="GD35" s="10" t="str">
        <f t="shared" si="224"/>
        <v/>
      </c>
      <c r="GE35" s="311" t="str">
        <f t="shared" si="225"/>
        <v/>
      </c>
      <c r="GF35" s="341" t="str">
        <f t="shared" si="247"/>
        <v/>
      </c>
      <c r="GG35" s="285" t="str">
        <f t="shared" si="56"/>
        <v/>
      </c>
      <c r="GH35" s="286" t="str">
        <f t="shared" si="57"/>
        <v/>
      </c>
      <c r="GI35" s="281" t="str">
        <f t="shared" si="58"/>
        <v/>
      </c>
      <c r="GJ35" s="167" t="str">
        <f t="shared" si="226"/>
        <v/>
      </c>
      <c r="GK35" s="174" t="str">
        <f t="shared" si="59"/>
        <v/>
      </c>
      <c r="GL35" s="174" t="str">
        <f t="shared" si="227"/>
        <v/>
      </c>
      <c r="GM35" s="177" t="str">
        <f t="shared" si="248"/>
        <v/>
      </c>
      <c r="GN35" s="280" t="str">
        <f t="shared" si="228"/>
        <v/>
      </c>
      <c r="GO35" s="4" t="str">
        <f t="shared" si="229"/>
        <v/>
      </c>
      <c r="GP35" s="8" t="str">
        <f t="shared" si="249"/>
        <v/>
      </c>
      <c r="GQ35" s="177" t="str">
        <f t="shared" si="230"/>
        <v/>
      </c>
      <c r="GR35" s="371" t="str">
        <f t="shared" si="250"/>
        <v/>
      </c>
      <c r="GS35" s="342" t="str">
        <f t="shared" si="61"/>
        <v/>
      </c>
      <c r="GT35" s="343" t="str">
        <f t="shared" si="62"/>
        <v/>
      </c>
      <c r="GU35" s="344" t="str">
        <f t="shared" si="63"/>
        <v/>
      </c>
      <c r="GV35" s="343" t="str">
        <f t="shared" si="252"/>
        <v/>
      </c>
      <c r="GW35" s="345" t="str">
        <f t="shared" si="64"/>
        <v/>
      </c>
      <c r="GX35" s="346" t="str">
        <f t="shared" si="65"/>
        <v/>
      </c>
      <c r="GY35" s="344" t="str">
        <f t="shared" si="66"/>
        <v/>
      </c>
      <c r="GZ35" s="345" t="str">
        <f t="shared" si="67"/>
        <v/>
      </c>
      <c r="HA35" s="342" t="str">
        <f t="shared" si="68"/>
        <v/>
      </c>
      <c r="HB35" s="5" t="str">
        <f t="shared" si="231"/>
        <v/>
      </c>
      <c r="HC35" s="343" t="str">
        <f t="shared" si="232"/>
        <v/>
      </c>
      <c r="HD35" s="363" t="str">
        <f t="shared" si="233"/>
        <v/>
      </c>
      <c r="HE35" s="344" t="str">
        <f t="shared" si="69"/>
        <v/>
      </c>
      <c r="HF35" s="5" t="str">
        <f t="shared" si="70"/>
        <v/>
      </c>
      <c r="HG35" s="343" t="str">
        <f t="shared" si="234"/>
        <v/>
      </c>
      <c r="HH35" s="349" t="str">
        <f t="shared" si="235"/>
        <v/>
      </c>
      <c r="HI35" s="317" t="str">
        <f t="shared" si="71"/>
        <v/>
      </c>
      <c r="HJ35" s="336"/>
      <c r="HK35" s="310" t="str">
        <f t="shared" si="137"/>
        <v/>
      </c>
      <c r="HL35" s="348" t="str">
        <f t="shared" si="72"/>
        <v/>
      </c>
      <c r="HM35" s="909" t="str">
        <f t="shared" si="138"/>
        <v/>
      </c>
      <c r="HN35" s="910" t="str">
        <f t="shared" si="73"/>
        <v/>
      </c>
      <c r="HO35" s="911"/>
      <c r="HP35" s="912"/>
      <c r="HQ35" s="910" t="str">
        <f t="shared" si="74"/>
        <v/>
      </c>
      <c r="HR35" s="913" t="str">
        <f t="shared" si="75"/>
        <v/>
      </c>
      <c r="HS35" s="865" t="str">
        <f t="shared" si="251"/>
        <v/>
      </c>
      <c r="HT35" s="875" t="str">
        <f t="shared" si="76"/>
        <v/>
      </c>
      <c r="HU35" s="876" t="str">
        <f t="shared" si="77"/>
        <v/>
      </c>
      <c r="HV35" s="872" t="str">
        <f t="shared" si="78"/>
        <v/>
      </c>
      <c r="HW35" s="866" t="str">
        <f t="shared" si="79"/>
        <v/>
      </c>
      <c r="HX35" s="867" t="str">
        <f t="shared" si="80"/>
        <v/>
      </c>
      <c r="HY35" s="866" t="str">
        <f t="shared" si="81"/>
        <v/>
      </c>
      <c r="HZ35" s="868" t="str">
        <f t="shared" si="82"/>
        <v/>
      </c>
      <c r="IA35" s="869" t="str">
        <f t="shared" si="83"/>
        <v/>
      </c>
      <c r="IB35" s="870" t="str">
        <f t="shared" si="84"/>
        <v/>
      </c>
      <c r="IC35" s="841" t="str">
        <f t="shared" si="85"/>
        <v/>
      </c>
      <c r="ID35" s="351" t="str">
        <f t="shared" si="86"/>
        <v/>
      </c>
      <c r="IE35" s="843" t="str">
        <f t="shared" si="87"/>
        <v/>
      </c>
      <c r="IF35" s="844"/>
      <c r="IG35" s="790" t="str">
        <f>IFERROR(IF($IW35="","",IF($IW35&lt;(((Settings!$C$19/2)*-1)*$IG$8),"Taper","Nose")),"")</f>
        <v>Taper</v>
      </c>
      <c r="IH35" s="482" t="str">
        <f>IFERROR(IF((((($IY35*COS(RADIANS(180-$JA35)))*COS(RADIANS($JA35)))-(($IZ35*SIN(RADIANS(180-$JA35)))*SIN(RADIANS($JA35))))+$IW35)&lt;(((Settings!$C$19+$IH$8)/2)*-1),"Gage",""),"")</f>
        <v/>
      </c>
      <c r="II35" s="788">
        <f t="shared" si="236"/>
        <v>2.2280000000000002</v>
      </c>
      <c r="IJ35" s="674" cm="1">
        <f t="array" ref="IJ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2.1280000000000001</v>
      </c>
      <c r="IK35" s="677" cm="1">
        <f t="array" ref="IK35">IFERROR(ROUND(VALUE(IF($IJ35&lt;1,$IJ35+LARGE((IF($M$9:$M$150="",0,$M$9:$M$150)-MOD(IF($M$9:$M$150="",0,$M$9:$M$150),1)),1),$IJ35)),4),"")</f>
        <v>2.1280000000000001</v>
      </c>
      <c r="IL35" s="482">
        <f t="shared" si="88"/>
        <v>1613</v>
      </c>
      <c r="IM35" s="482" t="str">
        <f t="shared" si="237"/>
        <v>CPS-32193r1</v>
      </c>
      <c r="IN35" s="670">
        <f t="shared" si="90"/>
        <v>13.673426042183394</v>
      </c>
      <c r="IO35" s="702">
        <v>5.7545390664378998E-2</v>
      </c>
      <c r="IP35" s="5">
        <f t="shared" si="91"/>
        <v>1.98</v>
      </c>
      <c r="IQ35" s="714">
        <v>990</v>
      </c>
      <c r="IR35" s="9">
        <f t="shared" si="139"/>
        <v>-4.5186798771013077</v>
      </c>
      <c r="IS35" s="5">
        <f t="shared" si="92"/>
        <v>-0.83989448125825528</v>
      </c>
      <c r="IT35" s="5">
        <f t="shared" si="93"/>
        <v>0.3125</v>
      </c>
      <c r="IU35" s="5">
        <f t="shared" si="94"/>
        <v>0.29011748659593367</v>
      </c>
      <c r="IV35" s="670">
        <f t="shared" si="95"/>
        <v>47.834713669325687</v>
      </c>
      <c r="IW35" s="9">
        <f t="shared" si="96"/>
        <v>-4.5041623974577867</v>
      </c>
      <c r="IX35" s="5">
        <f t="shared" si="97"/>
        <v>-0.86976760741104675</v>
      </c>
      <c r="IY35" s="5">
        <f t="shared" si="98"/>
        <v>0.255</v>
      </c>
      <c r="IZ35" s="5">
        <f t="shared" si="99"/>
        <v>0.255</v>
      </c>
      <c r="JA35" s="705">
        <f t="shared" si="100"/>
        <v>47.999993069658451</v>
      </c>
    </row>
    <row r="36" spans="1:269" ht="15" customHeight="1" x14ac:dyDescent="0.25">
      <c r="A36" s="75">
        <f t="shared" si="1"/>
        <v>0</v>
      </c>
      <c r="B36" s="578">
        <f t="shared" si="2"/>
        <v>4.8028002956841052</v>
      </c>
      <c r="C36" s="572">
        <f t="shared" si="3"/>
        <v>0.87117548928701927</v>
      </c>
      <c r="D36" s="576">
        <f t="shared" si="4"/>
        <v>-1.533273003894158</v>
      </c>
      <c r="E36" s="580">
        <f t="shared" si="5"/>
        <v>0.91859092475169779</v>
      </c>
      <c r="F36" s="572">
        <f t="shared" si="6"/>
        <v>0.16662235551294891</v>
      </c>
      <c r="G36" s="579">
        <f t="shared" si="7"/>
        <v>0.3583681118726067</v>
      </c>
      <c r="H36" s="580">
        <f t="shared" si="8"/>
        <v>0.255</v>
      </c>
      <c r="I36" s="572">
        <f t="shared" si="9"/>
        <v>0.41499999999999992</v>
      </c>
      <c r="J36" s="483">
        <f t="shared" si="10"/>
        <v>2.234</v>
      </c>
      <c r="K36" s="806" t="str">
        <f t="shared" si="11"/>
        <v>CPS-32193r1</v>
      </c>
      <c r="L36" s="309"/>
      <c r="M36" s="164">
        <f t="shared" si="12"/>
        <v>2.234</v>
      </c>
      <c r="N36" s="575">
        <f t="shared" si="13"/>
        <v>4.8028002956841052</v>
      </c>
      <c r="O36" s="572">
        <f t="shared" si="14"/>
        <v>0.87117548928701927</v>
      </c>
      <c r="P36" s="576">
        <f t="shared" si="15"/>
        <v>-1.533273003894158</v>
      </c>
      <c r="Q36" s="528">
        <f t="shared" si="140"/>
        <v>10.2810452563924</v>
      </c>
      <c r="R36" s="572">
        <f>IF(M36="","",SQRT(N36^2+O36^2))</f>
        <v>4.8811717254525888</v>
      </c>
      <c r="S36" s="577">
        <f>IF(M36="","",P36)</f>
        <v>-1.533273003894158</v>
      </c>
      <c r="T36" s="578">
        <f>IF(M36="","",X36*COS(RADIANS(W36)))</f>
        <v>0.90743721521757115</v>
      </c>
      <c r="U36" s="572">
        <f>IF(M36="","",X36*SIN(RADIANS(W36)))</f>
        <v>-4.7960812246870868</v>
      </c>
      <c r="V36" s="579">
        <f>IF(M36="","",Y36)</f>
        <v>-1.533273003894158</v>
      </c>
      <c r="W36" s="528">
        <f t="shared" si="253"/>
        <v>280.7139361022634</v>
      </c>
      <c r="X36" s="572">
        <f>IF(M36="","",R36)</f>
        <v>4.8811717254525888</v>
      </c>
      <c r="Y36" s="573">
        <f t="shared" si="255"/>
        <v>-1.533273003894158</v>
      </c>
      <c r="Z36" s="575">
        <f t="shared" si="18"/>
        <v>-0.91859092475169779</v>
      </c>
      <c r="AA36" s="572">
        <f t="shared" si="19"/>
        <v>-0.16662235551294891</v>
      </c>
      <c r="AB36" s="572">
        <f t="shared" si="20"/>
        <v>-0.3583681118726067</v>
      </c>
      <c r="AC36" s="579">
        <f>IF(M36="","",SQRT(Z36^2+AA36^2+AB36^2))</f>
        <v>1</v>
      </c>
      <c r="AD36" s="580">
        <f>IF(M36="","",Z36*(1/SQRT(Z36^2+AA36^2+AB36^2)))</f>
        <v>-0.91859092475169779</v>
      </c>
      <c r="AE36" s="572">
        <f>IF(M36="","",AA36*(1/SQRT(Z36^2+AA36^2+AB36^2)))</f>
        <v>-0.16662235551294891</v>
      </c>
      <c r="AF36" s="576">
        <f>IF(M36="","",AB36*(1/SQRT(Z36^2+AA36^2+AB36^2)))</f>
        <v>-0.3583681118726067</v>
      </c>
      <c r="AG36" s="545">
        <f>IF(M36="","",DEGREES(ATAN2(-AF36,AE36)))</f>
        <v>-24.935954069020625</v>
      </c>
      <c r="AH36" s="546">
        <f>IF(M36="","",DEGREES(ACOS(AD36)))</f>
        <v>156.72094637397612</v>
      </c>
      <c r="AI36" s="528">
        <f>IF(M36="","",DEGREES(-ACOS(-AF36)))</f>
        <v>-68.999990037634035</v>
      </c>
      <c r="AJ36" s="529">
        <f>IF(M36="","",DEGREES(ATAN2(-AE36,AD36)))</f>
        <v>-79.71895474360764</v>
      </c>
      <c r="AK36" s="578">
        <f>IF(M36="","",(COS(RADIANS((90-$Q$8)-W36))*AD36)+(-SIN(RADIANS((90-$Q$8)-W36))*AE36))</f>
        <v>-5.2735593669694936E-16</v>
      </c>
      <c r="AL36" s="572">
        <f>IF(M36="","",(SIN(RADIANS((90-$Q$8)-W36))*AD36)+(COS(RADIANS((90-$Q$8)-W36))*AE36))</f>
        <v>-0.93358036418557067</v>
      </c>
      <c r="AM36" s="577">
        <f>IF(M36="","",AF36)</f>
        <v>-0.3583681118726067</v>
      </c>
      <c r="AN36" s="524">
        <f>IF(M36="","",DEGREES(ATAN2(-AM36,AL36)))</f>
        <v>-68.999990037634035</v>
      </c>
      <c r="AO36" s="525">
        <f t="shared" si="116"/>
        <v>0</v>
      </c>
      <c r="AP36" s="528">
        <f>IF(M36="","",DEGREES(ATAN2(AK36,AL36)))</f>
        <v>-90.000000000000028</v>
      </c>
      <c r="AQ36" s="529">
        <f t="shared" si="21"/>
        <v>0.93400716845489673</v>
      </c>
      <c r="AS36" s="932">
        <f t="shared" si="143"/>
        <v>280.7139361022634</v>
      </c>
      <c r="AT36" s="928">
        <f t="shared" si="22"/>
        <v>-1.4268780515552979</v>
      </c>
      <c r="AU36" s="418"/>
      <c r="AV36" s="164" t="str">
        <f t="shared" si="23"/>
        <v/>
      </c>
      <c r="AW36" s="829" t="str">
        <f>IFERROR(INDEX(MassProp!C$9:C$150,MATCH($M36,MassProp!$B$9:$B$150,0)),"")</f>
        <v/>
      </c>
      <c r="AX36" s="830" t="str">
        <f>IFERROR(INDEX(MassProp!D$9:D$150,MATCH($M36,MassProp!$B$9:$B$150,0)),"")</f>
        <v/>
      </c>
      <c r="AY36" s="831" t="str">
        <f>IFERROR(INDEX(MassProp!E$9:E$150,MATCH($M36,MassProp!$B$9:$B$150,0)),"")</f>
        <v/>
      </c>
      <c r="AZ36" s="297" t="str">
        <f t="shared" si="144"/>
        <v/>
      </c>
      <c r="BA36" s="296" t="str">
        <f t="shared" si="24"/>
        <v/>
      </c>
      <c r="BB36" s="190" t="str">
        <f t="shared" si="145"/>
        <v/>
      </c>
      <c r="BC36" s="9"/>
      <c r="BD36" s="5" t="str">
        <f t="shared" si="146"/>
        <v/>
      </c>
      <c r="BE36" s="6" t="str">
        <f t="shared" si="25"/>
        <v/>
      </c>
      <c r="BF36" s="4" t="str">
        <f t="shared" si="26"/>
        <v/>
      </c>
      <c r="BG36" s="5" t="str">
        <f t="shared" si="27"/>
        <v/>
      </c>
      <c r="BH36" s="10" t="str">
        <f t="shared" si="28"/>
        <v/>
      </c>
      <c r="BI36" s="9" t="str">
        <f t="shared" si="147"/>
        <v/>
      </c>
      <c r="BJ36" s="5" t="str">
        <f t="shared" si="29"/>
        <v/>
      </c>
      <c r="BK36" s="8" t="str">
        <f t="shared" si="30"/>
        <v/>
      </c>
      <c r="BL36" s="173" t="str">
        <f t="shared" si="31"/>
        <v/>
      </c>
      <c r="BM36" s="5" t="str">
        <f t="shared" si="32"/>
        <v/>
      </c>
      <c r="BN36" s="6" t="str">
        <f t="shared" si="33"/>
        <v/>
      </c>
      <c r="BO36" s="4" t="str">
        <f t="shared" si="148"/>
        <v/>
      </c>
      <c r="BP36" s="5" t="str">
        <f t="shared" si="239"/>
        <v/>
      </c>
      <c r="BQ36" s="5" t="str">
        <f t="shared" si="149"/>
        <v/>
      </c>
      <c r="BR36" s="6" t="str">
        <f t="shared" si="150"/>
        <v/>
      </c>
      <c r="BS36" s="4" t="str">
        <f t="shared" si="118"/>
        <v/>
      </c>
      <c r="BT36" s="5" t="str">
        <f t="shared" si="118"/>
        <v/>
      </c>
      <c r="BU36" s="10" t="str">
        <f t="shared" si="119"/>
        <v/>
      </c>
      <c r="BV36" s="9" t="str">
        <f t="shared" si="120"/>
        <v/>
      </c>
      <c r="BW36" s="5" t="str">
        <f t="shared" si="121"/>
        <v/>
      </c>
      <c r="BX36" s="8" t="str">
        <f t="shared" si="122"/>
        <v/>
      </c>
      <c r="BY36" s="173" t="str">
        <f t="shared" si="123"/>
        <v/>
      </c>
      <c r="BZ36" s="5" t="str">
        <f t="shared" si="124"/>
        <v/>
      </c>
      <c r="CA36" s="6" t="str">
        <f t="shared" si="125"/>
        <v/>
      </c>
      <c r="CB36" s="4" t="str">
        <f t="shared" si="151"/>
        <v/>
      </c>
      <c r="CC36" s="5" t="str">
        <f t="shared" si="152"/>
        <v/>
      </c>
      <c r="CD36" s="5" t="str">
        <f t="shared" si="153"/>
        <v/>
      </c>
      <c r="CE36" s="6" t="str">
        <f t="shared" si="154"/>
        <v/>
      </c>
      <c r="CF36" s="4" t="str">
        <f t="shared" si="155"/>
        <v/>
      </c>
      <c r="CG36" s="5" t="str">
        <f t="shared" si="156"/>
        <v/>
      </c>
      <c r="CH36" s="5" t="str">
        <f t="shared" si="157"/>
        <v/>
      </c>
      <c r="CI36" s="4" t="str">
        <f t="shared" si="126"/>
        <v/>
      </c>
      <c r="CJ36" s="5" t="str">
        <f t="shared" si="127"/>
        <v/>
      </c>
      <c r="CK36" s="8" t="str">
        <f t="shared" si="128"/>
        <v/>
      </c>
      <c r="CL36" s="173" t="str">
        <f t="shared" si="129"/>
        <v/>
      </c>
      <c r="CM36" s="5" t="str">
        <f t="shared" si="130"/>
        <v/>
      </c>
      <c r="CN36" s="6" t="str">
        <f t="shared" si="131"/>
        <v/>
      </c>
      <c r="CO36" s="167" t="str">
        <f t="shared" si="35"/>
        <v/>
      </c>
      <c r="CP36" s="4" t="str">
        <f t="shared" si="240"/>
        <v/>
      </c>
      <c r="CQ36" s="5" t="str">
        <f t="shared" si="241"/>
        <v/>
      </c>
      <c r="CR36" s="5" t="str">
        <f t="shared" si="158"/>
        <v/>
      </c>
      <c r="CS36" s="8" t="str">
        <f t="shared" si="159"/>
        <v/>
      </c>
      <c r="CT36" s="9" t="str">
        <f t="shared" si="160"/>
        <v/>
      </c>
      <c r="CU36" s="6" t="str">
        <f t="shared" si="161"/>
        <v/>
      </c>
      <c r="CV36" s="4" t="str">
        <f t="shared" si="242"/>
        <v/>
      </c>
      <c r="CW36" s="5" t="str">
        <f t="shared" si="162"/>
        <v/>
      </c>
      <c r="CX36" s="8" t="str">
        <f t="shared" si="163"/>
        <v/>
      </c>
      <c r="CY36" s="9" t="str">
        <f t="shared" si="164"/>
        <v/>
      </c>
      <c r="CZ36" s="5" t="str">
        <f t="shared" si="165"/>
        <v/>
      </c>
      <c r="DA36" s="6" t="str">
        <f t="shared" si="166"/>
        <v/>
      </c>
      <c r="DB36" s="4" t="str">
        <f t="shared" si="167"/>
        <v/>
      </c>
      <c r="DC36" s="5" t="str">
        <f t="shared" si="167"/>
        <v/>
      </c>
      <c r="DD36" s="10" t="str">
        <f t="shared" si="168"/>
        <v/>
      </c>
      <c r="DE36" s="9" t="str">
        <f t="shared" si="169"/>
        <v/>
      </c>
      <c r="DF36" s="5" t="str">
        <f t="shared" si="169"/>
        <v/>
      </c>
      <c r="DG36" s="10" t="str">
        <f t="shared" si="170"/>
        <v/>
      </c>
      <c r="DH36" s="70" t="str">
        <f t="shared" si="171"/>
        <v/>
      </c>
      <c r="DI36" s="4" t="str">
        <f t="shared" si="172"/>
        <v/>
      </c>
      <c r="DJ36" s="5" t="str">
        <f t="shared" si="173"/>
        <v/>
      </c>
      <c r="DK36" s="10" t="str">
        <f t="shared" si="174"/>
        <v/>
      </c>
      <c r="DL36" s="9" t="str">
        <f t="shared" si="175"/>
        <v/>
      </c>
      <c r="DM36" s="173" t="str">
        <f t="shared" si="176"/>
        <v/>
      </c>
      <c r="DN36" s="178" t="str">
        <f t="shared" si="177"/>
        <v/>
      </c>
      <c r="DO36" s="9" t="str">
        <f t="shared" si="178"/>
        <v/>
      </c>
      <c r="DP36" s="173" t="str">
        <f t="shared" si="179"/>
        <v/>
      </c>
      <c r="DQ36" s="11" t="str">
        <f t="shared" si="180"/>
        <v/>
      </c>
      <c r="DR36" s="173" t="str">
        <f t="shared" si="181"/>
        <v/>
      </c>
      <c r="DS36" s="5" t="str">
        <f t="shared" si="182"/>
        <v/>
      </c>
      <c r="DT36" s="5" t="str">
        <f t="shared" si="183"/>
        <v/>
      </c>
      <c r="DU36" s="5" t="str">
        <f t="shared" si="184"/>
        <v/>
      </c>
      <c r="DV36" s="5" t="str">
        <f t="shared" si="185"/>
        <v/>
      </c>
      <c r="DW36" s="5" t="str">
        <f t="shared" si="186"/>
        <v/>
      </c>
      <c r="DX36" s="167" t="str">
        <f t="shared" si="187"/>
        <v/>
      </c>
      <c r="DY36" s="9" t="str">
        <f t="shared" si="188"/>
        <v/>
      </c>
      <c r="DZ36" s="5" t="str">
        <f t="shared" si="189"/>
        <v/>
      </c>
      <c r="EA36" s="10" t="str">
        <f t="shared" si="190"/>
        <v/>
      </c>
      <c r="EB36" s="6" t="str">
        <f t="shared" si="191"/>
        <v/>
      </c>
      <c r="EC36" s="173" t="str">
        <f t="shared" si="192"/>
        <v/>
      </c>
      <c r="ED36" s="5" t="str">
        <f t="shared" si="193"/>
        <v/>
      </c>
      <c r="EE36" s="4" t="str">
        <f t="shared" si="194"/>
        <v/>
      </c>
      <c r="EF36" s="5" t="str">
        <f t="shared" si="195"/>
        <v/>
      </c>
      <c r="EG36" s="10" t="str">
        <f t="shared" si="196"/>
        <v/>
      </c>
      <c r="EH36" s="9" t="str">
        <f t="shared" si="197"/>
        <v/>
      </c>
      <c r="EI36" s="5" t="str">
        <f t="shared" si="198"/>
        <v/>
      </c>
      <c r="EJ36" s="6" t="str">
        <f t="shared" si="199"/>
        <v/>
      </c>
      <c r="EK36" s="236" t="str">
        <f t="shared" si="200"/>
        <v/>
      </c>
      <c r="EL36" s="238" t="str">
        <f t="shared" si="201"/>
        <v/>
      </c>
      <c r="EM36" s="4" t="str">
        <f t="shared" si="202"/>
        <v/>
      </c>
      <c r="EN36" s="5" t="str">
        <f t="shared" si="203"/>
        <v/>
      </c>
      <c r="EO36" s="10" t="str">
        <f t="shared" si="204"/>
        <v/>
      </c>
      <c r="EP36" s="9" t="str">
        <f t="shared" si="205"/>
        <v/>
      </c>
      <c r="EQ36" s="5" t="str">
        <f t="shared" si="206"/>
        <v/>
      </c>
      <c r="ER36" s="7" t="str">
        <f t="shared" si="207"/>
        <v/>
      </c>
      <c r="ES36" s="21" t="str">
        <f t="shared" si="132"/>
        <v/>
      </c>
      <c r="ET36" s="5" t="str">
        <f t="shared" si="44"/>
        <v/>
      </c>
      <c r="EU36" s="10" t="str">
        <f t="shared" si="45"/>
        <v/>
      </c>
      <c r="EV36" s="174" t="str">
        <f t="shared" si="254"/>
        <v/>
      </c>
      <c r="EW36" s="9" t="str">
        <f t="shared" si="133"/>
        <v/>
      </c>
      <c r="EX36" s="5" t="str">
        <f t="shared" si="47"/>
        <v/>
      </c>
      <c r="EY36" s="6" t="str">
        <f t="shared" si="208"/>
        <v/>
      </c>
      <c r="EZ36" s="51" t="str">
        <f t="shared" si="209"/>
        <v/>
      </c>
      <c r="FA36" s="266" t="str">
        <f t="shared" si="134"/>
        <v/>
      </c>
      <c r="FB36" s="267" t="str">
        <f t="shared" si="135"/>
        <v/>
      </c>
      <c r="FC36" s="269" t="str">
        <f t="shared" si="48"/>
        <v/>
      </c>
      <c r="FD36" s="4" t="str">
        <f t="shared" si="136"/>
        <v/>
      </c>
      <c r="FE36" s="5" t="str">
        <f t="shared" si="49"/>
        <v/>
      </c>
      <c r="FF36" s="7" t="str">
        <f t="shared" si="210"/>
        <v/>
      </c>
      <c r="FG36" s="173" t="str">
        <f t="shared" si="211"/>
        <v/>
      </c>
      <c r="FH36" s="5" t="str">
        <f t="shared" si="50"/>
        <v/>
      </c>
      <c r="FI36" s="10" t="str">
        <f t="shared" si="51"/>
        <v/>
      </c>
      <c r="FJ36" s="279" t="str">
        <f t="shared" si="212"/>
        <v/>
      </c>
      <c r="FK36" s="4" t="str">
        <f t="shared" si="52"/>
        <v/>
      </c>
      <c r="FL36" s="5" t="str">
        <f t="shared" si="213"/>
        <v/>
      </c>
      <c r="FM36" s="8" t="str">
        <f t="shared" si="214"/>
        <v/>
      </c>
      <c r="FN36" s="9" t="str">
        <f t="shared" si="215"/>
        <v/>
      </c>
      <c r="FO36" s="10" t="str">
        <f t="shared" si="53"/>
        <v/>
      </c>
      <c r="FP36" s="277" t="str">
        <f t="shared" si="54"/>
        <v/>
      </c>
      <c r="FQ36" s="173" t="str">
        <f t="shared" si="243"/>
        <v/>
      </c>
      <c r="FR36" s="10" t="str">
        <f t="shared" si="216"/>
        <v/>
      </c>
      <c r="FS36" s="9" t="str">
        <f t="shared" si="217"/>
        <v/>
      </c>
      <c r="FT36" s="6" t="str">
        <f t="shared" si="218"/>
        <v/>
      </c>
      <c r="FU36" s="4" t="str">
        <f t="shared" si="219"/>
        <v/>
      </c>
      <c r="FV36" s="5" t="str">
        <f t="shared" si="220"/>
        <v/>
      </c>
      <c r="FW36" s="8" t="str">
        <f t="shared" si="244"/>
        <v/>
      </c>
      <c r="FX36" s="9" t="str">
        <f t="shared" si="245"/>
        <v/>
      </c>
      <c r="FY36" s="10" t="str">
        <f t="shared" si="55"/>
        <v/>
      </c>
      <c r="FZ36" s="277" t="str">
        <f t="shared" si="246"/>
        <v/>
      </c>
      <c r="GA36" s="177" t="str">
        <f t="shared" si="221"/>
        <v/>
      </c>
      <c r="GB36" s="4" t="str">
        <f t="shared" si="222"/>
        <v/>
      </c>
      <c r="GC36" s="5" t="str">
        <f t="shared" si="223"/>
        <v/>
      </c>
      <c r="GD36" s="10" t="str">
        <f t="shared" si="224"/>
        <v/>
      </c>
      <c r="GE36" s="311" t="str">
        <f t="shared" si="225"/>
        <v/>
      </c>
      <c r="GF36" s="341" t="str">
        <f t="shared" si="247"/>
        <v/>
      </c>
      <c r="GG36" s="285" t="str">
        <f t="shared" si="56"/>
        <v/>
      </c>
      <c r="GH36" s="286" t="str">
        <f t="shared" si="57"/>
        <v/>
      </c>
      <c r="GI36" s="281" t="str">
        <f t="shared" si="58"/>
        <v/>
      </c>
      <c r="GJ36" s="167" t="str">
        <f t="shared" si="226"/>
        <v/>
      </c>
      <c r="GK36" s="174" t="str">
        <f t="shared" si="59"/>
        <v/>
      </c>
      <c r="GL36" s="174" t="str">
        <f t="shared" si="227"/>
        <v/>
      </c>
      <c r="GM36" s="177" t="str">
        <f t="shared" si="248"/>
        <v/>
      </c>
      <c r="GN36" s="280" t="str">
        <f t="shared" si="228"/>
        <v/>
      </c>
      <c r="GO36" s="4" t="str">
        <f t="shared" si="229"/>
        <v/>
      </c>
      <c r="GP36" s="8" t="str">
        <f t="shared" si="249"/>
        <v/>
      </c>
      <c r="GQ36" s="177" t="str">
        <f t="shared" si="230"/>
        <v/>
      </c>
      <c r="GR36" s="371" t="str">
        <f t="shared" si="250"/>
        <v/>
      </c>
      <c r="GS36" s="342" t="str">
        <f t="shared" si="61"/>
        <v/>
      </c>
      <c r="GT36" s="343" t="str">
        <f t="shared" si="62"/>
        <v/>
      </c>
      <c r="GU36" s="344" t="str">
        <f t="shared" si="63"/>
        <v/>
      </c>
      <c r="GV36" s="343" t="str">
        <f t="shared" si="252"/>
        <v/>
      </c>
      <c r="GW36" s="345" t="str">
        <f t="shared" si="64"/>
        <v/>
      </c>
      <c r="GX36" s="346" t="str">
        <f t="shared" si="65"/>
        <v/>
      </c>
      <c r="GY36" s="344" t="str">
        <f t="shared" si="66"/>
        <v/>
      </c>
      <c r="GZ36" s="345" t="str">
        <f t="shared" si="67"/>
        <v/>
      </c>
      <c r="HA36" s="342" t="str">
        <f t="shared" si="68"/>
        <v/>
      </c>
      <c r="HB36" s="5" t="str">
        <f t="shared" si="231"/>
        <v/>
      </c>
      <c r="HC36" s="343" t="str">
        <f t="shared" si="232"/>
        <v/>
      </c>
      <c r="HD36" s="363" t="str">
        <f t="shared" si="233"/>
        <v/>
      </c>
      <c r="HE36" s="344" t="str">
        <f t="shared" si="69"/>
        <v/>
      </c>
      <c r="HF36" s="5" t="str">
        <f t="shared" si="70"/>
        <v/>
      </c>
      <c r="HG36" s="343" t="str">
        <f t="shared" si="234"/>
        <v/>
      </c>
      <c r="HH36" s="349" t="str">
        <f t="shared" si="235"/>
        <v/>
      </c>
      <c r="HI36" s="317" t="str">
        <f t="shared" si="71"/>
        <v/>
      </c>
      <c r="HJ36" s="336"/>
      <c r="HK36" s="310" t="str">
        <f t="shared" si="137"/>
        <v/>
      </c>
      <c r="HL36" s="348" t="str">
        <f t="shared" si="72"/>
        <v/>
      </c>
      <c r="HM36" s="909" t="str">
        <f t="shared" si="138"/>
        <v/>
      </c>
      <c r="HN36" s="910" t="str">
        <f t="shared" si="73"/>
        <v/>
      </c>
      <c r="HO36" s="911"/>
      <c r="HP36" s="912"/>
      <c r="HQ36" s="910" t="str">
        <f t="shared" si="74"/>
        <v/>
      </c>
      <c r="HR36" s="913" t="str">
        <f t="shared" si="75"/>
        <v/>
      </c>
      <c r="HS36" s="865" t="str">
        <f t="shared" si="251"/>
        <v/>
      </c>
      <c r="HT36" s="875" t="str">
        <f t="shared" si="76"/>
        <v/>
      </c>
      <c r="HU36" s="876" t="str">
        <f t="shared" si="77"/>
        <v/>
      </c>
      <c r="HV36" s="872" t="str">
        <f t="shared" si="78"/>
        <v/>
      </c>
      <c r="HW36" s="866" t="str">
        <f t="shared" si="79"/>
        <v/>
      </c>
      <c r="HX36" s="867" t="str">
        <f t="shared" si="80"/>
        <v/>
      </c>
      <c r="HY36" s="866" t="str">
        <f t="shared" si="81"/>
        <v/>
      </c>
      <c r="HZ36" s="868" t="str">
        <f t="shared" si="82"/>
        <v/>
      </c>
      <c r="IA36" s="869" t="str">
        <f t="shared" si="83"/>
        <v/>
      </c>
      <c r="IB36" s="870" t="str">
        <f t="shared" si="84"/>
        <v/>
      </c>
      <c r="IC36" s="841" t="str">
        <f t="shared" si="85"/>
        <v/>
      </c>
      <c r="ID36" s="351" t="str">
        <f t="shared" si="86"/>
        <v/>
      </c>
      <c r="IE36" s="843" t="str">
        <f t="shared" si="87"/>
        <v/>
      </c>
      <c r="IF36" s="844"/>
      <c r="IG36" s="790" t="str">
        <f>IFERROR(IF($IW36="","",IF($IW36&lt;(((Settings!$C$19/2)*-1)*$IG$8),"Taper","Nose")),"")</f>
        <v>Taper</v>
      </c>
      <c r="IH36" s="482" t="str">
        <f>IFERROR(IF((((($IY36*COS(RADIANS(180-$JA36)))*COS(RADIANS($JA36)))-(($IZ36*SIN(RADIANS(180-$JA36)))*SIN(RADIANS($JA36))))+$IW36)&lt;(((Settings!$C$19+$IH$8)/2)*-1),"Gage",""),"")</f>
        <v/>
      </c>
      <c r="II36" s="788">
        <f t="shared" si="236"/>
        <v>2.234</v>
      </c>
      <c r="IJ36" s="674" cm="1">
        <f t="array" ref="IJ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2.1339999999999999</v>
      </c>
      <c r="IK36" s="677" cm="1">
        <f t="array" ref="IK36">IFERROR(ROUND(VALUE(IF($IJ36&lt;1,$IJ36+LARGE((IF($M$9:$M$150="",0,$M$9:$M$150)-MOD(IF($M$9:$M$150="",0,$M$9:$M$150),1)),1),$IJ36)),4),"")</f>
        <v>2.1339999999999999</v>
      </c>
      <c r="IL36" s="482">
        <f t="shared" si="88"/>
        <v>1613</v>
      </c>
      <c r="IM36" s="482" t="str">
        <f t="shared" si="237"/>
        <v>CPS-32193r1</v>
      </c>
      <c r="IN36" s="670">
        <f t="shared" si="90"/>
        <v>12.582812059852813</v>
      </c>
      <c r="IO36" s="702">
        <v>5.0263646882176397E-2</v>
      </c>
      <c r="IP36" s="5">
        <f t="shared" si="91"/>
        <v>2.36</v>
      </c>
      <c r="IQ36" s="714">
        <v>1180</v>
      </c>
      <c r="IR36" s="9">
        <f t="shared" si="139"/>
        <v>-4.9033194043169575</v>
      </c>
      <c r="IS36" s="5">
        <f t="shared" si="92"/>
        <v>-1.5023874719178385</v>
      </c>
      <c r="IT36" s="5">
        <f t="shared" si="93"/>
        <v>0.3125</v>
      </c>
      <c r="IU36" s="5">
        <f t="shared" si="94"/>
        <v>0.28136480139397307</v>
      </c>
      <c r="IV36" s="670">
        <f t="shared" si="95"/>
        <v>66.440489504246187</v>
      </c>
      <c r="IW36" s="9">
        <f t="shared" si="96"/>
        <v>-4.8811717254525888</v>
      </c>
      <c r="IX36" s="5">
        <f t="shared" si="97"/>
        <v>-1.533273003894158</v>
      </c>
      <c r="IY36" s="5">
        <f t="shared" si="98"/>
        <v>0.255</v>
      </c>
      <c r="IZ36" s="5">
        <f t="shared" si="99"/>
        <v>0.255</v>
      </c>
      <c r="JA36" s="705">
        <f t="shared" si="100"/>
        <v>68.999990037634035</v>
      </c>
    </row>
    <row r="37" spans="1:269" ht="15" customHeight="1" x14ac:dyDescent="0.25">
      <c r="A37" s="75">
        <f t="shared" si="1"/>
        <v>0</v>
      </c>
      <c r="B37" s="578">
        <f t="shared" si="2"/>
        <v>4.9106516077882949</v>
      </c>
      <c r="C37" s="572">
        <f t="shared" si="3"/>
        <v>0.90191561988760793</v>
      </c>
      <c r="D37" s="576">
        <f t="shared" si="4"/>
        <v>-2.2818566031583245</v>
      </c>
      <c r="E37" s="580">
        <f t="shared" si="5"/>
        <v>0.98354861808118588</v>
      </c>
      <c r="F37" s="572">
        <f t="shared" si="6"/>
        <v>0.18064361563736017</v>
      </c>
      <c r="G37" s="579">
        <f t="shared" si="7"/>
        <v>2.2679489666832533E-7</v>
      </c>
      <c r="H37" s="580">
        <f t="shared" si="8"/>
        <v>0.255</v>
      </c>
      <c r="I37" s="572">
        <f t="shared" si="9"/>
        <v>0.41499999999999992</v>
      </c>
      <c r="J37" s="483">
        <f t="shared" si="10"/>
        <v>2.2400000000000002</v>
      </c>
      <c r="K37" s="806" t="str">
        <f t="shared" si="11"/>
        <v>CPS-32193r1</v>
      </c>
      <c r="L37" s="309"/>
      <c r="M37" s="164">
        <f t="shared" si="12"/>
        <v>2.2400000000000002</v>
      </c>
      <c r="N37" s="575">
        <f t="shared" si="13"/>
        <v>4.9106516077882949</v>
      </c>
      <c r="O37" s="572">
        <f t="shared" si="14"/>
        <v>0.90191561988760793</v>
      </c>
      <c r="P37" s="576">
        <f t="shared" si="15"/>
        <v>-2.2818566031583245</v>
      </c>
      <c r="Q37" s="528">
        <f t="shared" si="140"/>
        <v>10.407250831170924</v>
      </c>
      <c r="R37" s="572">
        <f t="shared" si="101"/>
        <v>4.9927899012947679</v>
      </c>
      <c r="S37" s="577">
        <f t="shared" si="102"/>
        <v>-2.2818566031583245</v>
      </c>
      <c r="T37" s="578">
        <f t="shared" si="103"/>
        <v>0.93899131731939245</v>
      </c>
      <c r="U37" s="572">
        <f t="shared" si="104"/>
        <v>-4.9036972076658456</v>
      </c>
      <c r="V37" s="579">
        <f t="shared" si="141"/>
        <v>-2.2818566031583245</v>
      </c>
      <c r="W37" s="528">
        <f t="shared" si="253"/>
        <v>280.84014167704191</v>
      </c>
      <c r="X37" s="572">
        <f t="shared" si="105"/>
        <v>4.9927899012947679</v>
      </c>
      <c r="Y37" s="573">
        <f t="shared" si="255"/>
        <v>-2.2818566031583245</v>
      </c>
      <c r="Z37" s="575">
        <f t="shared" si="18"/>
        <v>-0.98354861808118588</v>
      </c>
      <c r="AA37" s="572">
        <f t="shared" si="19"/>
        <v>-0.18064361563736017</v>
      </c>
      <c r="AB37" s="572">
        <f t="shared" si="20"/>
        <v>-2.2679489666832533E-7</v>
      </c>
      <c r="AC37" s="579">
        <f t="shared" si="106"/>
        <v>1</v>
      </c>
      <c r="AD37" s="580">
        <f t="shared" si="142"/>
        <v>-0.98354861808118588</v>
      </c>
      <c r="AE37" s="572">
        <f t="shared" si="107"/>
        <v>-0.18064361563736017</v>
      </c>
      <c r="AF37" s="576">
        <f t="shared" si="108"/>
        <v>-2.2679489666832533E-7</v>
      </c>
      <c r="AG37" s="545">
        <f t="shared" si="109"/>
        <v>-89.99992806615198</v>
      </c>
      <c r="AH37" s="546">
        <f t="shared" si="110"/>
        <v>169.59274916882109</v>
      </c>
      <c r="AI37" s="528">
        <f t="shared" si="111"/>
        <v>-89.999987005609611</v>
      </c>
      <c r="AJ37" s="529">
        <f t="shared" si="112"/>
        <v>-79.592749168829073</v>
      </c>
      <c r="AK37" s="578">
        <f t="shared" si="238"/>
        <v>2.4980018054066022E-16</v>
      </c>
      <c r="AL37" s="572">
        <f t="shared" si="113"/>
        <v>-0.99999999999997424</v>
      </c>
      <c r="AM37" s="577">
        <f t="shared" si="114"/>
        <v>-2.2679489666832533E-7</v>
      </c>
      <c r="AN37" s="524">
        <f t="shared" si="115"/>
        <v>-89.999987005609611</v>
      </c>
      <c r="AO37" s="525">
        <f t="shared" si="116"/>
        <v>0</v>
      </c>
      <c r="AP37" s="528">
        <f t="shared" si="117"/>
        <v>-89.999999999999986</v>
      </c>
      <c r="AQ37" s="529">
        <f t="shared" si="21"/>
        <v>0.91313019891706093</v>
      </c>
      <c r="AS37" s="932">
        <f t="shared" si="143"/>
        <v>280.84014167704191</v>
      </c>
      <c r="AT37" s="928">
        <f t="shared" si="22"/>
        <v>-2.1756369363399903</v>
      </c>
      <c r="AU37" s="418"/>
      <c r="AV37" s="164" t="str">
        <f t="shared" si="23"/>
        <v/>
      </c>
      <c r="AW37" s="797" t="str">
        <f>IFERROR(INDEX(MassProp!C$9:C$150,MATCH($M37,MassProp!$B$9:$B$150,0)),"")</f>
        <v/>
      </c>
      <c r="AX37" s="744" t="str">
        <f>IFERROR(INDEX(MassProp!D$9:D$150,MATCH($M37,MassProp!$B$9:$B$150,0)),"")</f>
        <v/>
      </c>
      <c r="AY37" s="731" t="str">
        <f>IFERROR(INDEX(MassProp!E$9:E$150,MATCH($M37,MassProp!$B$9:$B$150,0)),"")</f>
        <v/>
      </c>
      <c r="AZ37" s="297" t="str">
        <f t="shared" si="144"/>
        <v/>
      </c>
      <c r="BA37" s="296" t="str">
        <f t="shared" si="24"/>
        <v/>
      </c>
      <c r="BB37" s="177" t="str">
        <f t="shared" si="145"/>
        <v/>
      </c>
      <c r="BC37" s="9"/>
      <c r="BD37" s="5" t="str">
        <f t="shared" si="146"/>
        <v/>
      </c>
      <c r="BE37" s="6" t="str">
        <f t="shared" si="25"/>
        <v/>
      </c>
      <c r="BF37" s="4" t="str">
        <f t="shared" si="26"/>
        <v/>
      </c>
      <c r="BG37" s="5" t="str">
        <f t="shared" si="27"/>
        <v/>
      </c>
      <c r="BH37" s="10" t="str">
        <f t="shared" si="28"/>
        <v/>
      </c>
      <c r="BI37" s="9" t="str">
        <f t="shared" si="147"/>
        <v/>
      </c>
      <c r="BJ37" s="5" t="str">
        <f t="shared" si="29"/>
        <v/>
      </c>
      <c r="BK37" s="8" t="str">
        <f t="shared" si="30"/>
        <v/>
      </c>
      <c r="BL37" s="173" t="str">
        <f t="shared" si="31"/>
        <v/>
      </c>
      <c r="BM37" s="5" t="str">
        <f t="shared" si="32"/>
        <v/>
      </c>
      <c r="BN37" s="6" t="str">
        <f t="shared" si="33"/>
        <v/>
      </c>
      <c r="BO37" s="4" t="str">
        <f t="shared" si="148"/>
        <v/>
      </c>
      <c r="BP37" s="5" t="str">
        <f t="shared" si="239"/>
        <v/>
      </c>
      <c r="BQ37" s="5" t="str">
        <f t="shared" si="149"/>
        <v/>
      </c>
      <c r="BR37" s="6" t="str">
        <f t="shared" si="150"/>
        <v/>
      </c>
      <c r="BS37" s="4" t="str">
        <f t="shared" si="118"/>
        <v/>
      </c>
      <c r="BT37" s="5" t="str">
        <f t="shared" si="118"/>
        <v/>
      </c>
      <c r="BU37" s="10" t="str">
        <f t="shared" si="119"/>
        <v/>
      </c>
      <c r="BV37" s="9" t="str">
        <f t="shared" si="120"/>
        <v/>
      </c>
      <c r="BW37" s="5" t="str">
        <f t="shared" si="121"/>
        <v/>
      </c>
      <c r="BX37" s="8" t="str">
        <f t="shared" si="122"/>
        <v/>
      </c>
      <c r="BY37" s="173" t="str">
        <f t="shared" si="123"/>
        <v/>
      </c>
      <c r="BZ37" s="5" t="str">
        <f t="shared" si="124"/>
        <v/>
      </c>
      <c r="CA37" s="6" t="str">
        <f t="shared" si="125"/>
        <v/>
      </c>
      <c r="CB37" s="4" t="str">
        <f t="shared" si="151"/>
        <v/>
      </c>
      <c r="CC37" s="5" t="str">
        <f t="shared" si="152"/>
        <v/>
      </c>
      <c r="CD37" s="5" t="str">
        <f t="shared" si="153"/>
        <v/>
      </c>
      <c r="CE37" s="6" t="str">
        <f t="shared" si="154"/>
        <v/>
      </c>
      <c r="CF37" s="4" t="str">
        <f t="shared" si="155"/>
        <v/>
      </c>
      <c r="CG37" s="5" t="str">
        <f t="shared" si="156"/>
        <v/>
      </c>
      <c r="CH37" s="5" t="str">
        <f t="shared" si="157"/>
        <v/>
      </c>
      <c r="CI37" s="4" t="str">
        <f t="shared" si="126"/>
        <v/>
      </c>
      <c r="CJ37" s="5" t="str">
        <f t="shared" si="127"/>
        <v/>
      </c>
      <c r="CK37" s="8" t="str">
        <f t="shared" si="128"/>
        <v/>
      </c>
      <c r="CL37" s="173" t="str">
        <f t="shared" si="129"/>
        <v/>
      </c>
      <c r="CM37" s="5" t="str">
        <f t="shared" si="130"/>
        <v/>
      </c>
      <c r="CN37" s="6" t="str">
        <f t="shared" si="131"/>
        <v/>
      </c>
      <c r="CO37" s="167" t="str">
        <f t="shared" si="35"/>
        <v/>
      </c>
      <c r="CP37" s="4" t="str">
        <f t="shared" si="240"/>
        <v/>
      </c>
      <c r="CQ37" s="5" t="str">
        <f t="shared" si="241"/>
        <v/>
      </c>
      <c r="CR37" s="5" t="str">
        <f t="shared" si="158"/>
        <v/>
      </c>
      <c r="CS37" s="8" t="str">
        <f t="shared" si="159"/>
        <v/>
      </c>
      <c r="CT37" s="9" t="str">
        <f t="shared" si="160"/>
        <v/>
      </c>
      <c r="CU37" s="6" t="str">
        <f t="shared" si="161"/>
        <v/>
      </c>
      <c r="CV37" s="4" t="str">
        <f t="shared" si="242"/>
        <v/>
      </c>
      <c r="CW37" s="5" t="str">
        <f t="shared" si="162"/>
        <v/>
      </c>
      <c r="CX37" s="8" t="str">
        <f t="shared" si="163"/>
        <v/>
      </c>
      <c r="CY37" s="9" t="str">
        <f t="shared" si="164"/>
        <v/>
      </c>
      <c r="CZ37" s="5" t="str">
        <f t="shared" si="165"/>
        <v/>
      </c>
      <c r="DA37" s="6" t="str">
        <f t="shared" si="166"/>
        <v/>
      </c>
      <c r="DB37" s="4" t="str">
        <f t="shared" si="167"/>
        <v/>
      </c>
      <c r="DC37" s="5" t="str">
        <f t="shared" si="167"/>
        <v/>
      </c>
      <c r="DD37" s="10" t="str">
        <f t="shared" si="168"/>
        <v/>
      </c>
      <c r="DE37" s="9" t="str">
        <f t="shared" si="169"/>
        <v/>
      </c>
      <c r="DF37" s="5" t="str">
        <f t="shared" si="169"/>
        <v/>
      </c>
      <c r="DG37" s="10" t="str">
        <f t="shared" si="170"/>
        <v/>
      </c>
      <c r="DH37" s="70" t="str">
        <f t="shared" si="171"/>
        <v/>
      </c>
      <c r="DI37" s="4" t="str">
        <f t="shared" si="172"/>
        <v/>
      </c>
      <c r="DJ37" s="5" t="str">
        <f t="shared" si="173"/>
        <v/>
      </c>
      <c r="DK37" s="10" t="str">
        <f t="shared" si="174"/>
        <v/>
      </c>
      <c r="DL37" s="9" t="str">
        <f t="shared" si="175"/>
        <v/>
      </c>
      <c r="DM37" s="173" t="str">
        <f t="shared" si="176"/>
        <v/>
      </c>
      <c r="DN37" s="178" t="str">
        <f t="shared" si="177"/>
        <v/>
      </c>
      <c r="DO37" s="9" t="str">
        <f t="shared" si="178"/>
        <v/>
      </c>
      <c r="DP37" s="173" t="str">
        <f t="shared" si="179"/>
        <v/>
      </c>
      <c r="DQ37" s="11" t="str">
        <f t="shared" si="180"/>
        <v/>
      </c>
      <c r="DR37" s="173" t="str">
        <f t="shared" si="181"/>
        <v/>
      </c>
      <c r="DS37" s="5" t="str">
        <f t="shared" si="182"/>
        <v/>
      </c>
      <c r="DT37" s="5" t="str">
        <f t="shared" si="183"/>
        <v/>
      </c>
      <c r="DU37" s="5" t="str">
        <f t="shared" si="184"/>
        <v/>
      </c>
      <c r="DV37" s="5" t="str">
        <f t="shared" si="185"/>
        <v/>
      </c>
      <c r="DW37" s="5" t="str">
        <f t="shared" si="186"/>
        <v/>
      </c>
      <c r="DX37" s="167" t="str">
        <f t="shared" si="187"/>
        <v/>
      </c>
      <c r="DY37" s="9" t="str">
        <f t="shared" si="188"/>
        <v/>
      </c>
      <c r="DZ37" s="5" t="str">
        <f t="shared" si="189"/>
        <v/>
      </c>
      <c r="EA37" s="10" t="str">
        <f t="shared" si="190"/>
        <v/>
      </c>
      <c r="EB37" s="6" t="str">
        <f t="shared" si="191"/>
        <v/>
      </c>
      <c r="EC37" s="173" t="str">
        <f t="shared" si="192"/>
        <v/>
      </c>
      <c r="ED37" s="5" t="str">
        <f t="shared" si="193"/>
        <v/>
      </c>
      <c r="EE37" s="4" t="str">
        <f t="shared" si="194"/>
        <v/>
      </c>
      <c r="EF37" s="5" t="str">
        <f t="shared" si="195"/>
        <v/>
      </c>
      <c r="EG37" s="10" t="str">
        <f t="shared" si="196"/>
        <v/>
      </c>
      <c r="EH37" s="9" t="str">
        <f t="shared" si="197"/>
        <v/>
      </c>
      <c r="EI37" s="5" t="str">
        <f t="shared" si="198"/>
        <v/>
      </c>
      <c r="EJ37" s="6" t="str">
        <f t="shared" si="199"/>
        <v/>
      </c>
      <c r="EK37" s="236" t="str">
        <f t="shared" si="200"/>
        <v/>
      </c>
      <c r="EL37" s="238" t="str">
        <f t="shared" si="201"/>
        <v/>
      </c>
      <c r="EM37" s="4" t="str">
        <f t="shared" si="202"/>
        <v/>
      </c>
      <c r="EN37" s="5" t="str">
        <f t="shared" si="203"/>
        <v/>
      </c>
      <c r="EO37" s="10" t="str">
        <f t="shared" si="204"/>
        <v/>
      </c>
      <c r="EP37" s="9" t="str">
        <f t="shared" si="205"/>
        <v/>
      </c>
      <c r="EQ37" s="5" t="str">
        <f t="shared" si="206"/>
        <v/>
      </c>
      <c r="ER37" s="7" t="str">
        <f t="shared" si="207"/>
        <v/>
      </c>
      <c r="ES37" s="21" t="str">
        <f t="shared" si="132"/>
        <v/>
      </c>
      <c r="ET37" s="5" t="str">
        <f t="shared" si="44"/>
        <v/>
      </c>
      <c r="EU37" s="10" t="str">
        <f t="shared" si="45"/>
        <v/>
      </c>
      <c r="EV37" s="174" t="str">
        <f t="shared" si="254"/>
        <v/>
      </c>
      <c r="EW37" s="9" t="str">
        <f t="shared" si="133"/>
        <v/>
      </c>
      <c r="EX37" s="5" t="str">
        <f t="shared" si="47"/>
        <v/>
      </c>
      <c r="EY37" s="6" t="str">
        <f t="shared" si="208"/>
        <v/>
      </c>
      <c r="EZ37" s="51" t="str">
        <f t="shared" si="209"/>
        <v/>
      </c>
      <c r="FA37" s="266" t="str">
        <f t="shared" si="134"/>
        <v/>
      </c>
      <c r="FB37" s="267" t="str">
        <f t="shared" si="135"/>
        <v/>
      </c>
      <c r="FC37" s="269" t="str">
        <f t="shared" si="48"/>
        <v/>
      </c>
      <c r="FD37" s="4" t="str">
        <f t="shared" si="136"/>
        <v/>
      </c>
      <c r="FE37" s="5" t="str">
        <f t="shared" si="49"/>
        <v/>
      </c>
      <c r="FF37" s="7" t="str">
        <f t="shared" si="210"/>
        <v/>
      </c>
      <c r="FG37" s="173" t="str">
        <f t="shared" si="211"/>
        <v/>
      </c>
      <c r="FH37" s="5" t="str">
        <f t="shared" si="50"/>
        <v/>
      </c>
      <c r="FI37" s="10" t="str">
        <f t="shared" si="51"/>
        <v/>
      </c>
      <c r="FJ37" s="279" t="str">
        <f t="shared" si="212"/>
        <v/>
      </c>
      <c r="FK37" s="4" t="str">
        <f t="shared" si="52"/>
        <v/>
      </c>
      <c r="FL37" s="5" t="str">
        <f t="shared" si="213"/>
        <v/>
      </c>
      <c r="FM37" s="8" t="str">
        <f t="shared" si="214"/>
        <v/>
      </c>
      <c r="FN37" s="9" t="str">
        <f t="shared" si="215"/>
        <v/>
      </c>
      <c r="FO37" s="10" t="str">
        <f t="shared" si="53"/>
        <v/>
      </c>
      <c r="FP37" s="277" t="str">
        <f t="shared" si="54"/>
        <v/>
      </c>
      <c r="FQ37" s="173" t="str">
        <f t="shared" si="243"/>
        <v/>
      </c>
      <c r="FR37" s="10" t="str">
        <f t="shared" si="216"/>
        <v/>
      </c>
      <c r="FS37" s="9" t="str">
        <f t="shared" si="217"/>
        <v/>
      </c>
      <c r="FT37" s="6" t="str">
        <f t="shared" si="218"/>
        <v/>
      </c>
      <c r="FU37" s="4" t="str">
        <f t="shared" si="219"/>
        <v/>
      </c>
      <c r="FV37" s="5" t="str">
        <f t="shared" si="220"/>
        <v/>
      </c>
      <c r="FW37" s="8" t="str">
        <f t="shared" si="244"/>
        <v/>
      </c>
      <c r="FX37" s="9" t="str">
        <f t="shared" si="245"/>
        <v/>
      </c>
      <c r="FY37" s="10" t="str">
        <f t="shared" si="55"/>
        <v/>
      </c>
      <c r="FZ37" s="277" t="str">
        <f t="shared" si="246"/>
        <v/>
      </c>
      <c r="GA37" s="177" t="str">
        <f t="shared" si="221"/>
        <v/>
      </c>
      <c r="GB37" s="4" t="str">
        <f t="shared" si="222"/>
        <v/>
      </c>
      <c r="GC37" s="5" t="str">
        <f t="shared" si="223"/>
        <v/>
      </c>
      <c r="GD37" s="10" t="str">
        <f t="shared" si="224"/>
        <v/>
      </c>
      <c r="GE37" s="311" t="str">
        <f t="shared" si="225"/>
        <v/>
      </c>
      <c r="GF37" s="341" t="str">
        <f t="shared" si="247"/>
        <v/>
      </c>
      <c r="GG37" s="285" t="str">
        <f t="shared" si="56"/>
        <v/>
      </c>
      <c r="GH37" s="286" t="str">
        <f t="shared" si="57"/>
        <v/>
      </c>
      <c r="GI37" s="281" t="str">
        <f t="shared" si="58"/>
        <v/>
      </c>
      <c r="GJ37" s="167" t="str">
        <f t="shared" si="226"/>
        <v/>
      </c>
      <c r="GK37" s="174" t="str">
        <f t="shared" si="59"/>
        <v/>
      </c>
      <c r="GL37" s="174" t="str">
        <f t="shared" si="227"/>
        <v/>
      </c>
      <c r="GM37" s="177" t="str">
        <f t="shared" si="248"/>
        <v/>
      </c>
      <c r="GN37" s="280" t="str">
        <f t="shared" si="228"/>
        <v/>
      </c>
      <c r="GO37" s="4" t="str">
        <f t="shared" si="229"/>
        <v/>
      </c>
      <c r="GP37" s="8" t="str">
        <f t="shared" si="249"/>
        <v/>
      </c>
      <c r="GQ37" s="177" t="str">
        <f t="shared" si="230"/>
        <v/>
      </c>
      <c r="GR37" s="371" t="str">
        <f t="shared" si="250"/>
        <v/>
      </c>
      <c r="GS37" s="342" t="str">
        <f t="shared" si="61"/>
        <v/>
      </c>
      <c r="GT37" s="343" t="str">
        <f t="shared" si="62"/>
        <v/>
      </c>
      <c r="GU37" s="344" t="str">
        <f t="shared" si="63"/>
        <v/>
      </c>
      <c r="GV37" s="343" t="str">
        <f t="shared" si="252"/>
        <v/>
      </c>
      <c r="GW37" s="345" t="str">
        <f t="shared" si="64"/>
        <v/>
      </c>
      <c r="GX37" s="346" t="str">
        <f t="shared" si="65"/>
        <v/>
      </c>
      <c r="GY37" s="344" t="str">
        <f t="shared" si="66"/>
        <v/>
      </c>
      <c r="GZ37" s="345" t="str">
        <f t="shared" si="67"/>
        <v/>
      </c>
      <c r="HA37" s="342" t="str">
        <f t="shared" si="68"/>
        <v/>
      </c>
      <c r="HB37" s="5" t="str">
        <f t="shared" si="231"/>
        <v/>
      </c>
      <c r="HC37" s="343" t="str">
        <f t="shared" si="232"/>
        <v/>
      </c>
      <c r="HD37" s="363" t="str">
        <f t="shared" si="233"/>
        <v/>
      </c>
      <c r="HE37" s="344" t="str">
        <f t="shared" si="69"/>
        <v/>
      </c>
      <c r="HF37" s="5" t="str">
        <f t="shared" si="70"/>
        <v/>
      </c>
      <c r="HG37" s="343" t="str">
        <f t="shared" si="234"/>
        <v/>
      </c>
      <c r="HH37" s="349" t="str">
        <f t="shared" si="235"/>
        <v/>
      </c>
      <c r="HI37" s="317" t="str">
        <f t="shared" si="71"/>
        <v/>
      </c>
      <c r="HJ37" s="336"/>
      <c r="HK37" s="310" t="str">
        <f t="shared" si="137"/>
        <v/>
      </c>
      <c r="HL37" s="348" t="str">
        <f t="shared" si="72"/>
        <v/>
      </c>
      <c r="HM37" s="909" t="str">
        <f t="shared" si="138"/>
        <v/>
      </c>
      <c r="HN37" s="910" t="str">
        <f t="shared" si="73"/>
        <v/>
      </c>
      <c r="HO37" s="911"/>
      <c r="HP37" s="912"/>
      <c r="HQ37" s="910" t="str">
        <f t="shared" si="74"/>
        <v/>
      </c>
      <c r="HR37" s="913" t="str">
        <f t="shared" si="75"/>
        <v/>
      </c>
      <c r="HS37" s="865" t="str">
        <f t="shared" si="251"/>
        <v/>
      </c>
      <c r="HT37" s="875" t="str">
        <f t="shared" si="76"/>
        <v/>
      </c>
      <c r="HU37" s="876" t="str">
        <f t="shared" si="77"/>
        <v/>
      </c>
      <c r="HV37" s="872" t="str">
        <f t="shared" si="78"/>
        <v/>
      </c>
      <c r="HW37" s="866" t="str">
        <f t="shared" si="79"/>
        <v/>
      </c>
      <c r="HX37" s="867" t="str">
        <f t="shared" si="80"/>
        <v/>
      </c>
      <c r="HY37" s="866" t="str">
        <f t="shared" si="81"/>
        <v/>
      </c>
      <c r="HZ37" s="868" t="str">
        <f t="shared" si="82"/>
        <v/>
      </c>
      <c r="IA37" s="869" t="str">
        <f t="shared" si="83"/>
        <v/>
      </c>
      <c r="IB37" s="870" t="str">
        <f t="shared" si="84"/>
        <v/>
      </c>
      <c r="IC37" s="841" t="str">
        <f t="shared" si="85"/>
        <v/>
      </c>
      <c r="ID37" s="351" t="str">
        <f t="shared" si="86"/>
        <v/>
      </c>
      <c r="IE37" s="843" t="str">
        <f t="shared" si="87"/>
        <v/>
      </c>
      <c r="IF37" s="844"/>
      <c r="IG37" s="790" t="str">
        <f>IFERROR(IF($IW37="","",IF($IW37&lt;(((Settings!$C$19/2)*-1)*$IG$8),"Taper","Nose")),"")</f>
        <v>Taper</v>
      </c>
      <c r="IH37" s="482" t="str">
        <f>IFERROR(IF((((($IY37*COS(RADIANS(180-$JA37)))*COS(RADIANS($JA37)))-(($IZ37*SIN(RADIANS(180-$JA37)))*SIN(RADIANS($JA37))))+$IW37)&lt;(((Settings!$C$19+$IH$8)/2)*-1),"Gage",""),"")</f>
        <v/>
      </c>
      <c r="II37" s="788">
        <f t="shared" si="236"/>
        <v>2.2400000000000002</v>
      </c>
      <c r="IJ37" s="674" cm="1">
        <f t="array" ref="IJ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2.14</v>
      </c>
      <c r="IK37" s="677" cm="1">
        <f t="array" ref="IK37">IFERROR(ROUND(VALUE(IF($IJ37&lt;1,$IJ37+LARGE((IF($M$9:$M$150="",0,$M$9:$M$150)-MOD(IF($M$9:$M$150="",0,$M$9:$M$150),1)),1),$IJ37)),4),"")</f>
        <v>2.14</v>
      </c>
      <c r="IL37" s="482">
        <f t="shared" si="88"/>
        <v>1613</v>
      </c>
      <c r="IM37" s="482" t="str">
        <f t="shared" si="237"/>
        <v>CPS-32193r1</v>
      </c>
      <c r="IN37" s="670">
        <f t="shared" si="90"/>
        <v>12.271230721814675</v>
      </c>
      <c r="IO37" s="702">
        <v>4.8062200035360797E-2</v>
      </c>
      <c r="IP37" s="5">
        <f t="shared" si="91"/>
        <v>2.76</v>
      </c>
      <c r="IQ37" s="714">
        <v>1380</v>
      </c>
      <c r="IR37" s="9">
        <f t="shared" si="139"/>
        <v>-5.0270040657372688</v>
      </c>
      <c r="IS37" s="5">
        <f t="shared" si="92"/>
        <v>-2.2580846543450712</v>
      </c>
      <c r="IT37" s="5">
        <f t="shared" si="93"/>
        <v>0.3125</v>
      </c>
      <c r="IU37" s="5">
        <f t="shared" si="94"/>
        <v>0.27121974842239471</v>
      </c>
      <c r="IV37" s="670">
        <f t="shared" si="95"/>
        <v>84.969949372155938</v>
      </c>
      <c r="IW37" s="9">
        <f t="shared" si="96"/>
        <v>-4.9927899012947679</v>
      </c>
      <c r="IX37" s="5">
        <f t="shared" si="97"/>
        <v>-2.2818566031583245</v>
      </c>
      <c r="IY37" s="5">
        <f t="shared" si="98"/>
        <v>0.255</v>
      </c>
      <c r="IZ37" s="5">
        <f t="shared" si="99"/>
        <v>0.255</v>
      </c>
      <c r="JA37" s="705">
        <f t="shared" si="100"/>
        <v>89.999987005609611</v>
      </c>
    </row>
    <row r="38" spans="1:269" ht="15" customHeight="1" x14ac:dyDescent="0.25">
      <c r="A38" s="75">
        <f t="shared" si="1"/>
        <v>0</v>
      </c>
      <c r="B38" s="578">
        <f t="shared" si="2"/>
        <v>4.9383339706233738</v>
      </c>
      <c r="C38" s="572">
        <f t="shared" si="3"/>
        <v>0.90666493163973028</v>
      </c>
      <c r="D38" s="576">
        <f t="shared" si="4"/>
        <v>-3.0332440686800783</v>
      </c>
      <c r="E38" s="580">
        <f t="shared" si="5"/>
        <v>0.98356046955660281</v>
      </c>
      <c r="F38" s="572">
        <f t="shared" si="6"/>
        <v>0.18057907610114668</v>
      </c>
      <c r="G38" s="579">
        <f t="shared" si="7"/>
        <v>2.2679489658505858E-7</v>
      </c>
      <c r="H38" s="580">
        <f t="shared" si="8"/>
        <v>0.255</v>
      </c>
      <c r="I38" s="572">
        <f t="shared" si="9"/>
        <v>0.41499999999999992</v>
      </c>
      <c r="J38" s="483">
        <f t="shared" si="10"/>
        <v>2.246</v>
      </c>
      <c r="K38" s="806" t="str">
        <f t="shared" si="11"/>
        <v>CPS-32193r1</v>
      </c>
      <c r="L38" s="309"/>
      <c r="M38" s="164">
        <f t="shared" si="12"/>
        <v>2.246</v>
      </c>
      <c r="N38" s="575">
        <f t="shared" si="13"/>
        <v>4.9383339706233738</v>
      </c>
      <c r="O38" s="572">
        <f t="shared" si="14"/>
        <v>0.90666493163973028</v>
      </c>
      <c r="P38" s="576">
        <f t="shared" si="15"/>
        <v>-3.0332440686800783</v>
      </c>
      <c r="Q38" s="528">
        <f t="shared" si="140"/>
        <v>10.40349115860508</v>
      </c>
      <c r="R38" s="572">
        <f t="shared" si="101"/>
        <v>5.0208747946625891</v>
      </c>
      <c r="S38" s="577">
        <f t="shared" si="102"/>
        <v>-3.0332440686800783</v>
      </c>
      <c r="T38" s="578">
        <f t="shared" si="103"/>
        <v>0.94394964203761444</v>
      </c>
      <c r="U38" s="572">
        <f t="shared" si="104"/>
        <v>-4.9313428979310654</v>
      </c>
      <c r="V38" s="579">
        <f t="shared" si="141"/>
        <v>-3.0332440686800783</v>
      </c>
      <c r="W38" s="528">
        <f t="shared" si="253"/>
        <v>280.83638200447609</v>
      </c>
      <c r="X38" s="572">
        <f t="shared" si="105"/>
        <v>5.0208747946625891</v>
      </c>
      <c r="Y38" s="573">
        <f t="shared" si="255"/>
        <v>-3.0332440686800783</v>
      </c>
      <c r="Z38" s="575">
        <f t="shared" si="18"/>
        <v>-0.98356046955660281</v>
      </c>
      <c r="AA38" s="572">
        <f t="shared" si="19"/>
        <v>-0.18057907610114668</v>
      </c>
      <c r="AB38" s="572">
        <f t="shared" si="20"/>
        <v>-2.2679489658505858E-7</v>
      </c>
      <c r="AC38" s="579">
        <f t="shared" si="106"/>
        <v>1</v>
      </c>
      <c r="AD38" s="580">
        <f t="shared" si="142"/>
        <v>-0.98356046955660281</v>
      </c>
      <c r="AE38" s="572">
        <f t="shared" si="107"/>
        <v>-0.18057907610114668</v>
      </c>
      <c r="AF38" s="576">
        <f t="shared" si="108"/>
        <v>-2.2679489658505858E-7</v>
      </c>
      <c r="AG38" s="545">
        <f t="shared" si="109"/>
        <v>-89.999928040442612</v>
      </c>
      <c r="AH38" s="546">
        <f t="shared" si="110"/>
        <v>169.59650884138691</v>
      </c>
      <c r="AI38" s="528">
        <f t="shared" si="111"/>
        <v>-89.999987005609611</v>
      </c>
      <c r="AJ38" s="529">
        <f t="shared" si="112"/>
        <v>-79.59650884139495</v>
      </c>
      <c r="AK38" s="578">
        <f t="shared" si="238"/>
        <v>-6.9388939039072284E-16</v>
      </c>
      <c r="AL38" s="572">
        <f t="shared" si="113"/>
        <v>-0.99999999999997435</v>
      </c>
      <c r="AM38" s="577">
        <f t="shared" si="114"/>
        <v>-2.2679489658505858E-7</v>
      </c>
      <c r="AN38" s="524">
        <f t="shared" si="115"/>
        <v>-89.999987005609626</v>
      </c>
      <c r="AO38" s="525">
        <f t="shared" si="116"/>
        <v>0</v>
      </c>
      <c r="AP38" s="528">
        <f t="shared" si="117"/>
        <v>-90.000000000000043</v>
      </c>
      <c r="AQ38" s="529">
        <f t="shared" si="21"/>
        <v>0.90802334812926278</v>
      </c>
      <c r="AS38" s="932">
        <f t="shared" si="143"/>
        <v>280.83638200447609</v>
      </c>
      <c r="AT38" s="928">
        <f t="shared" si="22"/>
        <v>-2.9270191800942915</v>
      </c>
      <c r="AU38" s="418"/>
      <c r="AV38" s="164" t="str">
        <f t="shared" si="23"/>
        <v/>
      </c>
      <c r="AW38" s="829" t="str">
        <f>IFERROR(INDEX(MassProp!C$9:C$150,MATCH($M38,MassProp!$B$9:$B$150,0)),"")</f>
        <v/>
      </c>
      <c r="AX38" s="830" t="str">
        <f>IFERROR(INDEX(MassProp!D$9:D$150,MATCH($M38,MassProp!$B$9:$B$150,0)),"")</f>
        <v/>
      </c>
      <c r="AY38" s="831" t="str">
        <f>IFERROR(INDEX(MassProp!E$9:E$150,MATCH($M38,MassProp!$B$9:$B$150,0)),"")</f>
        <v/>
      </c>
      <c r="AZ38" s="297" t="str">
        <f t="shared" si="144"/>
        <v/>
      </c>
      <c r="BA38" s="296" t="str">
        <f t="shared" si="24"/>
        <v/>
      </c>
      <c r="BB38" s="190" t="str">
        <f t="shared" si="145"/>
        <v/>
      </c>
      <c r="BC38" s="9"/>
      <c r="BD38" s="5" t="str">
        <f t="shared" si="146"/>
        <v/>
      </c>
      <c r="BE38" s="6" t="str">
        <f t="shared" si="25"/>
        <v/>
      </c>
      <c r="BF38" s="4" t="str">
        <f t="shared" si="26"/>
        <v/>
      </c>
      <c r="BG38" s="5" t="str">
        <f t="shared" si="27"/>
        <v/>
      </c>
      <c r="BH38" s="10" t="str">
        <f t="shared" si="28"/>
        <v/>
      </c>
      <c r="BI38" s="9" t="str">
        <f t="shared" si="147"/>
        <v/>
      </c>
      <c r="BJ38" s="5" t="str">
        <f t="shared" si="29"/>
        <v/>
      </c>
      <c r="BK38" s="8" t="str">
        <f t="shared" si="30"/>
        <v/>
      </c>
      <c r="BL38" s="173" t="str">
        <f t="shared" si="31"/>
        <v/>
      </c>
      <c r="BM38" s="5" t="str">
        <f t="shared" si="32"/>
        <v/>
      </c>
      <c r="BN38" s="6" t="str">
        <f t="shared" si="33"/>
        <v/>
      </c>
      <c r="BO38" s="4" t="str">
        <f t="shared" si="148"/>
        <v/>
      </c>
      <c r="BP38" s="5" t="str">
        <f t="shared" si="239"/>
        <v/>
      </c>
      <c r="BQ38" s="5" t="str">
        <f t="shared" si="149"/>
        <v/>
      </c>
      <c r="BR38" s="6" t="str">
        <f t="shared" si="150"/>
        <v/>
      </c>
      <c r="BS38" s="4" t="str">
        <f t="shared" si="118"/>
        <v/>
      </c>
      <c r="BT38" s="5" t="str">
        <f t="shared" si="118"/>
        <v/>
      </c>
      <c r="BU38" s="10" t="str">
        <f t="shared" si="119"/>
        <v/>
      </c>
      <c r="BV38" s="9" t="str">
        <f t="shared" si="120"/>
        <v/>
      </c>
      <c r="BW38" s="5" t="str">
        <f t="shared" si="121"/>
        <v/>
      </c>
      <c r="BX38" s="8" t="str">
        <f t="shared" si="122"/>
        <v/>
      </c>
      <c r="BY38" s="173" t="str">
        <f t="shared" si="123"/>
        <v/>
      </c>
      <c r="BZ38" s="5" t="str">
        <f t="shared" si="124"/>
        <v/>
      </c>
      <c r="CA38" s="6" t="str">
        <f t="shared" si="125"/>
        <v/>
      </c>
      <c r="CB38" s="4" t="str">
        <f t="shared" si="151"/>
        <v/>
      </c>
      <c r="CC38" s="5" t="str">
        <f t="shared" si="152"/>
        <v/>
      </c>
      <c r="CD38" s="5" t="str">
        <f t="shared" si="153"/>
        <v/>
      </c>
      <c r="CE38" s="6" t="str">
        <f t="shared" si="154"/>
        <v/>
      </c>
      <c r="CF38" s="4" t="str">
        <f t="shared" si="155"/>
        <v/>
      </c>
      <c r="CG38" s="5" t="str">
        <f t="shared" si="156"/>
        <v/>
      </c>
      <c r="CH38" s="5" t="str">
        <f t="shared" si="157"/>
        <v/>
      </c>
      <c r="CI38" s="4" t="str">
        <f t="shared" si="126"/>
        <v/>
      </c>
      <c r="CJ38" s="5" t="str">
        <f t="shared" si="127"/>
        <v/>
      </c>
      <c r="CK38" s="8" t="str">
        <f t="shared" si="128"/>
        <v/>
      </c>
      <c r="CL38" s="173" t="str">
        <f t="shared" si="129"/>
        <v/>
      </c>
      <c r="CM38" s="5" t="str">
        <f t="shared" si="130"/>
        <v/>
      </c>
      <c r="CN38" s="6" t="str">
        <f t="shared" si="131"/>
        <v/>
      </c>
      <c r="CO38" s="167" t="str">
        <f t="shared" si="35"/>
        <v/>
      </c>
      <c r="CP38" s="4" t="str">
        <f t="shared" si="240"/>
        <v/>
      </c>
      <c r="CQ38" s="5" t="str">
        <f t="shared" si="241"/>
        <v/>
      </c>
      <c r="CR38" s="5" t="str">
        <f t="shared" si="158"/>
        <v/>
      </c>
      <c r="CS38" s="8" t="str">
        <f t="shared" si="159"/>
        <v/>
      </c>
      <c r="CT38" s="9" t="str">
        <f t="shared" si="160"/>
        <v/>
      </c>
      <c r="CU38" s="6" t="str">
        <f t="shared" si="161"/>
        <v/>
      </c>
      <c r="CV38" s="4" t="str">
        <f t="shared" si="242"/>
        <v/>
      </c>
      <c r="CW38" s="5" t="str">
        <f t="shared" si="162"/>
        <v/>
      </c>
      <c r="CX38" s="8" t="str">
        <f t="shared" si="163"/>
        <v/>
      </c>
      <c r="CY38" s="9" t="str">
        <f t="shared" si="164"/>
        <v/>
      </c>
      <c r="CZ38" s="5" t="str">
        <f t="shared" si="165"/>
        <v/>
      </c>
      <c r="DA38" s="6" t="str">
        <f t="shared" si="166"/>
        <v/>
      </c>
      <c r="DB38" s="4" t="str">
        <f t="shared" si="167"/>
        <v/>
      </c>
      <c r="DC38" s="5" t="str">
        <f t="shared" si="167"/>
        <v/>
      </c>
      <c r="DD38" s="10" t="str">
        <f t="shared" si="168"/>
        <v/>
      </c>
      <c r="DE38" s="9" t="str">
        <f t="shared" si="169"/>
        <v/>
      </c>
      <c r="DF38" s="5" t="str">
        <f t="shared" si="169"/>
        <v/>
      </c>
      <c r="DG38" s="10" t="str">
        <f t="shared" si="170"/>
        <v/>
      </c>
      <c r="DH38" s="70" t="str">
        <f t="shared" si="171"/>
        <v/>
      </c>
      <c r="DI38" s="4" t="str">
        <f t="shared" si="172"/>
        <v/>
      </c>
      <c r="DJ38" s="5" t="str">
        <f t="shared" si="173"/>
        <v/>
      </c>
      <c r="DK38" s="10" t="str">
        <f t="shared" si="174"/>
        <v/>
      </c>
      <c r="DL38" s="9" t="str">
        <f t="shared" si="175"/>
        <v/>
      </c>
      <c r="DM38" s="173" t="str">
        <f t="shared" si="176"/>
        <v/>
      </c>
      <c r="DN38" s="178" t="str">
        <f t="shared" si="177"/>
        <v/>
      </c>
      <c r="DO38" s="9" t="str">
        <f t="shared" si="178"/>
        <v/>
      </c>
      <c r="DP38" s="173" t="str">
        <f t="shared" si="179"/>
        <v/>
      </c>
      <c r="DQ38" s="11" t="str">
        <f t="shared" si="180"/>
        <v/>
      </c>
      <c r="DR38" s="173" t="str">
        <f t="shared" si="181"/>
        <v/>
      </c>
      <c r="DS38" s="5" t="str">
        <f t="shared" si="182"/>
        <v/>
      </c>
      <c r="DT38" s="5" t="str">
        <f t="shared" si="183"/>
        <v/>
      </c>
      <c r="DU38" s="5" t="str">
        <f t="shared" si="184"/>
        <v/>
      </c>
      <c r="DV38" s="5" t="str">
        <f t="shared" si="185"/>
        <v/>
      </c>
      <c r="DW38" s="5" t="str">
        <f t="shared" si="186"/>
        <v/>
      </c>
      <c r="DX38" s="167" t="str">
        <f t="shared" si="187"/>
        <v/>
      </c>
      <c r="DY38" s="9" t="str">
        <f t="shared" si="188"/>
        <v/>
      </c>
      <c r="DZ38" s="5" t="str">
        <f t="shared" si="189"/>
        <v/>
      </c>
      <c r="EA38" s="10" t="str">
        <f t="shared" si="190"/>
        <v/>
      </c>
      <c r="EB38" s="6" t="str">
        <f t="shared" si="191"/>
        <v/>
      </c>
      <c r="EC38" s="173" t="str">
        <f t="shared" si="192"/>
        <v/>
      </c>
      <c r="ED38" s="5" t="str">
        <f t="shared" si="193"/>
        <v/>
      </c>
      <c r="EE38" s="4" t="str">
        <f t="shared" si="194"/>
        <v/>
      </c>
      <c r="EF38" s="5" t="str">
        <f t="shared" si="195"/>
        <v/>
      </c>
      <c r="EG38" s="10" t="str">
        <f t="shared" si="196"/>
        <v/>
      </c>
      <c r="EH38" s="9" t="str">
        <f t="shared" si="197"/>
        <v/>
      </c>
      <c r="EI38" s="5" t="str">
        <f t="shared" si="198"/>
        <v/>
      </c>
      <c r="EJ38" s="6" t="str">
        <f t="shared" si="199"/>
        <v/>
      </c>
      <c r="EK38" s="236" t="str">
        <f t="shared" si="200"/>
        <v/>
      </c>
      <c r="EL38" s="238" t="str">
        <f t="shared" si="201"/>
        <v/>
      </c>
      <c r="EM38" s="4" t="str">
        <f t="shared" si="202"/>
        <v/>
      </c>
      <c r="EN38" s="5" t="str">
        <f t="shared" si="203"/>
        <v/>
      </c>
      <c r="EO38" s="10" t="str">
        <f t="shared" si="204"/>
        <v/>
      </c>
      <c r="EP38" s="9" t="str">
        <f t="shared" si="205"/>
        <v/>
      </c>
      <c r="EQ38" s="5" t="str">
        <f t="shared" si="206"/>
        <v/>
      </c>
      <c r="ER38" s="7" t="str">
        <f t="shared" si="207"/>
        <v/>
      </c>
      <c r="ES38" s="21" t="str">
        <f t="shared" si="132"/>
        <v/>
      </c>
      <c r="ET38" s="5" t="str">
        <f t="shared" si="44"/>
        <v/>
      </c>
      <c r="EU38" s="10" t="str">
        <f t="shared" si="45"/>
        <v/>
      </c>
      <c r="EV38" s="174" t="str">
        <f t="shared" si="254"/>
        <v/>
      </c>
      <c r="EW38" s="9" t="str">
        <f t="shared" si="133"/>
        <v/>
      </c>
      <c r="EX38" s="5" t="str">
        <f t="shared" si="47"/>
        <v/>
      </c>
      <c r="EY38" s="6" t="str">
        <f t="shared" si="208"/>
        <v/>
      </c>
      <c r="EZ38" s="51" t="str">
        <f t="shared" si="209"/>
        <v/>
      </c>
      <c r="FA38" s="266" t="str">
        <f t="shared" si="134"/>
        <v/>
      </c>
      <c r="FB38" s="267" t="str">
        <f t="shared" si="135"/>
        <v/>
      </c>
      <c r="FC38" s="269" t="str">
        <f t="shared" si="48"/>
        <v/>
      </c>
      <c r="FD38" s="4" t="str">
        <f t="shared" si="136"/>
        <v/>
      </c>
      <c r="FE38" s="5" t="str">
        <f t="shared" si="49"/>
        <v/>
      </c>
      <c r="FF38" s="7" t="str">
        <f t="shared" si="210"/>
        <v/>
      </c>
      <c r="FG38" s="173" t="str">
        <f t="shared" si="211"/>
        <v/>
      </c>
      <c r="FH38" s="5" t="str">
        <f t="shared" si="50"/>
        <v/>
      </c>
      <c r="FI38" s="10" t="str">
        <f t="shared" si="51"/>
        <v/>
      </c>
      <c r="FJ38" s="279" t="str">
        <f t="shared" si="212"/>
        <v/>
      </c>
      <c r="FK38" s="4" t="str">
        <f t="shared" si="52"/>
        <v/>
      </c>
      <c r="FL38" s="5" t="str">
        <f t="shared" si="213"/>
        <v/>
      </c>
      <c r="FM38" s="8" t="str">
        <f t="shared" si="214"/>
        <v/>
      </c>
      <c r="FN38" s="9" t="str">
        <f t="shared" si="215"/>
        <v/>
      </c>
      <c r="FO38" s="10" t="str">
        <f t="shared" si="53"/>
        <v/>
      </c>
      <c r="FP38" s="277" t="str">
        <f t="shared" si="54"/>
        <v/>
      </c>
      <c r="FQ38" s="173" t="str">
        <f t="shared" si="243"/>
        <v/>
      </c>
      <c r="FR38" s="10" t="str">
        <f t="shared" si="216"/>
        <v/>
      </c>
      <c r="FS38" s="9" t="str">
        <f t="shared" si="217"/>
        <v/>
      </c>
      <c r="FT38" s="6" t="str">
        <f t="shared" si="218"/>
        <v/>
      </c>
      <c r="FU38" s="4" t="str">
        <f t="shared" si="219"/>
        <v/>
      </c>
      <c r="FV38" s="5" t="str">
        <f t="shared" si="220"/>
        <v/>
      </c>
      <c r="FW38" s="8" t="str">
        <f t="shared" si="244"/>
        <v/>
      </c>
      <c r="FX38" s="9" t="str">
        <f t="shared" si="245"/>
        <v/>
      </c>
      <c r="FY38" s="10" t="str">
        <f t="shared" si="55"/>
        <v/>
      </c>
      <c r="FZ38" s="277" t="str">
        <f t="shared" si="246"/>
        <v/>
      </c>
      <c r="GA38" s="177" t="str">
        <f t="shared" si="221"/>
        <v/>
      </c>
      <c r="GB38" s="4" t="str">
        <f t="shared" si="222"/>
        <v/>
      </c>
      <c r="GC38" s="5" t="str">
        <f t="shared" si="223"/>
        <v/>
      </c>
      <c r="GD38" s="10" t="str">
        <f t="shared" si="224"/>
        <v/>
      </c>
      <c r="GE38" s="311" t="str">
        <f t="shared" si="225"/>
        <v/>
      </c>
      <c r="GF38" s="341" t="str">
        <f t="shared" si="247"/>
        <v/>
      </c>
      <c r="GG38" s="285" t="str">
        <f t="shared" si="56"/>
        <v/>
      </c>
      <c r="GH38" s="286" t="str">
        <f t="shared" si="57"/>
        <v/>
      </c>
      <c r="GI38" s="281" t="str">
        <f t="shared" si="58"/>
        <v/>
      </c>
      <c r="GJ38" s="167" t="str">
        <f t="shared" si="226"/>
        <v/>
      </c>
      <c r="GK38" s="174" t="str">
        <f t="shared" si="59"/>
        <v/>
      </c>
      <c r="GL38" s="174" t="str">
        <f t="shared" si="227"/>
        <v/>
      </c>
      <c r="GM38" s="177" t="str">
        <f t="shared" si="248"/>
        <v/>
      </c>
      <c r="GN38" s="280" t="str">
        <f t="shared" si="228"/>
        <v/>
      </c>
      <c r="GO38" s="4" t="str">
        <f t="shared" si="229"/>
        <v/>
      </c>
      <c r="GP38" s="8" t="str">
        <f t="shared" si="249"/>
        <v/>
      </c>
      <c r="GQ38" s="177" t="str">
        <f t="shared" si="230"/>
        <v/>
      </c>
      <c r="GR38" s="371" t="str">
        <f t="shared" si="250"/>
        <v/>
      </c>
      <c r="GS38" s="342" t="str">
        <f t="shared" si="61"/>
        <v/>
      </c>
      <c r="GT38" s="343" t="str">
        <f t="shared" si="62"/>
        <v/>
      </c>
      <c r="GU38" s="344" t="str">
        <f t="shared" si="63"/>
        <v/>
      </c>
      <c r="GV38" s="343" t="str">
        <f t="shared" si="252"/>
        <v/>
      </c>
      <c r="GW38" s="345" t="str">
        <f t="shared" si="64"/>
        <v/>
      </c>
      <c r="GX38" s="346" t="str">
        <f t="shared" si="65"/>
        <v/>
      </c>
      <c r="GY38" s="344" t="str">
        <f t="shared" si="66"/>
        <v/>
      </c>
      <c r="GZ38" s="345" t="str">
        <f t="shared" si="67"/>
        <v/>
      </c>
      <c r="HA38" s="342" t="str">
        <f t="shared" si="68"/>
        <v/>
      </c>
      <c r="HB38" s="5" t="str">
        <f t="shared" si="231"/>
        <v/>
      </c>
      <c r="HC38" s="343" t="str">
        <f t="shared" si="232"/>
        <v/>
      </c>
      <c r="HD38" s="363" t="str">
        <f t="shared" si="233"/>
        <v/>
      </c>
      <c r="HE38" s="344" t="str">
        <f t="shared" si="69"/>
        <v/>
      </c>
      <c r="HF38" s="5" t="str">
        <f t="shared" si="70"/>
        <v/>
      </c>
      <c r="HG38" s="343" t="str">
        <f t="shared" si="234"/>
        <v/>
      </c>
      <c r="HH38" s="349" t="str">
        <f t="shared" si="235"/>
        <v/>
      </c>
      <c r="HI38" s="317" t="str">
        <f t="shared" si="71"/>
        <v/>
      </c>
      <c r="HJ38" s="336"/>
      <c r="HK38" s="310" t="str">
        <f t="shared" si="137"/>
        <v/>
      </c>
      <c r="HL38" s="348" t="str">
        <f t="shared" si="72"/>
        <v/>
      </c>
      <c r="HM38" s="909" t="str">
        <f t="shared" si="138"/>
        <v/>
      </c>
      <c r="HN38" s="910" t="str">
        <f t="shared" si="73"/>
        <v/>
      </c>
      <c r="HO38" s="911"/>
      <c r="HP38" s="912"/>
      <c r="HQ38" s="910" t="str">
        <f t="shared" si="74"/>
        <v/>
      </c>
      <c r="HR38" s="913" t="str">
        <f t="shared" si="75"/>
        <v/>
      </c>
      <c r="HS38" s="865" t="str">
        <f t="shared" si="251"/>
        <v/>
      </c>
      <c r="HT38" s="875" t="str">
        <f t="shared" si="76"/>
        <v/>
      </c>
      <c r="HU38" s="876" t="str">
        <f t="shared" si="77"/>
        <v/>
      </c>
      <c r="HV38" s="872" t="str">
        <f t="shared" si="78"/>
        <v/>
      </c>
      <c r="HW38" s="866" t="str">
        <f t="shared" si="79"/>
        <v/>
      </c>
      <c r="HX38" s="867" t="str">
        <f t="shared" si="80"/>
        <v/>
      </c>
      <c r="HY38" s="866" t="str">
        <f t="shared" si="81"/>
        <v/>
      </c>
      <c r="HZ38" s="868" t="str">
        <f t="shared" si="82"/>
        <v/>
      </c>
      <c r="IA38" s="869" t="str">
        <f t="shared" si="83"/>
        <v/>
      </c>
      <c r="IB38" s="870" t="str">
        <f t="shared" si="84"/>
        <v/>
      </c>
      <c r="IC38" s="841" t="str">
        <f t="shared" si="85"/>
        <v/>
      </c>
      <c r="ID38" s="351" t="str">
        <f t="shared" si="86"/>
        <v/>
      </c>
      <c r="IE38" s="843" t="str">
        <f t="shared" si="87"/>
        <v/>
      </c>
      <c r="IF38" s="845"/>
      <c r="IG38" s="790" t="str">
        <f>IFERROR(IF($IW38="","",IF($IW38&lt;(((Settings!$C$19/2)*-1)*$IG$8),"Taper","Nose")),"")</f>
        <v>Taper</v>
      </c>
      <c r="IH38" s="482" t="str">
        <f>IFERROR(IF((((($IY38*COS(RADIANS(180-$JA38)))*COS(RADIANS($JA38)))-(($IZ38*SIN(RADIANS(180-$JA38)))*SIN(RADIANS($JA38))))+$IW38)&lt;(((Settings!$C$19+$IH$8)/2)*-1),"Gage",""),"")</f>
        <v/>
      </c>
      <c r="II38" s="788">
        <f t="shared" si="236"/>
        <v>2.246</v>
      </c>
      <c r="IJ38" s="674" cm="1">
        <f t="array" ref="IJ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2.1459999999999999</v>
      </c>
      <c r="IK38" s="677" cm="1">
        <f t="array" ref="IK38">IFERROR(ROUND(VALUE(IF($IJ38&lt;1,$IJ38+LARGE((IF($M$9:$M$150="",0,$M$9:$M$150)-MOD(IF($M$9:$M$150="",0,$M$9:$M$150),1)),1),$IJ38)),4),"")</f>
        <v>2.1459999999999999</v>
      </c>
      <c r="IL38" s="482">
        <f t="shared" si="88"/>
        <v>1613</v>
      </c>
      <c r="IM38" s="482" t="str">
        <f t="shared" si="237"/>
        <v>CPS-32193r1</v>
      </c>
      <c r="IN38" s="670">
        <f t="shared" si="90"/>
        <v>12.202087403953328</v>
      </c>
      <c r="IO38" s="702">
        <v>4.8104159123766498E-2</v>
      </c>
      <c r="IP38" s="5">
        <f t="shared" si="91"/>
        <v>2.78</v>
      </c>
      <c r="IQ38" s="714">
        <v>1390</v>
      </c>
      <c r="IR38" s="9">
        <f t="shared" si="139"/>
        <v>-5.0550887932628417</v>
      </c>
      <c r="IS38" s="5">
        <f t="shared" si="92"/>
        <v>-3.0095891874135794</v>
      </c>
      <c r="IT38" s="5">
        <f t="shared" si="93"/>
        <v>0.3125</v>
      </c>
      <c r="IU38" s="5">
        <f t="shared" si="94"/>
        <v>0.27121678779184555</v>
      </c>
      <c r="IV38" s="670">
        <f t="shared" si="95"/>
        <v>84.97011741683842</v>
      </c>
      <c r="IW38" s="9">
        <f t="shared" si="96"/>
        <v>-5.0208747946625891</v>
      </c>
      <c r="IX38" s="5">
        <f t="shared" si="97"/>
        <v>-3.0332440686800783</v>
      </c>
      <c r="IY38" s="5">
        <f t="shared" si="98"/>
        <v>0.255</v>
      </c>
      <c r="IZ38" s="5">
        <f t="shared" si="99"/>
        <v>0.255</v>
      </c>
      <c r="JA38" s="705">
        <f t="shared" si="100"/>
        <v>89.999987005609626</v>
      </c>
    </row>
    <row r="39" spans="1:269" ht="15" customHeight="1" x14ac:dyDescent="0.25">
      <c r="A39" s="75">
        <f t="shared" si="1"/>
        <v>0.02</v>
      </c>
      <c r="B39" s="578">
        <f t="shared" si="2"/>
        <v>-3.6740706560870202</v>
      </c>
      <c r="C39" s="572">
        <f t="shared" si="3"/>
        <v>3.5693081595486906</v>
      </c>
      <c r="D39" s="576">
        <f t="shared" si="4"/>
        <v>-9.4977962776039639</v>
      </c>
      <c r="E39" s="580">
        <f t="shared" si="5"/>
        <v>-0.9874972864664342</v>
      </c>
      <c r="F39" s="572">
        <f t="shared" si="6"/>
        <v>-0.11131203729457491</v>
      </c>
      <c r="G39" s="579">
        <f t="shared" si="7"/>
        <v>-0.11161872412261598</v>
      </c>
      <c r="H39" s="580">
        <f t="shared" si="8"/>
        <v>0.26450000000000001</v>
      </c>
      <c r="I39" s="572">
        <f t="shared" si="9"/>
        <v>0.52</v>
      </c>
      <c r="J39" s="483">
        <f t="shared" si="10"/>
        <v>2.2519999999999998</v>
      </c>
      <c r="K39" s="806">
        <f t="shared" si="11"/>
        <v>1313</v>
      </c>
      <c r="L39" s="309"/>
      <c r="M39" s="164">
        <f t="shared" si="12"/>
        <v>2.2519999999999998</v>
      </c>
      <c r="N39" s="575">
        <f t="shared" si="13"/>
        <v>-3.6740706560870202</v>
      </c>
      <c r="O39" s="572">
        <f t="shared" si="14"/>
        <v>3.5693081595486906</v>
      </c>
      <c r="P39" s="576">
        <f t="shared" si="15"/>
        <v>-9.4977962776039639</v>
      </c>
      <c r="Q39" s="528">
        <f t="shared" si="140"/>
        <v>135.82862301815857</v>
      </c>
      <c r="R39" s="572">
        <f t="shared" si="101"/>
        <v>5.1223779559634774</v>
      </c>
      <c r="S39" s="577">
        <f t="shared" si="102"/>
        <v>-9.4977962776039639</v>
      </c>
      <c r="T39" s="578">
        <f t="shared" si="103"/>
        <v>3.5414475843281426</v>
      </c>
      <c r="U39" s="572">
        <f t="shared" si="104"/>
        <v>3.7009329811814933</v>
      </c>
      <c r="V39" s="579">
        <f t="shared" si="141"/>
        <v>-9.4977962776039639</v>
      </c>
      <c r="W39" s="528">
        <f t="shared" si="253"/>
        <v>46.261513864029553</v>
      </c>
      <c r="X39" s="572">
        <f t="shared" si="105"/>
        <v>5.1223779559634774</v>
      </c>
      <c r="Y39" s="573">
        <f t="shared" si="255"/>
        <v>-9.4977962776039639</v>
      </c>
      <c r="Z39" s="575">
        <f t="shared" si="18"/>
        <v>0.9874972864664342</v>
      </c>
      <c r="AA39" s="572">
        <f t="shared" si="19"/>
        <v>0.11131203729457491</v>
      </c>
      <c r="AB39" s="572">
        <f t="shared" si="20"/>
        <v>0.11161872412261598</v>
      </c>
      <c r="AC39" s="579">
        <f t="shared" si="106"/>
        <v>1</v>
      </c>
      <c r="AD39" s="580">
        <f t="shared" si="142"/>
        <v>0.9874972864664342</v>
      </c>
      <c r="AE39" s="572">
        <f t="shared" si="107"/>
        <v>0.11131203729457491</v>
      </c>
      <c r="AF39" s="576">
        <f t="shared" si="108"/>
        <v>0.11161872412261598</v>
      </c>
      <c r="AG39" s="545">
        <f t="shared" si="109"/>
        <v>135.07882200590905</v>
      </c>
      <c r="AH39" s="546">
        <f t="shared" si="110"/>
        <v>9.0697078841934715</v>
      </c>
      <c r="AI39" s="528">
        <f t="shared" si="111"/>
        <v>-96.408636339561312</v>
      </c>
      <c r="AJ39" s="529">
        <f t="shared" si="112"/>
        <v>96.431310912452858</v>
      </c>
      <c r="AK39" s="578">
        <f t="shared" si="238"/>
        <v>0.76793443315336329</v>
      </c>
      <c r="AL39" s="572">
        <f t="shared" si="113"/>
        <v>-0.63072812431558978</v>
      </c>
      <c r="AM39" s="577">
        <f t="shared" si="114"/>
        <v>0.11161872412261598</v>
      </c>
      <c r="AN39" s="524">
        <f t="shared" si="115"/>
        <v>-100.03561890671624</v>
      </c>
      <c r="AO39" s="525">
        <f t="shared" si="116"/>
        <v>39.831236627249659</v>
      </c>
      <c r="AP39" s="528">
        <f t="shared" si="117"/>
        <v>-39.397312105705716</v>
      </c>
      <c r="AQ39" s="529">
        <f t="shared" si="21"/>
        <v>0.8900332144298303</v>
      </c>
      <c r="AS39" s="932">
        <f t="shared" si="143"/>
        <v>406.26151386402955</v>
      </c>
      <c r="AT39" s="928">
        <f t="shared" si="22"/>
        <v>-9.5657729610453348</v>
      </c>
      <c r="AU39" s="418"/>
      <c r="AV39" s="164" t="str">
        <f t="shared" si="23"/>
        <v/>
      </c>
      <c r="AW39" s="829" t="str">
        <f>IFERROR(INDEX(MassProp!C$9:C$150,MATCH($M39,MassProp!$B$9:$B$150,0)),"")</f>
        <v/>
      </c>
      <c r="AX39" s="830" t="str">
        <f>IFERROR(INDEX(MassProp!D$9:D$150,MATCH($M39,MassProp!$B$9:$B$150,0)),"")</f>
        <v/>
      </c>
      <c r="AY39" s="831" t="str">
        <f>IFERROR(INDEX(MassProp!E$9:E$150,MATCH($M39,MassProp!$B$9:$B$150,0)),"")</f>
        <v/>
      </c>
      <c r="AZ39" s="297" t="str">
        <f t="shared" si="144"/>
        <v/>
      </c>
      <c r="BA39" s="296" t="str">
        <f t="shared" si="24"/>
        <v/>
      </c>
      <c r="BB39" s="190" t="str">
        <f t="shared" si="145"/>
        <v/>
      </c>
      <c r="BC39" s="9"/>
      <c r="BD39" s="5" t="str">
        <f t="shared" si="146"/>
        <v/>
      </c>
      <c r="BE39" s="6" t="str">
        <f t="shared" si="25"/>
        <v/>
      </c>
      <c r="BF39" s="4" t="str">
        <f t="shared" si="26"/>
        <v/>
      </c>
      <c r="BG39" s="5" t="str">
        <f t="shared" si="27"/>
        <v/>
      </c>
      <c r="BH39" s="10" t="str">
        <f t="shared" si="28"/>
        <v/>
      </c>
      <c r="BI39" s="9" t="str">
        <f t="shared" si="147"/>
        <v/>
      </c>
      <c r="BJ39" s="5" t="str">
        <f t="shared" si="29"/>
        <v/>
      </c>
      <c r="BK39" s="8" t="str">
        <f t="shared" si="30"/>
        <v/>
      </c>
      <c r="BL39" s="173" t="str">
        <f t="shared" si="31"/>
        <v/>
      </c>
      <c r="BM39" s="5" t="str">
        <f t="shared" si="32"/>
        <v/>
      </c>
      <c r="BN39" s="6" t="str">
        <f t="shared" si="33"/>
        <v/>
      </c>
      <c r="BO39" s="4" t="str">
        <f t="shared" si="148"/>
        <v/>
      </c>
      <c r="BP39" s="5" t="str">
        <f t="shared" si="239"/>
        <v/>
      </c>
      <c r="BQ39" s="5" t="str">
        <f t="shared" si="149"/>
        <v/>
      </c>
      <c r="BR39" s="6" t="str">
        <f t="shared" si="150"/>
        <v/>
      </c>
      <c r="BS39" s="4" t="str">
        <f t="shared" si="118"/>
        <v/>
      </c>
      <c r="BT39" s="5" t="str">
        <f t="shared" si="118"/>
        <v/>
      </c>
      <c r="BU39" s="10" t="str">
        <f t="shared" si="119"/>
        <v/>
      </c>
      <c r="BV39" s="9" t="str">
        <f t="shared" si="120"/>
        <v/>
      </c>
      <c r="BW39" s="5" t="str">
        <f t="shared" si="121"/>
        <v/>
      </c>
      <c r="BX39" s="8" t="str">
        <f t="shared" si="122"/>
        <v/>
      </c>
      <c r="BY39" s="173" t="str">
        <f t="shared" si="123"/>
        <v/>
      </c>
      <c r="BZ39" s="5" t="str">
        <f t="shared" si="124"/>
        <v/>
      </c>
      <c r="CA39" s="6" t="str">
        <f t="shared" si="125"/>
        <v/>
      </c>
      <c r="CB39" s="4" t="str">
        <f t="shared" si="151"/>
        <v/>
      </c>
      <c r="CC39" s="5" t="str">
        <f t="shared" si="152"/>
        <v/>
      </c>
      <c r="CD39" s="5" t="str">
        <f t="shared" si="153"/>
        <v/>
      </c>
      <c r="CE39" s="6" t="str">
        <f t="shared" si="154"/>
        <v/>
      </c>
      <c r="CF39" s="4" t="str">
        <f t="shared" si="155"/>
        <v/>
      </c>
      <c r="CG39" s="5" t="str">
        <f t="shared" si="156"/>
        <v/>
      </c>
      <c r="CH39" s="5" t="str">
        <f t="shared" si="157"/>
        <v/>
      </c>
      <c r="CI39" s="4" t="str">
        <f t="shared" si="126"/>
        <v/>
      </c>
      <c r="CJ39" s="5" t="str">
        <f t="shared" si="127"/>
        <v/>
      </c>
      <c r="CK39" s="8" t="str">
        <f t="shared" si="128"/>
        <v/>
      </c>
      <c r="CL39" s="173" t="str">
        <f t="shared" si="129"/>
        <v/>
      </c>
      <c r="CM39" s="5" t="str">
        <f t="shared" si="130"/>
        <v/>
      </c>
      <c r="CN39" s="6" t="str">
        <f t="shared" si="131"/>
        <v/>
      </c>
      <c r="CO39" s="167" t="str">
        <f t="shared" si="35"/>
        <v/>
      </c>
      <c r="CP39" s="4" t="str">
        <f t="shared" si="240"/>
        <v/>
      </c>
      <c r="CQ39" s="5" t="str">
        <f t="shared" si="241"/>
        <v/>
      </c>
      <c r="CR39" s="5" t="str">
        <f t="shared" si="158"/>
        <v/>
      </c>
      <c r="CS39" s="8" t="str">
        <f t="shared" si="159"/>
        <v/>
      </c>
      <c r="CT39" s="9" t="str">
        <f t="shared" si="160"/>
        <v/>
      </c>
      <c r="CU39" s="6" t="str">
        <f t="shared" si="161"/>
        <v/>
      </c>
      <c r="CV39" s="4" t="str">
        <f t="shared" si="242"/>
        <v/>
      </c>
      <c r="CW39" s="5" t="str">
        <f t="shared" si="162"/>
        <v/>
      </c>
      <c r="CX39" s="8" t="str">
        <f t="shared" si="163"/>
        <v/>
      </c>
      <c r="CY39" s="9" t="str">
        <f t="shared" si="164"/>
        <v/>
      </c>
      <c r="CZ39" s="5" t="str">
        <f t="shared" si="165"/>
        <v/>
      </c>
      <c r="DA39" s="6" t="str">
        <f t="shared" si="166"/>
        <v/>
      </c>
      <c r="DB39" s="4" t="str">
        <f t="shared" si="167"/>
        <v/>
      </c>
      <c r="DC39" s="5" t="str">
        <f t="shared" si="167"/>
        <v/>
      </c>
      <c r="DD39" s="10" t="str">
        <f t="shared" si="168"/>
        <v/>
      </c>
      <c r="DE39" s="9" t="str">
        <f t="shared" si="169"/>
        <v/>
      </c>
      <c r="DF39" s="5" t="str">
        <f t="shared" si="169"/>
        <v/>
      </c>
      <c r="DG39" s="10" t="str">
        <f t="shared" si="170"/>
        <v/>
      </c>
      <c r="DH39" s="70" t="str">
        <f t="shared" si="171"/>
        <v/>
      </c>
      <c r="DI39" s="4" t="str">
        <f t="shared" si="172"/>
        <v/>
      </c>
      <c r="DJ39" s="5" t="str">
        <f t="shared" si="173"/>
        <v/>
      </c>
      <c r="DK39" s="10" t="str">
        <f t="shared" si="174"/>
        <v/>
      </c>
      <c r="DL39" s="9" t="str">
        <f t="shared" si="175"/>
        <v/>
      </c>
      <c r="DM39" s="173" t="str">
        <f t="shared" si="176"/>
        <v/>
      </c>
      <c r="DN39" s="178" t="str">
        <f t="shared" si="177"/>
        <v/>
      </c>
      <c r="DO39" s="9" t="str">
        <f t="shared" si="178"/>
        <v/>
      </c>
      <c r="DP39" s="173" t="str">
        <f t="shared" si="179"/>
        <v/>
      </c>
      <c r="DQ39" s="11" t="str">
        <f t="shared" si="180"/>
        <v/>
      </c>
      <c r="DR39" s="173" t="str">
        <f t="shared" si="181"/>
        <v/>
      </c>
      <c r="DS39" s="5" t="str">
        <f t="shared" si="182"/>
        <v/>
      </c>
      <c r="DT39" s="5" t="str">
        <f t="shared" si="183"/>
        <v/>
      </c>
      <c r="DU39" s="5" t="str">
        <f t="shared" si="184"/>
        <v/>
      </c>
      <c r="DV39" s="5" t="str">
        <f t="shared" si="185"/>
        <v/>
      </c>
      <c r="DW39" s="5" t="str">
        <f t="shared" si="186"/>
        <v/>
      </c>
      <c r="DX39" s="167" t="str">
        <f t="shared" si="187"/>
        <v/>
      </c>
      <c r="DY39" s="9" t="str">
        <f t="shared" si="188"/>
        <v/>
      </c>
      <c r="DZ39" s="5" t="str">
        <f t="shared" si="189"/>
        <v/>
      </c>
      <c r="EA39" s="10" t="str">
        <f t="shared" si="190"/>
        <v/>
      </c>
      <c r="EB39" s="6" t="str">
        <f t="shared" si="191"/>
        <v/>
      </c>
      <c r="EC39" s="173" t="str">
        <f t="shared" si="192"/>
        <v/>
      </c>
      <c r="ED39" s="5" t="str">
        <f t="shared" si="193"/>
        <v/>
      </c>
      <c r="EE39" s="4" t="str">
        <f t="shared" si="194"/>
        <v/>
      </c>
      <c r="EF39" s="5" t="str">
        <f t="shared" si="195"/>
        <v/>
      </c>
      <c r="EG39" s="10" t="str">
        <f t="shared" si="196"/>
        <v/>
      </c>
      <c r="EH39" s="9" t="str">
        <f t="shared" si="197"/>
        <v/>
      </c>
      <c r="EI39" s="5" t="str">
        <f t="shared" si="198"/>
        <v/>
      </c>
      <c r="EJ39" s="6" t="str">
        <f t="shared" si="199"/>
        <v/>
      </c>
      <c r="EK39" s="236" t="str">
        <f t="shared" si="200"/>
        <v/>
      </c>
      <c r="EL39" s="238" t="str">
        <f t="shared" si="201"/>
        <v/>
      </c>
      <c r="EM39" s="4" t="str">
        <f t="shared" si="202"/>
        <v/>
      </c>
      <c r="EN39" s="5" t="str">
        <f t="shared" si="203"/>
        <v/>
      </c>
      <c r="EO39" s="10" t="str">
        <f t="shared" si="204"/>
        <v/>
      </c>
      <c r="EP39" s="9" t="str">
        <f t="shared" si="205"/>
        <v/>
      </c>
      <c r="EQ39" s="5" t="str">
        <f t="shared" si="206"/>
        <v/>
      </c>
      <c r="ER39" s="7" t="str">
        <f t="shared" si="207"/>
        <v/>
      </c>
      <c r="ES39" s="21" t="str">
        <f t="shared" si="132"/>
        <v/>
      </c>
      <c r="ET39" s="5" t="str">
        <f t="shared" si="44"/>
        <v/>
      </c>
      <c r="EU39" s="10" t="str">
        <f t="shared" si="45"/>
        <v/>
      </c>
      <c r="EV39" s="174" t="str">
        <f t="shared" si="254"/>
        <v/>
      </c>
      <c r="EW39" s="9" t="str">
        <f t="shared" si="133"/>
        <v/>
      </c>
      <c r="EX39" s="5" t="str">
        <f t="shared" si="47"/>
        <v/>
      </c>
      <c r="EY39" s="6" t="str">
        <f t="shared" si="208"/>
        <v/>
      </c>
      <c r="EZ39" s="51" t="str">
        <f t="shared" si="209"/>
        <v/>
      </c>
      <c r="FA39" s="266" t="str">
        <f t="shared" si="134"/>
        <v/>
      </c>
      <c r="FB39" s="267" t="str">
        <f t="shared" si="135"/>
        <v/>
      </c>
      <c r="FC39" s="269" t="str">
        <f t="shared" si="48"/>
        <v/>
      </c>
      <c r="FD39" s="4" t="str">
        <f t="shared" si="136"/>
        <v/>
      </c>
      <c r="FE39" s="5" t="str">
        <f t="shared" si="49"/>
        <v/>
      </c>
      <c r="FF39" s="7" t="str">
        <f t="shared" si="210"/>
        <v/>
      </c>
      <c r="FG39" s="173" t="str">
        <f t="shared" si="211"/>
        <v/>
      </c>
      <c r="FH39" s="5" t="str">
        <f t="shared" si="50"/>
        <v/>
      </c>
      <c r="FI39" s="10" t="str">
        <f t="shared" si="51"/>
        <v/>
      </c>
      <c r="FJ39" s="279" t="str">
        <f t="shared" si="212"/>
        <v/>
      </c>
      <c r="FK39" s="4" t="str">
        <f t="shared" si="52"/>
        <v/>
      </c>
      <c r="FL39" s="5" t="str">
        <f t="shared" si="213"/>
        <v/>
      </c>
      <c r="FM39" s="8" t="str">
        <f t="shared" si="214"/>
        <v/>
      </c>
      <c r="FN39" s="9" t="str">
        <f t="shared" si="215"/>
        <v/>
      </c>
      <c r="FO39" s="10" t="str">
        <f t="shared" si="53"/>
        <v/>
      </c>
      <c r="FP39" s="277" t="str">
        <f t="shared" si="54"/>
        <v/>
      </c>
      <c r="FQ39" s="173" t="str">
        <f t="shared" si="243"/>
        <v/>
      </c>
      <c r="FR39" s="10" t="str">
        <f t="shared" si="216"/>
        <v/>
      </c>
      <c r="FS39" s="9" t="str">
        <f t="shared" si="217"/>
        <v/>
      </c>
      <c r="FT39" s="6" t="str">
        <f t="shared" si="218"/>
        <v/>
      </c>
      <c r="FU39" s="4" t="str">
        <f t="shared" si="219"/>
        <v/>
      </c>
      <c r="FV39" s="5" t="str">
        <f t="shared" si="220"/>
        <v/>
      </c>
      <c r="FW39" s="8" t="str">
        <f t="shared" si="244"/>
        <v/>
      </c>
      <c r="FX39" s="9" t="str">
        <f t="shared" si="245"/>
        <v/>
      </c>
      <c r="FY39" s="10" t="str">
        <f t="shared" si="55"/>
        <v/>
      </c>
      <c r="FZ39" s="277" t="str">
        <f t="shared" si="246"/>
        <v/>
      </c>
      <c r="GA39" s="177" t="str">
        <f t="shared" si="221"/>
        <v/>
      </c>
      <c r="GB39" s="4" t="str">
        <f t="shared" si="222"/>
        <v/>
      </c>
      <c r="GC39" s="5" t="str">
        <f t="shared" si="223"/>
        <v/>
      </c>
      <c r="GD39" s="10" t="str">
        <f t="shared" si="224"/>
        <v/>
      </c>
      <c r="GE39" s="311" t="str">
        <f t="shared" si="225"/>
        <v/>
      </c>
      <c r="GF39" s="341" t="str">
        <f t="shared" si="247"/>
        <v/>
      </c>
      <c r="GG39" s="285" t="str">
        <f t="shared" si="56"/>
        <v/>
      </c>
      <c r="GH39" s="286" t="str">
        <f t="shared" si="57"/>
        <v/>
      </c>
      <c r="GI39" s="281" t="str">
        <f t="shared" si="58"/>
        <v/>
      </c>
      <c r="GJ39" s="167" t="str">
        <f t="shared" si="226"/>
        <v/>
      </c>
      <c r="GK39" s="174" t="str">
        <f t="shared" si="59"/>
        <v/>
      </c>
      <c r="GL39" s="174" t="str">
        <f t="shared" si="227"/>
        <v/>
      </c>
      <c r="GM39" s="177" t="str">
        <f t="shared" si="248"/>
        <v/>
      </c>
      <c r="GN39" s="280" t="str">
        <f t="shared" si="228"/>
        <v/>
      </c>
      <c r="GO39" s="4" t="str">
        <f t="shared" si="229"/>
        <v/>
      </c>
      <c r="GP39" s="8" t="str">
        <f t="shared" si="249"/>
        <v/>
      </c>
      <c r="GQ39" s="177" t="str">
        <f t="shared" si="230"/>
        <v/>
      </c>
      <c r="GR39" s="371" t="str">
        <f t="shared" si="250"/>
        <v/>
      </c>
      <c r="GS39" s="342" t="str">
        <f t="shared" si="61"/>
        <v/>
      </c>
      <c r="GT39" s="343" t="str">
        <f t="shared" si="62"/>
        <v/>
      </c>
      <c r="GU39" s="344" t="str">
        <f t="shared" si="63"/>
        <v/>
      </c>
      <c r="GV39" s="343" t="str">
        <f t="shared" si="252"/>
        <v/>
      </c>
      <c r="GW39" s="345" t="str">
        <f t="shared" si="64"/>
        <v/>
      </c>
      <c r="GX39" s="346" t="str">
        <f t="shared" si="65"/>
        <v/>
      </c>
      <c r="GY39" s="344" t="str">
        <f t="shared" si="66"/>
        <v/>
      </c>
      <c r="GZ39" s="345" t="str">
        <f t="shared" si="67"/>
        <v/>
      </c>
      <c r="HA39" s="342" t="str">
        <f t="shared" si="68"/>
        <v/>
      </c>
      <c r="HB39" s="5" t="str">
        <f t="shared" si="231"/>
        <v/>
      </c>
      <c r="HC39" s="343" t="str">
        <f t="shared" si="232"/>
        <v/>
      </c>
      <c r="HD39" s="363" t="str">
        <f t="shared" si="233"/>
        <v/>
      </c>
      <c r="HE39" s="344" t="str">
        <f t="shared" si="69"/>
        <v/>
      </c>
      <c r="HF39" s="5" t="str">
        <f t="shared" si="70"/>
        <v/>
      </c>
      <c r="HG39" s="343" t="str">
        <f t="shared" si="234"/>
        <v/>
      </c>
      <c r="HH39" s="349" t="str">
        <f t="shared" si="235"/>
        <v/>
      </c>
      <c r="HI39" s="317" t="str">
        <f t="shared" si="71"/>
        <v/>
      </c>
      <c r="HJ39" s="336"/>
      <c r="HK39" s="310" t="str">
        <f t="shared" si="137"/>
        <v/>
      </c>
      <c r="HL39" s="348" t="str">
        <f t="shared" si="72"/>
        <v/>
      </c>
      <c r="HM39" s="909" t="str">
        <f t="shared" si="138"/>
        <v/>
      </c>
      <c r="HN39" s="910" t="str">
        <f t="shared" si="73"/>
        <v/>
      </c>
      <c r="HO39" s="911"/>
      <c r="HP39" s="912"/>
      <c r="HQ39" s="910" t="str">
        <f t="shared" si="74"/>
        <v/>
      </c>
      <c r="HR39" s="913" t="str">
        <f t="shared" si="75"/>
        <v/>
      </c>
      <c r="HS39" s="865" t="str">
        <f t="shared" si="251"/>
        <v/>
      </c>
      <c r="HT39" s="875" t="str">
        <f t="shared" si="76"/>
        <v/>
      </c>
      <c r="HU39" s="876" t="str">
        <f t="shared" si="77"/>
        <v/>
      </c>
      <c r="HV39" s="872" t="str">
        <f t="shared" si="78"/>
        <v/>
      </c>
      <c r="HW39" s="866" t="str">
        <f t="shared" si="79"/>
        <v/>
      </c>
      <c r="HX39" s="867" t="str">
        <f t="shared" si="80"/>
        <v/>
      </c>
      <c r="HY39" s="866" t="str">
        <f t="shared" si="81"/>
        <v/>
      </c>
      <c r="HZ39" s="868" t="str">
        <f t="shared" si="82"/>
        <v/>
      </c>
      <c r="IA39" s="869" t="str">
        <f t="shared" si="83"/>
        <v/>
      </c>
      <c r="IB39" s="870" t="str">
        <f t="shared" si="84"/>
        <v/>
      </c>
      <c r="IC39" s="841" t="str">
        <f t="shared" si="85"/>
        <v/>
      </c>
      <c r="ID39" s="351" t="str">
        <f t="shared" si="86"/>
        <v/>
      </c>
      <c r="IE39" s="843" t="str">
        <f t="shared" si="87"/>
        <v/>
      </c>
      <c r="IF39" s="845"/>
      <c r="IG39" s="790" t="str">
        <f>IFERROR(IF($IW39="","",IF($IW39&lt;(((Settings!$C$19/2)*-1)*$IG$8),"Taper","Nose")),"")</f>
        <v/>
      </c>
      <c r="IH39" s="482" t="str">
        <f>IFERROR(IF((((($IY39*COS(RADIANS(180-$JA39)))*COS(RADIANS($JA39)))-(($IZ39*SIN(RADIANS(180-$JA39)))*SIN(RADIANS($JA39))))+$IW39)&lt;(((Settings!$C$19+$IH$8)/2)*-1),"Gage",""),"")</f>
        <v/>
      </c>
      <c r="II39" s="788">
        <f t="shared" si="236"/>
        <v>2.2519999999999998</v>
      </c>
      <c r="IJ39" s="674" t="str" cm="1">
        <f t="array" ref="IJ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K39" s="677" t="str" cm="1">
        <f t="array" ref="IK39">IFERROR(ROUND(VALUE(IF($IJ39&lt;1,$IJ39+LARGE((IF($M$9:$M$150="",0,$M$9:$M$150)-MOD(IF($M$9:$M$150="",0,$M$9:$M$150),1)),1),$IJ39)),4),"")</f>
        <v/>
      </c>
      <c r="IL39" s="482">
        <f t="shared" si="88"/>
        <v>1313</v>
      </c>
      <c r="IM39" s="482" t="str">
        <f t="shared" si="237"/>
        <v/>
      </c>
      <c r="IN39" s="670" t="str">
        <f t="shared" si="90"/>
        <v/>
      </c>
      <c r="IO39" s="702"/>
      <c r="IP39" s="5" t="str">
        <f t="shared" si="91"/>
        <v/>
      </c>
      <c r="IQ39" s="714"/>
      <c r="IR39" s="9" t="str">
        <f t="shared" si="139"/>
        <v/>
      </c>
      <c r="IS39" s="5" t="str">
        <f t="shared" si="92"/>
        <v/>
      </c>
      <c r="IT39" s="5" t="str">
        <f t="shared" si="93"/>
        <v/>
      </c>
      <c r="IU39" s="5" t="str">
        <f t="shared" si="94"/>
        <v/>
      </c>
      <c r="IV39" s="670" t="str">
        <f t="shared" si="95"/>
        <v/>
      </c>
      <c r="IW39" s="9" t="str">
        <f t="shared" si="96"/>
        <v/>
      </c>
      <c r="IX39" s="5" t="str">
        <f t="shared" si="97"/>
        <v/>
      </c>
      <c r="IY39" s="5" t="str">
        <f t="shared" si="98"/>
        <v/>
      </c>
      <c r="IZ39" s="5" t="str">
        <f t="shared" si="99"/>
        <v/>
      </c>
      <c r="JA39" s="705" t="str">
        <f t="shared" si="100"/>
        <v/>
      </c>
    </row>
    <row r="40" spans="1:269" ht="15" customHeight="1" x14ac:dyDescent="0.25">
      <c r="A40" s="75">
        <f t="shared" si="1"/>
        <v>0.02</v>
      </c>
      <c r="B40" s="578">
        <f t="shared" si="2"/>
        <v>0.69775378473477923</v>
      </c>
      <c r="C40" s="572">
        <f t="shared" si="3"/>
        <v>-0.51204340153913652</v>
      </c>
      <c r="D40" s="576">
        <f t="shared" si="4"/>
        <v>-0.53873221224147549</v>
      </c>
      <c r="E40" s="580">
        <f t="shared" si="5"/>
        <v>0.51215021919832138</v>
      </c>
      <c r="F40" s="572">
        <f t="shared" si="6"/>
        <v>0.81487249087937808</v>
      </c>
      <c r="G40" s="579">
        <f t="shared" si="7"/>
        <v>0.27144976806611831</v>
      </c>
      <c r="H40" s="580">
        <f t="shared" si="8"/>
        <v>0.3125</v>
      </c>
      <c r="I40" s="572">
        <f t="shared" si="9"/>
        <v>0.52</v>
      </c>
      <c r="J40" s="483">
        <f t="shared" si="10"/>
        <v>3.1030000000000002</v>
      </c>
      <c r="K40" s="806">
        <f t="shared" si="11"/>
        <v>1613</v>
      </c>
      <c r="L40" s="309"/>
      <c r="M40" s="164">
        <f t="shared" si="12"/>
        <v>3.1030000000000002</v>
      </c>
      <c r="N40" s="575">
        <f t="shared" si="13"/>
        <v>0.69775378473477923</v>
      </c>
      <c r="O40" s="572">
        <f t="shared" si="14"/>
        <v>-0.51204340153913652</v>
      </c>
      <c r="P40" s="576">
        <f t="shared" si="15"/>
        <v>-0.53873221224147549</v>
      </c>
      <c r="Q40" s="528">
        <f t="shared" si="140"/>
        <v>323.72708812190035</v>
      </c>
      <c r="R40" s="572">
        <f t="shared" si="101"/>
        <v>0.86547604771679154</v>
      </c>
      <c r="S40" s="577">
        <f t="shared" si="102"/>
        <v>-0.53873221224147549</v>
      </c>
      <c r="T40" s="578">
        <f t="shared" si="103"/>
        <v>-0.50675704871254879</v>
      </c>
      <c r="U40" s="572">
        <f t="shared" si="104"/>
        <v>-0.70160251050835432</v>
      </c>
      <c r="V40" s="579">
        <f t="shared" si="141"/>
        <v>-0.53873221224147549</v>
      </c>
      <c r="W40" s="528">
        <f t="shared" si="253"/>
        <v>234.15997896777134</v>
      </c>
      <c r="X40" s="572">
        <f t="shared" si="105"/>
        <v>0.86547604771679154</v>
      </c>
      <c r="Y40" s="573">
        <f t="shared" si="255"/>
        <v>-0.53873221224147549</v>
      </c>
      <c r="Z40" s="575">
        <f t="shared" si="18"/>
        <v>-0.51215021919832138</v>
      </c>
      <c r="AA40" s="572">
        <f t="shared" si="19"/>
        <v>-0.81487249087937808</v>
      </c>
      <c r="AB40" s="572">
        <f t="shared" si="20"/>
        <v>-0.27144976806611831</v>
      </c>
      <c r="AC40" s="579">
        <f t="shared" si="106"/>
        <v>1</v>
      </c>
      <c r="AD40" s="580">
        <f t="shared" si="142"/>
        <v>-0.51215021919832138</v>
      </c>
      <c r="AE40" s="572">
        <f t="shared" si="107"/>
        <v>-0.81487249087937808</v>
      </c>
      <c r="AF40" s="576">
        <f t="shared" si="108"/>
        <v>-0.27144976806611831</v>
      </c>
      <c r="AG40" s="545">
        <f t="shared" si="109"/>
        <v>-71.576087865676897</v>
      </c>
      <c r="AH40" s="546">
        <f t="shared" si="110"/>
        <v>120.8071611946996</v>
      </c>
      <c r="AI40" s="528">
        <f t="shared" si="111"/>
        <v>-74.249445278802412</v>
      </c>
      <c r="AJ40" s="529">
        <f t="shared" si="112"/>
        <v>-32.149505615160429</v>
      </c>
      <c r="AK40" s="578">
        <f t="shared" si="238"/>
        <v>0.95996129195771218</v>
      </c>
      <c r="AL40" s="572">
        <f t="shared" si="113"/>
        <v>6.9205067442571544E-2</v>
      </c>
      <c r="AM40" s="577">
        <f t="shared" si="114"/>
        <v>-0.27144976806611831</v>
      </c>
      <c r="AN40" s="524">
        <f t="shared" si="115"/>
        <v>14.302653650703496</v>
      </c>
      <c r="AO40" s="525">
        <f t="shared" si="116"/>
        <v>16.268123573021061</v>
      </c>
      <c r="AP40" s="528">
        <f t="shared" si="117"/>
        <v>4.1234062629392456</v>
      </c>
      <c r="AQ40" s="529">
        <f t="shared" si="21"/>
        <v>5.2533738935123653</v>
      </c>
      <c r="AS40" s="932">
        <f t="shared" si="143"/>
        <v>234.15997896777134</v>
      </c>
      <c r="AT40" s="928">
        <f t="shared" si="22"/>
        <v>-0.36767898610470984</v>
      </c>
      <c r="AU40" s="418"/>
      <c r="AV40" s="164" t="str">
        <f t="shared" si="23"/>
        <v/>
      </c>
      <c r="AW40" s="829" t="str">
        <f>IFERROR(INDEX(MassProp!C$9:C$150,MATCH($M40,MassProp!$B$9:$B$150,0)),"")</f>
        <v/>
      </c>
      <c r="AX40" s="830" t="str">
        <f>IFERROR(INDEX(MassProp!D$9:D$150,MATCH($M40,MassProp!$B$9:$B$150,0)),"")</f>
        <v/>
      </c>
      <c r="AY40" s="831" t="str">
        <f>IFERROR(INDEX(MassProp!E$9:E$150,MATCH($M40,MassProp!$B$9:$B$150,0)),"")</f>
        <v/>
      </c>
      <c r="AZ40" s="297" t="str">
        <f t="shared" si="144"/>
        <v/>
      </c>
      <c r="BA40" s="296" t="str">
        <f t="shared" si="24"/>
        <v/>
      </c>
      <c r="BB40" s="190" t="str">
        <f t="shared" si="145"/>
        <v/>
      </c>
      <c r="BC40" s="9"/>
      <c r="BD40" s="5" t="str">
        <f t="shared" si="146"/>
        <v/>
      </c>
      <c r="BE40" s="6" t="str">
        <f t="shared" si="25"/>
        <v/>
      </c>
      <c r="BF40" s="4" t="str">
        <f t="shared" si="26"/>
        <v/>
      </c>
      <c r="BG40" s="5" t="str">
        <f t="shared" si="27"/>
        <v/>
      </c>
      <c r="BH40" s="10" t="str">
        <f t="shared" si="28"/>
        <v/>
      </c>
      <c r="BI40" s="9" t="str">
        <f t="shared" si="147"/>
        <v/>
      </c>
      <c r="BJ40" s="5" t="str">
        <f t="shared" si="29"/>
        <v/>
      </c>
      <c r="BK40" s="8" t="str">
        <f t="shared" si="30"/>
        <v/>
      </c>
      <c r="BL40" s="173" t="str">
        <f t="shared" si="31"/>
        <v/>
      </c>
      <c r="BM40" s="5" t="str">
        <f t="shared" si="32"/>
        <v/>
      </c>
      <c r="BN40" s="6" t="str">
        <f t="shared" si="33"/>
        <v/>
      </c>
      <c r="BO40" s="4" t="str">
        <f t="shared" si="148"/>
        <v/>
      </c>
      <c r="BP40" s="5" t="str">
        <f t="shared" si="239"/>
        <v/>
      </c>
      <c r="BQ40" s="5" t="str">
        <f t="shared" si="149"/>
        <v/>
      </c>
      <c r="BR40" s="6" t="str">
        <f t="shared" si="150"/>
        <v/>
      </c>
      <c r="BS40" s="4" t="str">
        <f t="shared" si="118"/>
        <v/>
      </c>
      <c r="BT40" s="5" t="str">
        <f t="shared" si="118"/>
        <v/>
      </c>
      <c r="BU40" s="10" t="str">
        <f t="shared" si="119"/>
        <v/>
      </c>
      <c r="BV40" s="9" t="str">
        <f t="shared" si="120"/>
        <v/>
      </c>
      <c r="BW40" s="5" t="str">
        <f t="shared" si="121"/>
        <v/>
      </c>
      <c r="BX40" s="8" t="str">
        <f t="shared" si="122"/>
        <v/>
      </c>
      <c r="BY40" s="173" t="str">
        <f t="shared" si="123"/>
        <v/>
      </c>
      <c r="BZ40" s="5" t="str">
        <f t="shared" si="124"/>
        <v/>
      </c>
      <c r="CA40" s="6" t="str">
        <f t="shared" si="125"/>
        <v/>
      </c>
      <c r="CB40" s="4" t="str">
        <f t="shared" si="151"/>
        <v/>
      </c>
      <c r="CC40" s="5" t="str">
        <f t="shared" si="152"/>
        <v/>
      </c>
      <c r="CD40" s="5" t="str">
        <f t="shared" si="153"/>
        <v/>
      </c>
      <c r="CE40" s="6" t="str">
        <f t="shared" si="154"/>
        <v/>
      </c>
      <c r="CF40" s="4" t="str">
        <f t="shared" si="155"/>
        <v/>
      </c>
      <c r="CG40" s="5" t="str">
        <f t="shared" si="156"/>
        <v/>
      </c>
      <c r="CH40" s="5" t="str">
        <f t="shared" si="157"/>
        <v/>
      </c>
      <c r="CI40" s="4" t="str">
        <f t="shared" si="126"/>
        <v/>
      </c>
      <c r="CJ40" s="5" t="str">
        <f t="shared" si="127"/>
        <v/>
      </c>
      <c r="CK40" s="8" t="str">
        <f t="shared" si="128"/>
        <v/>
      </c>
      <c r="CL40" s="173" t="str">
        <f t="shared" si="129"/>
        <v/>
      </c>
      <c r="CM40" s="5" t="str">
        <f t="shared" si="130"/>
        <v/>
      </c>
      <c r="CN40" s="6" t="str">
        <f t="shared" si="131"/>
        <v/>
      </c>
      <c r="CO40" s="167" t="str">
        <f t="shared" si="35"/>
        <v/>
      </c>
      <c r="CP40" s="4" t="str">
        <f t="shared" si="240"/>
        <v/>
      </c>
      <c r="CQ40" s="5" t="str">
        <f t="shared" si="241"/>
        <v/>
      </c>
      <c r="CR40" s="5" t="str">
        <f t="shared" si="158"/>
        <v/>
      </c>
      <c r="CS40" s="8" t="str">
        <f t="shared" si="159"/>
        <v/>
      </c>
      <c r="CT40" s="9" t="str">
        <f t="shared" si="160"/>
        <v/>
      </c>
      <c r="CU40" s="6" t="str">
        <f t="shared" si="161"/>
        <v/>
      </c>
      <c r="CV40" s="4" t="str">
        <f t="shared" si="242"/>
        <v/>
      </c>
      <c r="CW40" s="5" t="str">
        <f t="shared" si="162"/>
        <v/>
      </c>
      <c r="CX40" s="8" t="str">
        <f t="shared" si="163"/>
        <v/>
      </c>
      <c r="CY40" s="9" t="str">
        <f t="shared" si="164"/>
        <v/>
      </c>
      <c r="CZ40" s="5" t="str">
        <f t="shared" si="165"/>
        <v/>
      </c>
      <c r="DA40" s="6" t="str">
        <f t="shared" si="166"/>
        <v/>
      </c>
      <c r="DB40" s="4" t="str">
        <f t="shared" si="167"/>
        <v/>
      </c>
      <c r="DC40" s="5" t="str">
        <f t="shared" si="167"/>
        <v/>
      </c>
      <c r="DD40" s="10" t="str">
        <f t="shared" si="168"/>
        <v/>
      </c>
      <c r="DE40" s="9" t="str">
        <f t="shared" si="169"/>
        <v/>
      </c>
      <c r="DF40" s="5" t="str">
        <f t="shared" si="169"/>
        <v/>
      </c>
      <c r="DG40" s="10" t="str">
        <f t="shared" si="170"/>
        <v/>
      </c>
      <c r="DH40" s="70" t="str">
        <f t="shared" si="171"/>
        <v/>
      </c>
      <c r="DI40" s="4" t="str">
        <f t="shared" si="172"/>
        <v/>
      </c>
      <c r="DJ40" s="5" t="str">
        <f t="shared" si="173"/>
        <v/>
      </c>
      <c r="DK40" s="10" t="str">
        <f t="shared" si="174"/>
        <v/>
      </c>
      <c r="DL40" s="9" t="str">
        <f t="shared" si="175"/>
        <v/>
      </c>
      <c r="DM40" s="173" t="str">
        <f t="shared" si="176"/>
        <v/>
      </c>
      <c r="DN40" s="178" t="str">
        <f t="shared" si="177"/>
        <v/>
      </c>
      <c r="DO40" s="9" t="str">
        <f t="shared" si="178"/>
        <v/>
      </c>
      <c r="DP40" s="173" t="str">
        <f t="shared" si="179"/>
        <v/>
      </c>
      <c r="DQ40" s="11" t="str">
        <f t="shared" si="180"/>
        <v/>
      </c>
      <c r="DR40" s="173" t="str">
        <f t="shared" si="181"/>
        <v/>
      </c>
      <c r="DS40" s="5" t="str">
        <f t="shared" si="182"/>
        <v/>
      </c>
      <c r="DT40" s="5" t="str">
        <f t="shared" si="183"/>
        <v/>
      </c>
      <c r="DU40" s="5" t="str">
        <f t="shared" si="184"/>
        <v/>
      </c>
      <c r="DV40" s="5" t="str">
        <f t="shared" si="185"/>
        <v/>
      </c>
      <c r="DW40" s="5" t="str">
        <f t="shared" si="186"/>
        <v/>
      </c>
      <c r="DX40" s="167" t="str">
        <f t="shared" si="187"/>
        <v/>
      </c>
      <c r="DY40" s="9" t="str">
        <f t="shared" si="188"/>
        <v/>
      </c>
      <c r="DZ40" s="5" t="str">
        <f t="shared" si="189"/>
        <v/>
      </c>
      <c r="EA40" s="10" t="str">
        <f t="shared" si="190"/>
        <v/>
      </c>
      <c r="EB40" s="6" t="str">
        <f t="shared" si="191"/>
        <v/>
      </c>
      <c r="EC40" s="173" t="str">
        <f t="shared" si="192"/>
        <v/>
      </c>
      <c r="ED40" s="5" t="str">
        <f t="shared" si="193"/>
        <v/>
      </c>
      <c r="EE40" s="4" t="str">
        <f t="shared" si="194"/>
        <v/>
      </c>
      <c r="EF40" s="5" t="str">
        <f t="shared" si="195"/>
        <v/>
      </c>
      <c r="EG40" s="10" t="str">
        <f t="shared" si="196"/>
        <v/>
      </c>
      <c r="EH40" s="9" t="str">
        <f t="shared" si="197"/>
        <v/>
      </c>
      <c r="EI40" s="5" t="str">
        <f t="shared" si="198"/>
        <v/>
      </c>
      <c r="EJ40" s="6" t="str">
        <f t="shared" si="199"/>
        <v/>
      </c>
      <c r="EK40" s="236" t="str">
        <f t="shared" si="200"/>
        <v/>
      </c>
      <c r="EL40" s="238" t="str">
        <f t="shared" si="201"/>
        <v/>
      </c>
      <c r="EM40" s="4" t="str">
        <f t="shared" si="202"/>
        <v/>
      </c>
      <c r="EN40" s="5" t="str">
        <f t="shared" si="203"/>
        <v/>
      </c>
      <c r="EO40" s="10" t="str">
        <f t="shared" si="204"/>
        <v/>
      </c>
      <c r="EP40" s="9" t="str">
        <f t="shared" si="205"/>
        <v/>
      </c>
      <c r="EQ40" s="5" t="str">
        <f t="shared" si="206"/>
        <v/>
      </c>
      <c r="ER40" s="7" t="str">
        <f t="shared" si="207"/>
        <v/>
      </c>
      <c r="ES40" s="21" t="str">
        <f t="shared" si="132"/>
        <v/>
      </c>
      <c r="ET40" s="5" t="str">
        <f t="shared" si="44"/>
        <v/>
      </c>
      <c r="EU40" s="10" t="str">
        <f t="shared" si="45"/>
        <v/>
      </c>
      <c r="EV40" s="174" t="str">
        <f t="shared" si="254"/>
        <v/>
      </c>
      <c r="EW40" s="9" t="str">
        <f t="shared" si="133"/>
        <v/>
      </c>
      <c r="EX40" s="5" t="str">
        <f t="shared" si="47"/>
        <v/>
      </c>
      <c r="EY40" s="6" t="str">
        <f t="shared" si="208"/>
        <v/>
      </c>
      <c r="EZ40" s="51" t="str">
        <f t="shared" si="209"/>
        <v/>
      </c>
      <c r="FA40" s="266" t="str">
        <f t="shared" si="134"/>
        <v/>
      </c>
      <c r="FB40" s="267" t="str">
        <f t="shared" si="135"/>
        <v/>
      </c>
      <c r="FC40" s="269" t="str">
        <f t="shared" si="48"/>
        <v/>
      </c>
      <c r="FD40" s="4" t="str">
        <f t="shared" si="136"/>
        <v/>
      </c>
      <c r="FE40" s="5" t="str">
        <f t="shared" si="49"/>
        <v/>
      </c>
      <c r="FF40" s="7" t="str">
        <f t="shared" si="210"/>
        <v/>
      </c>
      <c r="FG40" s="173" t="str">
        <f t="shared" si="211"/>
        <v/>
      </c>
      <c r="FH40" s="5" t="str">
        <f t="shared" si="50"/>
        <v/>
      </c>
      <c r="FI40" s="10" t="str">
        <f t="shared" si="51"/>
        <v/>
      </c>
      <c r="FJ40" s="279" t="str">
        <f t="shared" si="212"/>
        <v/>
      </c>
      <c r="FK40" s="4" t="str">
        <f t="shared" si="52"/>
        <v/>
      </c>
      <c r="FL40" s="5" t="str">
        <f t="shared" si="213"/>
        <v/>
      </c>
      <c r="FM40" s="8" t="str">
        <f t="shared" si="214"/>
        <v/>
      </c>
      <c r="FN40" s="9" t="str">
        <f t="shared" si="215"/>
        <v/>
      </c>
      <c r="FO40" s="10" t="str">
        <f t="shared" si="53"/>
        <v/>
      </c>
      <c r="FP40" s="277" t="str">
        <f t="shared" si="54"/>
        <v/>
      </c>
      <c r="FQ40" s="173" t="str">
        <f t="shared" si="243"/>
        <v/>
      </c>
      <c r="FR40" s="10" t="str">
        <f t="shared" si="216"/>
        <v/>
      </c>
      <c r="FS40" s="9" t="str">
        <f t="shared" si="217"/>
        <v/>
      </c>
      <c r="FT40" s="6" t="str">
        <f t="shared" si="218"/>
        <v/>
      </c>
      <c r="FU40" s="4" t="str">
        <f t="shared" si="219"/>
        <v/>
      </c>
      <c r="FV40" s="5" t="str">
        <f t="shared" si="220"/>
        <v/>
      </c>
      <c r="FW40" s="8" t="str">
        <f t="shared" si="244"/>
        <v/>
      </c>
      <c r="FX40" s="9" t="str">
        <f t="shared" si="245"/>
        <v/>
      </c>
      <c r="FY40" s="10" t="str">
        <f t="shared" si="55"/>
        <v/>
      </c>
      <c r="FZ40" s="277" t="str">
        <f t="shared" si="246"/>
        <v/>
      </c>
      <c r="GA40" s="177" t="str">
        <f t="shared" si="221"/>
        <v/>
      </c>
      <c r="GB40" s="4" t="str">
        <f t="shared" si="222"/>
        <v/>
      </c>
      <c r="GC40" s="5" t="str">
        <f t="shared" si="223"/>
        <v/>
      </c>
      <c r="GD40" s="10" t="str">
        <f t="shared" si="224"/>
        <v/>
      </c>
      <c r="GE40" s="311" t="str">
        <f t="shared" si="225"/>
        <v/>
      </c>
      <c r="GF40" s="341" t="str">
        <f t="shared" si="247"/>
        <v/>
      </c>
      <c r="GG40" s="285" t="str">
        <f t="shared" si="56"/>
        <v/>
      </c>
      <c r="GH40" s="286" t="str">
        <f t="shared" si="57"/>
        <v/>
      </c>
      <c r="GI40" s="281" t="str">
        <f t="shared" si="58"/>
        <v/>
      </c>
      <c r="GJ40" s="167" t="str">
        <f t="shared" si="226"/>
        <v/>
      </c>
      <c r="GK40" s="174" t="str">
        <f t="shared" si="59"/>
        <v/>
      </c>
      <c r="GL40" s="174" t="str">
        <f t="shared" si="227"/>
        <v/>
      </c>
      <c r="GM40" s="177" t="str">
        <f t="shared" si="248"/>
        <v/>
      </c>
      <c r="GN40" s="280" t="str">
        <f t="shared" si="228"/>
        <v/>
      </c>
      <c r="GO40" s="4" t="str">
        <f t="shared" si="229"/>
        <v/>
      </c>
      <c r="GP40" s="8" t="str">
        <f t="shared" si="249"/>
        <v/>
      </c>
      <c r="GQ40" s="177" t="str">
        <f t="shared" si="230"/>
        <v/>
      </c>
      <c r="GR40" s="371" t="str">
        <f t="shared" si="250"/>
        <v/>
      </c>
      <c r="GS40" s="342" t="str">
        <f t="shared" si="61"/>
        <v/>
      </c>
      <c r="GT40" s="343" t="str">
        <f t="shared" si="62"/>
        <v/>
      </c>
      <c r="GU40" s="344" t="str">
        <f t="shared" si="63"/>
        <v/>
      </c>
      <c r="GV40" s="343" t="str">
        <f t="shared" si="252"/>
        <v/>
      </c>
      <c r="GW40" s="345" t="str">
        <f t="shared" si="64"/>
        <v/>
      </c>
      <c r="GX40" s="346" t="str">
        <f t="shared" si="65"/>
        <v/>
      </c>
      <c r="GY40" s="344" t="str">
        <f t="shared" si="66"/>
        <v/>
      </c>
      <c r="GZ40" s="345" t="str">
        <f t="shared" si="67"/>
        <v/>
      </c>
      <c r="HA40" s="342" t="str">
        <f t="shared" si="68"/>
        <v/>
      </c>
      <c r="HB40" s="5" t="str">
        <f t="shared" si="231"/>
        <v/>
      </c>
      <c r="HC40" s="343" t="str">
        <f t="shared" si="232"/>
        <v/>
      </c>
      <c r="HD40" s="363" t="str">
        <f t="shared" si="233"/>
        <v/>
      </c>
      <c r="HE40" s="344" t="str">
        <f t="shared" si="69"/>
        <v/>
      </c>
      <c r="HF40" s="5" t="str">
        <f t="shared" si="70"/>
        <v/>
      </c>
      <c r="HG40" s="343" t="str">
        <f t="shared" si="234"/>
        <v/>
      </c>
      <c r="HH40" s="349" t="str">
        <f t="shared" si="235"/>
        <v/>
      </c>
      <c r="HI40" s="317" t="str">
        <f t="shared" si="71"/>
        <v/>
      </c>
      <c r="HJ40" s="336"/>
      <c r="HK40" s="310" t="str">
        <f t="shared" si="137"/>
        <v/>
      </c>
      <c r="HL40" s="348" t="str">
        <f t="shared" si="72"/>
        <v/>
      </c>
      <c r="HM40" s="909" t="str">
        <f t="shared" si="138"/>
        <v/>
      </c>
      <c r="HN40" s="910" t="str">
        <f t="shared" si="73"/>
        <v/>
      </c>
      <c r="HO40" s="911"/>
      <c r="HP40" s="912"/>
      <c r="HQ40" s="910" t="str">
        <f t="shared" si="74"/>
        <v/>
      </c>
      <c r="HR40" s="913" t="str">
        <f t="shared" si="75"/>
        <v/>
      </c>
      <c r="HS40" s="865" t="str">
        <f t="shared" si="251"/>
        <v/>
      </c>
      <c r="HT40" s="875" t="str">
        <f t="shared" si="76"/>
        <v/>
      </c>
      <c r="HU40" s="876" t="str">
        <f t="shared" si="77"/>
        <v/>
      </c>
      <c r="HV40" s="872" t="str">
        <f t="shared" si="78"/>
        <v/>
      </c>
      <c r="HW40" s="866" t="str">
        <f t="shared" si="79"/>
        <v/>
      </c>
      <c r="HX40" s="867" t="str">
        <f t="shared" si="80"/>
        <v/>
      </c>
      <c r="HY40" s="866" t="str">
        <f t="shared" si="81"/>
        <v/>
      </c>
      <c r="HZ40" s="868" t="str">
        <f t="shared" si="82"/>
        <v/>
      </c>
      <c r="IA40" s="869" t="str">
        <f t="shared" si="83"/>
        <v/>
      </c>
      <c r="IB40" s="870" t="str">
        <f t="shared" si="84"/>
        <v/>
      </c>
      <c r="IC40" s="841" t="str">
        <f t="shared" si="85"/>
        <v/>
      </c>
      <c r="ID40" s="351" t="str">
        <f t="shared" si="86"/>
        <v/>
      </c>
      <c r="IE40" s="843" t="str">
        <f t="shared" si="87"/>
        <v/>
      </c>
      <c r="IF40" s="845"/>
      <c r="IG40" s="790" t="str">
        <f>IFERROR(IF($IW40="","",IF($IW40&lt;(((Settings!$C$19/2)*-1)*$IG$8),"Taper","Nose")),"")</f>
        <v/>
      </c>
      <c r="IH40" s="482" t="str">
        <f>IFERROR(IF((((($IY40*COS(RADIANS(180-$JA40)))*COS(RADIANS($JA40)))-(($IZ40*SIN(RADIANS(180-$JA40)))*SIN(RADIANS($JA40))))+$IW40)&lt;(((Settings!$C$19+$IH$8)/2)*-1),"Gage",""),"")</f>
        <v/>
      </c>
      <c r="II40" s="788">
        <f t="shared" si="236"/>
        <v>3.1030000000000002</v>
      </c>
      <c r="IJ40" s="674" t="str" cm="1">
        <f t="array" ref="IJ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K40" s="677" t="str" cm="1">
        <f t="array" ref="IK40">IFERROR(ROUND(VALUE(IF($IJ40&lt;1,$IJ40+LARGE((IF($M$9:$M$150="",0,$M$9:$M$150)-MOD(IF($M$9:$M$150="",0,$M$9:$M$150),1)),1),$IJ40)),4),"")</f>
        <v/>
      </c>
      <c r="IL40" s="482">
        <f t="shared" si="88"/>
        <v>1613</v>
      </c>
      <c r="IM40" s="482" t="str">
        <f t="shared" si="237"/>
        <v/>
      </c>
      <c r="IN40" s="670" t="str">
        <f t="shared" si="90"/>
        <v/>
      </c>
      <c r="IO40" s="702"/>
      <c r="IP40" s="5" t="str">
        <f t="shared" si="91"/>
        <v/>
      </c>
      <c r="IQ40" s="714"/>
      <c r="IR40" s="9" t="str">
        <f t="shared" si="139"/>
        <v/>
      </c>
      <c r="IS40" s="5" t="str">
        <f t="shared" si="92"/>
        <v/>
      </c>
      <c r="IT40" s="5" t="str">
        <f t="shared" si="93"/>
        <v/>
      </c>
      <c r="IU40" s="5" t="str">
        <f t="shared" si="94"/>
        <v/>
      </c>
      <c r="IV40" s="670" t="str">
        <f t="shared" si="95"/>
        <v/>
      </c>
      <c r="IW40" s="9" t="str">
        <f t="shared" si="96"/>
        <v/>
      </c>
      <c r="IX40" s="5" t="str">
        <f t="shared" si="97"/>
        <v/>
      </c>
      <c r="IY40" s="5" t="str">
        <f t="shared" si="98"/>
        <v/>
      </c>
      <c r="IZ40" s="5" t="str">
        <f t="shared" si="99"/>
        <v/>
      </c>
      <c r="JA40" s="705" t="str">
        <f t="shared" si="100"/>
        <v/>
      </c>
    </row>
    <row r="41" spans="1:269" ht="15" customHeight="1" x14ac:dyDescent="0.25">
      <c r="A41" s="75">
        <f t="shared" ref="A41:A104" si="256">IF($K41="","",IF(AND($A$8="Y",ISNUMBER($K41)),$A$5,0))</f>
        <v>0.02</v>
      </c>
      <c r="B41" s="578">
        <f t="shared" ref="B41:B54" si="257">IFERROR(Q196+($A41*-E41),"")</f>
        <v>1.3057940699130854</v>
      </c>
      <c r="C41" s="572">
        <f t="shared" ref="C41:C54" si="258">IFERROR(R196+($A41*-F41),"")</f>
        <v>-0.93791275474022529</v>
      </c>
      <c r="D41" s="576">
        <f t="shared" ref="D41:D54" si="259">IFERROR(S196+($A41*-G41),"")</f>
        <v>-0.33949975573920044</v>
      </c>
      <c r="E41" s="580">
        <f t="shared" ref="E41:E54" si="260">T196</f>
        <v>0.51721777456955287</v>
      </c>
      <c r="F41" s="572">
        <f t="shared" ref="F41:F54" si="261">U196</f>
        <v>0.81701800827050908</v>
      </c>
      <c r="G41" s="579">
        <f t="shared" ref="G41:G54" si="262">V196</f>
        <v>0.25488693146375618</v>
      </c>
      <c r="H41" s="580">
        <f t="shared" ref="H41:H54" si="263">W196</f>
        <v>0.3125</v>
      </c>
      <c r="I41" s="572">
        <f t="shared" ref="I41:I54" si="264">X196</f>
        <v>0.52</v>
      </c>
      <c r="J41" s="483">
        <f t="shared" ref="J41:J54" si="265">IF(Y196=0,"",Y196)</f>
        <v>3.1059999999999999</v>
      </c>
      <c r="K41" s="806">
        <f t="shared" ref="K41:K54" si="266">Z196</f>
        <v>1613</v>
      </c>
      <c r="L41" s="309"/>
      <c r="M41" s="164">
        <f t="shared" ref="M41:M72" si="267">IF(J41="","",VALUE(J41))</f>
        <v>3.1059999999999999</v>
      </c>
      <c r="N41" s="575">
        <f t="shared" ref="N41:N72" si="268">IF(M41="","",B41)</f>
        <v>1.3057940699130854</v>
      </c>
      <c r="O41" s="572">
        <f t="shared" ref="O41:O72" si="269">IF(M41="","",C41)</f>
        <v>-0.93791275474022529</v>
      </c>
      <c r="P41" s="576">
        <f t="shared" ref="P41:P72" si="270">IF(M41="","",D41)</f>
        <v>-0.33949975573920044</v>
      </c>
      <c r="Q41" s="528">
        <f t="shared" si="140"/>
        <v>324.31144527955416</v>
      </c>
      <c r="R41" s="572">
        <f t="shared" si="101"/>
        <v>1.6077246308135538</v>
      </c>
      <c r="S41" s="577">
        <f t="shared" si="102"/>
        <v>-0.33949975573920044</v>
      </c>
      <c r="T41" s="578">
        <f t="shared" si="103"/>
        <v>-0.928020320923725</v>
      </c>
      <c r="U41" s="572">
        <f t="shared" si="104"/>
        <v>-1.3128430113601566</v>
      </c>
      <c r="V41" s="579">
        <f t="shared" si="141"/>
        <v>-0.33949975573920044</v>
      </c>
      <c r="W41" s="528">
        <f t="shared" si="253"/>
        <v>234.74433612542515</v>
      </c>
      <c r="X41" s="572">
        <f t="shared" si="105"/>
        <v>1.6077246308135538</v>
      </c>
      <c r="Y41" s="573">
        <f t="shared" si="255"/>
        <v>-0.33949975573920044</v>
      </c>
      <c r="Z41" s="575">
        <f t="shared" ref="Z41:Z72" si="271">IF(M41="","",-E41)</f>
        <v>-0.51721777456955287</v>
      </c>
      <c r="AA41" s="572">
        <f t="shared" ref="AA41:AA72" si="272">IF(M41="","",-F41)</f>
        <v>-0.81701800827050908</v>
      </c>
      <c r="AB41" s="572">
        <f t="shared" ref="AB41:AB72" si="273">IF(M41="","",-G41)</f>
        <v>-0.25488693146375618</v>
      </c>
      <c r="AC41" s="579">
        <f t="shared" si="106"/>
        <v>1</v>
      </c>
      <c r="AD41" s="580">
        <f t="shared" si="142"/>
        <v>-0.51721777456955287</v>
      </c>
      <c r="AE41" s="572">
        <f t="shared" si="107"/>
        <v>-0.81701800827050908</v>
      </c>
      <c r="AF41" s="576">
        <f t="shared" si="108"/>
        <v>-0.25488693146375618</v>
      </c>
      <c r="AG41" s="545">
        <f t="shared" si="109"/>
        <v>-72.673528099031131</v>
      </c>
      <c r="AH41" s="546">
        <f t="shared" si="110"/>
        <v>121.14580967117627</v>
      </c>
      <c r="AI41" s="528">
        <f t="shared" si="111"/>
        <v>-75.2331145853706</v>
      </c>
      <c r="AJ41" s="529">
        <f t="shared" si="112"/>
        <v>-32.336082149458818</v>
      </c>
      <c r="AK41" s="578">
        <f t="shared" si="238"/>
        <v>0.96531606732530595</v>
      </c>
      <c r="AL41" s="572">
        <f t="shared" si="113"/>
        <v>5.6546815406315287E-2</v>
      </c>
      <c r="AM41" s="577">
        <f t="shared" si="114"/>
        <v>-0.25488693146375618</v>
      </c>
      <c r="AN41" s="524">
        <f t="shared" si="115"/>
        <v>12.508515021959289</v>
      </c>
      <c r="AO41" s="525">
        <f t="shared" si="116"/>
        <v>15.134396576192788</v>
      </c>
      <c r="AP41" s="528">
        <f t="shared" si="117"/>
        <v>3.3524725709870147</v>
      </c>
      <c r="AQ41" s="529">
        <f t="shared" ref="AQ41:AQ72" si="274">IF(M41="","",DEGREES(ATAN(($AS$5*SIN(RADIANS(90)))/(($X41*2*PI())-($AS$5*COS(RADIANS(90)))))))</f>
        <v>2.8336539512517351</v>
      </c>
      <c r="AS41" s="932">
        <f t="shared" si="143"/>
        <v>234.74433612542515</v>
      </c>
      <c r="AT41" s="928">
        <f t="shared" ref="AT41:AT72" si="275">IF(M41="","",Y41+(((AS41-$AS$9)*$AS$6)*-1))</f>
        <v>-0.16925813676584284</v>
      </c>
      <c r="AU41" s="418"/>
      <c r="AV41" s="164" t="str">
        <f t="shared" ref="AV41:AV72" si="276">IF(AND(ISNUMBER(VALUE(K41)),ISNUMBER(AW41),ISNUMBER(AX41),ISNUMBER(AY41),AY41&gt;=0.0001),$M41,"")</f>
        <v/>
      </c>
      <c r="AW41" s="829" t="str">
        <f>IFERROR(INDEX(MassProp!C$9:C$150,MATCH($M41,MassProp!$B$9:$B$150,0)),"")</f>
        <v/>
      </c>
      <c r="AX41" s="830" t="str">
        <f>IFERROR(INDEX(MassProp!D$9:D$150,MATCH($M41,MassProp!$B$9:$B$150,0)),"")</f>
        <v/>
      </c>
      <c r="AY41" s="831" t="str">
        <f>IFERROR(INDEX(MassProp!E$9:E$150,MATCH($M41,MassProp!$B$9:$B$150,0)),"")</f>
        <v/>
      </c>
      <c r="AZ41" s="297" t="str">
        <f t="shared" ref="AZ41:AZ53" si="277">IF(ISNUMBER(AV41),$AY41*SQRT((2*PI()*$AW41)^2+$AS$5^2),"")</f>
        <v/>
      </c>
      <c r="BA41" s="296" t="str">
        <f t="shared" ref="BA41:BA72" si="278">IF(ISNUMBER(AV41),AZ41/$AZ$151,"")</f>
        <v/>
      </c>
      <c r="BB41" s="190" t="str">
        <f t="shared" si="145"/>
        <v/>
      </c>
      <c r="BC41" s="9"/>
      <c r="BD41" s="5" t="str">
        <f t="shared" ref="BD41:BD53" si="279">IF(ISNUMBER(AV41),AW41,"")</f>
        <v/>
      </c>
      <c r="BE41" s="6" t="str">
        <f t="shared" ref="BE41:BE72" si="280">IF(ISNUMBER(AV41),Y41+BB41,"")</f>
        <v/>
      </c>
      <c r="BF41" s="4" t="str">
        <f t="shared" ref="BF41:BF72" si="281">IF(ISNUMBER($AV41),N41,"")</f>
        <v/>
      </c>
      <c r="BG41" s="5" t="str">
        <f t="shared" ref="BG41:BG72" si="282">IF(ISNUMBER($AV41),O41,"")</f>
        <v/>
      </c>
      <c r="BH41" s="10" t="str">
        <f t="shared" ref="BH41:BH72" si="283">IF(ISNUMBER($AV41),P41,"")</f>
        <v/>
      </c>
      <c r="BI41" s="9" t="str">
        <f t="shared" ref="BI41:BI53" si="284">IF(ISNUMBER($AV41),BF41+0,"")</f>
        <v/>
      </c>
      <c r="BJ41" s="5" t="str">
        <f t="shared" ref="BJ41:BJ72" si="285">IF(ISNUMBER($AV41),BG41+COS(RADIANS($AG41)),"")</f>
        <v/>
      </c>
      <c r="BK41" s="8" t="str">
        <f t="shared" ref="BK41:BK72" si="286">IF(ISNUMBER($AV41),BH41+SIN(RADIANS($AG41)),"")</f>
        <v/>
      </c>
      <c r="BL41" s="173" t="str">
        <f t="shared" ref="BL41:BL72" si="287">IF(ISNUMBER($AV41),BF41+SIN(RADIANS($AH41)),"")</f>
        <v/>
      </c>
      <c r="BM41" s="5" t="str">
        <f t="shared" ref="BM41:BM72" si="288">IF(ISNUMBER($AV41),BG41-SIN(RADIANS($AG41))*COS(RADIANS($AH41)),"")</f>
        <v/>
      </c>
      <c r="BN41" s="6" t="str">
        <f t="shared" ref="BN41:BN72" si="289">IF(ISNUMBER($AV41),BH41+COS(RADIANS($AG41))*COS(RADIANS($AH41)),"")</f>
        <v/>
      </c>
      <c r="BO41" s="4" t="str">
        <f t="shared" ref="BO41:BO53" si="290">IF(ISNUMBER($AV41),BJ41*BN41-BM41*BK41-BG41*(BN41-BK41)+BH41*(BM41-BJ41),"")</f>
        <v/>
      </c>
      <c r="BP41" s="5" t="str">
        <f t="shared" si="239"/>
        <v/>
      </c>
      <c r="BQ41" s="5" t="str">
        <f t="shared" ref="BQ41:BQ53" si="291">IF(ISNUMBER($AV41),BF41*(BJ41-BM41)-BG41*(BI41-BL41)+(BI41*BM41-BL41*BJ41),"")</f>
        <v/>
      </c>
      <c r="BR41" s="6" t="str">
        <f t="shared" ref="BR41:BR53" si="292">IF(ISNUMBER($AV41),-(BF41*(BJ41*BN41-BM41*BK41)-BG41*(BI41*BN41-BL41*BK41)+BH41*(BI41*BM41-BL41*BJ41)),"")</f>
        <v/>
      </c>
      <c r="BS41" s="4" t="str">
        <f t="shared" si="118"/>
        <v/>
      </c>
      <c r="BT41" s="5" t="str">
        <f t="shared" si="118"/>
        <v/>
      </c>
      <c r="BU41" s="10" t="str">
        <f t="shared" si="119"/>
        <v/>
      </c>
      <c r="BV41" s="9" t="str">
        <f t="shared" si="120"/>
        <v/>
      </c>
      <c r="BW41" s="5" t="str">
        <f t="shared" si="121"/>
        <v/>
      </c>
      <c r="BX41" s="8" t="str">
        <f t="shared" si="122"/>
        <v/>
      </c>
      <c r="BY41" s="173" t="str">
        <f t="shared" si="123"/>
        <v/>
      </c>
      <c r="BZ41" s="5" t="str">
        <f t="shared" si="124"/>
        <v/>
      </c>
      <c r="CA41" s="6" t="str">
        <f t="shared" si="125"/>
        <v/>
      </c>
      <c r="CB41" s="4" t="str">
        <f t="shared" ref="CB41:CB53" si="293">IF(ISNUMBER($AV41),BW41*CA41-BZ41*BX41-BT41*(CA41-BX41)+BU41*(BZ41-BW41),"")</f>
        <v/>
      </c>
      <c r="CC41" s="5" t="str">
        <f t="shared" ref="CC41:CC53" si="294">IF(ISNUMBER($AV41),BS41*(CA41-BX41)-(BV41*CA41-BY41*BX41)+BU41*(BV41-BY41),"")</f>
        <v/>
      </c>
      <c r="CD41" s="5" t="str">
        <f t="shared" ref="CD41:CD53" si="295">IF(ISNUMBER($AV41),BS41*(BW41-BZ41)-BT41*(BV41-BY41)+(BV41*BZ41-BY41*BW41),"")</f>
        <v/>
      </c>
      <c r="CE41" s="6" t="str">
        <f t="shared" ref="CE41:CE53" si="296">IF(ISNUMBER($AV41),-(BS41*(BW41*CA41-BZ41*BX41)-BT41*(BV41*CA41-BY41*BX41)+BU41*(BV41*BZ41-BY41*BW41)),"")</f>
        <v/>
      </c>
      <c r="CF41" s="4" t="str">
        <f t="shared" ref="CF41:CF53" si="297">IF(ISNUMBER($AV41),(BP41*CD41)-(BQ41*CC41),"")</f>
        <v/>
      </c>
      <c r="CG41" s="5" t="str">
        <f t="shared" ref="CG41:CG53" si="298">IF(ISNUMBER($AV41),(BQ41*CB41)-(BO41*CD41),"")</f>
        <v/>
      </c>
      <c r="CH41" s="5" t="str">
        <f t="shared" ref="CH41:CH53" si="299">IF(ISNUMBER($AV41),(BO41*CC41)-(BP41*CB41),"")</f>
        <v/>
      </c>
      <c r="CI41" s="4" t="str">
        <f t="shared" si="126"/>
        <v/>
      </c>
      <c r="CJ41" s="5" t="str">
        <f t="shared" ref="CJ41:CJ53" si="300">IF(ISNUMBER($AV41),(CD41*BR41-BQ41*CE41)/(BQ41*CC41-CD41*BP41),"")</f>
        <v/>
      </c>
      <c r="CK41" s="8" t="str">
        <f t="shared" ref="CK41:CK53" si="301">IF(ISNUMBER($AV41),(CC41*BR41-BP41*CE41)/(-CC41*BQ41+BP41*CD41),"")</f>
        <v/>
      </c>
      <c r="CL41" s="173" t="str">
        <f t="shared" ref="CL41:CL53" si="302">IF(ISNUMBER($AV41),CI41+CF41,"")</f>
        <v/>
      </c>
      <c r="CM41" s="5" t="str">
        <f t="shared" ref="CM41:CM53" si="303">IF(ISNUMBER($AV41),CJ41+CG41,"")</f>
        <v/>
      </c>
      <c r="CN41" s="6" t="str">
        <f t="shared" ref="CN41:CN53" si="304">IF(ISNUMBER($AV41),CK41+CH41,"")</f>
        <v/>
      </c>
      <c r="CO41" s="167" t="str">
        <f t="shared" ref="CO41:CO72" si="305">IF(ISNUMBER($AV41),IF(AND(($H41*2)&gt;=$BE$161,($H41*2)&lt;=$BF$161),($BD$161/2),IF(AND(($H41*2)&gt;=$BE$163,($H41*2)&lt;=$BF$163),($BD$163/2),IF(AND(($H41*2)&gt;=$BE$165,($H41*2)&lt;=$BF$165),($BD$165/2),IF(AND(($H41*2)&gt;=$BE$168,($H41*2)&lt;=$BF$168),($BD$168/2),"Radius")))),"")</f>
        <v/>
      </c>
      <c r="CP41" s="4" t="str">
        <f t="shared" ref="CP41:CP53" si="306">IF(ISNUMBER($AV41),(CL41-CI41)^2+(CM41-CJ41)^2+(CN41-CK41)^2,"")</f>
        <v/>
      </c>
      <c r="CQ41" s="5" t="str">
        <f t="shared" ref="CQ41:CQ53" si="307">IF(ISNUMBER($AV41),2*((CL41-CI41)*(CI41-BF41)+(CM41-CJ41)*(CJ41-BG41)+(CN41-CK41)*(CK41-BH41)),"")</f>
        <v/>
      </c>
      <c r="CR41" s="5" t="str">
        <f t="shared" ref="CR41:CR53" si="308">IF(ISNUMBER($AV41),BF41^2+BG41^2+BH41^2+CI41^2+CJ41^2+CK41^2-2*(BF41*CI41+BG41*CJ41+BH41*CK41)-CO41^2,"")</f>
        <v/>
      </c>
      <c r="CS41" s="8" t="str">
        <f t="shared" ref="CS41:CS53" si="309">IF(ISNUMBER($AV41),CQ41^2-(4*CP41*CR41),"")</f>
        <v/>
      </c>
      <c r="CT41" s="9" t="str">
        <f t="shared" si="160"/>
        <v/>
      </c>
      <c r="CU41" s="6" t="str">
        <f t="shared" ref="CU41:CU53" si="310">IF(ISNUMBER($AV41),(-CQ41-SQRT(CS41))/(CP41*2),"")</f>
        <v/>
      </c>
      <c r="CV41" s="4" t="str">
        <f t="shared" ref="CV41:CV53" si="311">IF(ISNUMBER($AV41),CI41+($CT41*(CL41-CI41)),"")</f>
        <v/>
      </c>
      <c r="CW41" s="5" t="str">
        <f t="shared" ref="CW41:CW53" si="312">IF(ISNUMBER($AV41),CJ41+($CT41*(CM41-CJ41)),"")</f>
        <v/>
      </c>
      <c r="CX41" s="8" t="str">
        <f t="shared" ref="CX41:CX53" si="313">IF(ISNUMBER($AV41),CK41+($CT41*(CN41-CK41)),"")</f>
        <v/>
      </c>
      <c r="CY41" s="9" t="str">
        <f t="shared" ref="CY41:CY53" si="314">IF(ISNUMBER($AV41),CI41+($CU41*(CL41-CI41)),"")</f>
        <v/>
      </c>
      <c r="CZ41" s="5" t="str">
        <f t="shared" ref="CZ41:CZ53" si="315">IF(ISNUMBER($AV41),CJ41+($CU41*(CM41-CJ41)),"")</f>
        <v/>
      </c>
      <c r="DA41" s="6" t="str">
        <f t="shared" ref="DA41:DA53" si="316">IF(ISNUMBER($AV41),CK41+($CU41*(CN41-CK41)),"")</f>
        <v/>
      </c>
      <c r="DB41" s="4" t="str">
        <f t="shared" si="167"/>
        <v/>
      </c>
      <c r="DC41" s="5" t="str">
        <f t="shared" si="167"/>
        <v/>
      </c>
      <c r="DD41" s="10" t="str">
        <f t="shared" si="168"/>
        <v/>
      </c>
      <c r="DE41" s="9" t="str">
        <f t="shared" si="169"/>
        <v/>
      </c>
      <c r="DF41" s="5" t="str">
        <f t="shared" si="169"/>
        <v/>
      </c>
      <c r="DG41" s="10" t="str">
        <f t="shared" si="170"/>
        <v/>
      </c>
      <c r="DH41" s="70" t="str">
        <f t="shared" ref="DH41:DH53" si="317">IF(ISNUMBER($AV41),BD41,"")</f>
        <v/>
      </c>
      <c r="DI41" s="4" t="str">
        <f t="shared" ref="DI41:DI53" si="318">IF(ISNUMBER($AV41),DE41-DB41,"")</f>
        <v/>
      </c>
      <c r="DJ41" s="5" t="str">
        <f t="shared" ref="DJ41:DJ53" si="319">IF(ISNUMBER($AV41),DF41-DC41,"")</f>
        <v/>
      </c>
      <c r="DK41" s="10" t="str">
        <f t="shared" ref="DK41:DK53" si="320">IF(ISNUMBER($AV41),DG41-DD41,"")</f>
        <v/>
      </c>
      <c r="DL41" s="9" t="str">
        <f t="shared" ref="DL41:DL53" si="321">IF(ISNUMBER($AV41),CV41-DB41,"")</f>
        <v/>
      </c>
      <c r="DM41" s="173" t="str">
        <f t="shared" ref="DM41:DM53" si="322">IF(ISNUMBER($AV41),CW41-DC41,"")</f>
        <v/>
      </c>
      <c r="DN41" s="178" t="str">
        <f t="shared" ref="DN41:DN53" si="323">IF(ISNUMBER($AV41),CX41-DD41,"")</f>
        <v/>
      </c>
      <c r="DO41" s="9" t="str">
        <f t="shared" ref="DO41:DO53" si="324">IF(ISNUMBER($AV41),CY41-CV41,"")</f>
        <v/>
      </c>
      <c r="DP41" s="173" t="str">
        <f t="shared" ref="DP41:DP53" si="325">IF(ISNUMBER($AV41),CZ41-CW41,"")</f>
        <v/>
      </c>
      <c r="DQ41" s="11" t="str">
        <f t="shared" ref="DQ41:DQ53" si="326">IF(ISNUMBER($AV41),DA41-CX41,"")</f>
        <v/>
      </c>
      <c r="DR41" s="173" t="str">
        <f t="shared" ref="DR41:DR53" si="327">IF(ISNUMBER($AV41),SUMPRODUCT(DI41:DK41,DL41:DN41),"")</f>
        <v/>
      </c>
      <c r="DS41" s="5" t="str">
        <f t="shared" ref="DS41:DS53" si="328">IF(ISNUMBER($AV41),SUMPRODUCT(DO41:DQ41,DI41:DK41),"")</f>
        <v/>
      </c>
      <c r="DT41" s="5" t="str">
        <f t="shared" ref="DT41:DT53" si="329">IF(ISNUMBER($AV41),SUMPRODUCT(DI41:DK41,DI41:DK41),"")</f>
        <v/>
      </c>
      <c r="DU41" s="5" t="str">
        <f t="shared" ref="DU41:DU53" si="330">IF(ISNUMBER($AV41),SUMPRODUCT(DO41:DQ41,DO41:DQ41),"")</f>
        <v/>
      </c>
      <c r="DV41" s="5" t="str">
        <f t="shared" ref="DV41:DV53" si="331">IF(ISNUMBER($AV41),SUMPRODUCT(DL41:DN41,DO41:DQ41),"")</f>
        <v/>
      </c>
      <c r="DW41" s="5" t="str">
        <f t="shared" ref="DW41:DW53" si="332">IF(ISNUMBER($AV41),SUMPRODUCT(DL41:DN41,DL41:DN41),"")</f>
        <v/>
      </c>
      <c r="DX41" s="167" t="str">
        <f t="shared" ref="DX41:DX53" si="333">IF(ISNUMBER($AV41),DW41-DH41*DH41,"")</f>
        <v/>
      </c>
      <c r="DY41" s="9" t="str">
        <f t="shared" ref="DY41:DY53" si="334">IF(ISNUMBER($AV41),DT41*DU41-DS41*DS41,"")</f>
        <v/>
      </c>
      <c r="DZ41" s="5" t="str">
        <f t="shared" ref="DZ41:DZ53" si="335">IF(ISNUMBER($AV41),DT41*DV41-DS41*DR41,"")</f>
        <v/>
      </c>
      <c r="EA41" s="10" t="str">
        <f t="shared" ref="EA41:EA53" si="336">IF(ISNUMBER($AV41),DT41*DX41-DR41*DR41,"")</f>
        <v/>
      </c>
      <c r="EB41" s="6" t="str">
        <f t="shared" ref="EB41:EB53" si="337">IF(ISNUMBER($AV41),DZ41*DZ41-DY41*EA41,"")</f>
        <v/>
      </c>
      <c r="EC41" s="173" t="str">
        <f t="shared" ref="EC41:EC53" si="338">IF(ISNUMBER($AV41),(-DZ41+SQRT(DZ41^2-DY41*EA41))/DY41,"")</f>
        <v/>
      </c>
      <c r="ED41" s="5" t="str">
        <f t="shared" ref="ED41:ED53" si="339">IF(ISNUMBER($AV41),(-DZ41-SQRT(DZ41^2-DY41*EA41))/DY41,"")</f>
        <v/>
      </c>
      <c r="EE41" s="4" t="str">
        <f t="shared" ref="EE41:EE53" si="340">IF(ISNUMBER($AV41),CV41+DO41*$EC41,"")</f>
        <v/>
      </c>
      <c r="EF41" s="5" t="str">
        <f t="shared" ref="EF41:EF53" si="341">IF(ISNUMBER($AV41),CW41+DP41*$EC41,"")</f>
        <v/>
      </c>
      <c r="EG41" s="10" t="str">
        <f t="shared" ref="EG41:EG53" si="342">IF(ISNUMBER($AV41),CX41+DQ41*$EC41,"")</f>
        <v/>
      </c>
      <c r="EH41" s="9" t="str">
        <f t="shared" ref="EH41:EH53" si="343">IF(ISNUMBER($AV41),CV41+DO41*$ED41,"")</f>
        <v/>
      </c>
      <c r="EI41" s="5" t="str">
        <f t="shared" ref="EI41:EI53" si="344">IF(ISNUMBER($AV41),CW41+DP41*$ED41,"")</f>
        <v/>
      </c>
      <c r="EJ41" s="6" t="str">
        <f t="shared" ref="EJ41:EJ53" si="345">IF(ISNUMBER($AV41),CX41+DQ41*$ED41,"")</f>
        <v/>
      </c>
      <c r="EK41" s="236" t="str">
        <f t="shared" si="200"/>
        <v/>
      </c>
      <c r="EL41" s="238" t="str">
        <f t="shared" si="201"/>
        <v/>
      </c>
      <c r="EM41" s="4" t="str">
        <f t="shared" ref="EM41:EM53" si="346">IF(ISNUMBER($AV41),IF($EK41=TRUE,EE41,IF($EL41=TRUE,EH41,"")),"")</f>
        <v/>
      </c>
      <c r="EN41" s="5" t="str">
        <f t="shared" ref="EN41:EN53" si="347">IF(ISNUMBER($AV41),IF($EK41=TRUE,EF41,IF($EL41=TRUE,EI41,"")),"")</f>
        <v/>
      </c>
      <c r="EO41" s="10" t="str">
        <f t="shared" ref="EO41:EO53" si="348">IF(ISNUMBER($AV41),IF($EK41=TRUE,EG41,IF($EL41=TRUE,EJ41,"")),"")</f>
        <v/>
      </c>
      <c r="EP41" s="9" t="str">
        <f t="shared" ref="EP41:EP53" si="349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50">IF(ISNUMBER($AV41),SQRT(EM41^2+EN41^2),"")</f>
        <v/>
      </c>
      <c r="ER41" s="7" t="str">
        <f t="shared" ref="ER41:ER53" si="351">IF(ISNUMBER($AV41),EO41,"")</f>
        <v/>
      </c>
      <c r="ES41" s="21" t="str">
        <f t="shared" ref="ES41:ES72" si="352">IF(ISNUMBER($AV41),AD41,"")</f>
        <v/>
      </c>
      <c r="ET41" s="5" t="str">
        <f t="shared" ref="ET41:ET72" si="353">IF(ISNUMBER($AV41),AE41,"")</f>
        <v/>
      </c>
      <c r="EU41" s="10" t="str">
        <f t="shared" ref="EU41:EU72" si="354">IF(ISNUMBER($AV41),AF41,"")</f>
        <v/>
      </c>
      <c r="EV41" s="174" t="str">
        <f t="shared" ref="EV41:EV53" si="355">IF(ISNUMBER($AV41),IF(($EV$1-EP41)&lt;0,(360+($EV$1-EP41)),($EV$1-EP41)),"")</f>
        <v/>
      </c>
      <c r="EW41" s="9" t="str">
        <f t="shared" ref="EW41:EW53" si="356">IF(ISNUMBER($AV41),(COS(RADIANS($EV41))*ES41)+(-SIN(RADIANS($EV41))*ET41),"")</f>
        <v/>
      </c>
      <c r="EX41" s="5" t="str">
        <f t="shared" ref="EX41:EX53" si="357">IF(ISNUMBER($AV41),(SIN(RADIANS($EV41))*ES41)+(COS(RADIANS($EV41))*ET41),"")</f>
        <v/>
      </c>
      <c r="EY41" s="6" t="str">
        <f t="shared" ref="EY41:EY53" si="358">IF(ISNUMBER($AV41),EU41,"")</f>
        <v/>
      </c>
      <c r="EZ41" s="51" t="str">
        <f t="shared" si="209"/>
        <v/>
      </c>
      <c r="FA41" s="266" t="str">
        <f t="shared" si="134"/>
        <v/>
      </c>
      <c r="FB41" s="267" t="str">
        <f t="shared" si="135"/>
        <v/>
      </c>
      <c r="FC41" s="269" t="str">
        <f t="shared" si="48"/>
        <v/>
      </c>
      <c r="FD41" s="4" t="str">
        <f t="shared" ref="FD41:FD53" si="359">IF(ISNUMBER($AV41),(COS(RADIANS($EV41))*FA41)+(-SIN(RADIANS($EV41))*FB41),"")</f>
        <v/>
      </c>
      <c r="FE41" s="5" t="str">
        <f t="shared" ref="FE41:FE53" si="360">IF(ISNUMBER($AV41),(SIN(RADIANS($EV41))*FA41)+(COS(RADIANS($EV41))*FB41),"")</f>
        <v/>
      </c>
      <c r="FF41" s="7" t="str">
        <f t="shared" ref="FF41:FF53" si="361">IF(ISNUMBER($AV41),FC41,"")</f>
        <v/>
      </c>
      <c r="FG41" s="173" t="str">
        <f t="shared" ref="FG41:FG53" si="362">IF(ISNUMBER($AV41),EW41-FD41,"")</f>
        <v/>
      </c>
      <c r="FH41" s="5" t="str">
        <f t="shared" ref="FH41:FH53" si="363">IF(ISNUMBER($AV41),EX41-FE41,"")</f>
        <v/>
      </c>
      <c r="FI41" s="10" t="str">
        <f t="shared" ref="FI41:FI53" si="364">IF(ISNUMBER($AV41),EY41-FF41,"")</f>
        <v/>
      </c>
      <c r="FJ41" s="279" t="str">
        <f t="shared" ref="FJ41:FJ53" si="365">IF(ISNUMBER($AV41),DEGREES(ACOS((2-SQRT((FG41)^2+(FH41)^2+(FI41)^2)^2)/2)),"")</f>
        <v/>
      </c>
      <c r="FK41" s="4" t="str">
        <f t="shared" ref="FK41:FK53" si="366">IF(ISNUMBER($AV41),SQRT(ES41^2+ET41^2),"")</f>
        <v/>
      </c>
      <c r="FL41" s="5" t="str">
        <f t="shared" ref="FL41:FL53" si="367">IF(ISNUMBER($AV41),SQRT(FA41^2+FB41^2),"")</f>
        <v/>
      </c>
      <c r="FM41" s="8" t="str">
        <f t="shared" ref="FM41:FM53" si="368">IF(ISNUMBER($AV41),SQRT(FG41^2+FH41^2),"")</f>
        <v/>
      </c>
      <c r="FN41" s="9" t="str">
        <f t="shared" ref="FN41:FN53" si="369">IF(ISNUMBER($AV41),DEGREES(ACOS((FK41^2+FL41^2-FM41^2)/(2*FK41*FL41))),"")</f>
        <v/>
      </c>
      <c r="FO41" s="10" t="str">
        <f t="shared" ref="FO41:FO53" si="370">IF(ISNUMBER($AV41),IF(SQRT((EM41+(ES41/SQRT(ES41^2+(ET41/SQRT(ES41^2+ET41^2))^2)))^2+(EN41+ET41)^2)&gt;SQRT((EM41+(FA41/SQRT(FA41^2+FB41^2)))^2+(EN41+(FB41/SQRT(FA41^2+FB41^2)))^2),-1,1),"")</f>
        <v/>
      </c>
      <c r="FP41" s="277" t="str">
        <f t="shared" ref="FP41:FP53" si="371">IF(ISNUMBER($AV41),FN41*FO41,"")</f>
        <v/>
      </c>
      <c r="FQ41" s="173" t="str">
        <f t="shared" ref="FQ41:FQ53" si="372">IF(ISNUMBER($AV41),SIN(RADIANS(FN41)),"")</f>
        <v/>
      </c>
      <c r="FR41" s="10" t="str">
        <f t="shared" ref="FR41:FR53" si="373">IF(ISNUMBER($AV41),COS(RADIANS(FN41)),"")</f>
        <v/>
      </c>
      <c r="FS41" s="9" t="str">
        <f t="shared" ref="FS41:FS53" si="374">IF(ISNUMBER($AV41),FQ41/(FQ41+FR41),"")</f>
        <v/>
      </c>
      <c r="FT41" s="6" t="str">
        <f t="shared" ref="FT41:FT53" si="375">IF(ISNUMBER($AV41),FR41/(FQ41+FR41),"")</f>
        <v/>
      </c>
      <c r="FU41" s="4" t="str">
        <f t="shared" ref="FU41:FU53" si="376">IF(ISNUMBER($AV41),SQRT(EW41^2+EY41^2),"")</f>
        <v/>
      </c>
      <c r="FV41" s="5" t="str">
        <f t="shared" ref="FV41:FV53" si="377">IF(ISNUMBER($AV41),SQRT(FD41^2+FF41^2),"")</f>
        <v/>
      </c>
      <c r="FW41" s="8" t="str">
        <f t="shared" ref="FW41:FW53" si="378">IF(ISNUMBER($AV41),SQRT(FG41^2+FI41^2),"")</f>
        <v/>
      </c>
      <c r="FX41" s="9" t="str">
        <f t="shared" ref="FX41:FX53" si="379">IF(ISNUMBER($AV41),DEGREES(ACOS((FU41^2+FV41^2-FW41^2)/(2*FU41*FV41))),"")</f>
        <v/>
      </c>
      <c r="FY41" s="10" t="str">
        <f t="shared" ref="FY41:FY53" si="380">IF(ISNUMBER($AV41),IF(EU41&lt;FC41,1,-1),"")</f>
        <v/>
      </c>
      <c r="FZ41" s="277" t="str">
        <f t="shared" ref="FZ41:FZ53" si="381">IF(ISNUMBER($AV41),FX41*FY41,"")</f>
        <v/>
      </c>
      <c r="GA41" s="177" t="str">
        <f t="shared" ref="GA41:GA53" si="382">IF(ISNUMBER($AV41),DEGREES(FZ41*SIN(RADIANS(FU41))),"")</f>
        <v/>
      </c>
      <c r="GB41" s="4" t="str">
        <f t="shared" ref="GB41:GB53" si="383">IF(ISNUMBER($AV41),COS(RADIANS(FP41+90))*COS(RADIANS(FZ41)),"")</f>
        <v/>
      </c>
      <c r="GC41" s="5" t="str">
        <f t="shared" ref="GC41:GC53" si="384">IF(ISNUMBER($AV41),SIN(RADIANS(FP41+90))*COS(RADIANS(FZ41)),"")</f>
        <v/>
      </c>
      <c r="GD41" s="10" t="str">
        <f t="shared" ref="GD41:GD53" si="385">IF(ISNUMBER($AV41),-SIN(RADIANS(FZ41)),"")</f>
        <v/>
      </c>
      <c r="GE41" s="311" t="str">
        <f t="shared" ref="GE41:GE53" si="386">IF(ISNUMBER($AV41),SUM(ABS(GB41),ABS(GC41),ABS(GD41)),"")</f>
        <v/>
      </c>
      <c r="GF41" s="341" t="str">
        <f t="shared" ref="GF41:GF53" si="387">IF(ISNUMBER($AV41),1/GE41,"")</f>
        <v/>
      </c>
      <c r="GG41" s="285" t="str">
        <f t="shared" ref="GG41:GG53" si="388">IF(ISNUMBER($AV41),ABS(GB41)/(ABS($GB41)+ABS($GC41)+ABS($GD41)),"")</f>
        <v/>
      </c>
      <c r="GH41" s="286" t="str">
        <f t="shared" ref="GH41:GH53" si="389">IF(ISNUMBER($AV41),ABS(GC41)/(ABS($GB41)+ABS($GC41)+ABS($GD41)),"")</f>
        <v/>
      </c>
      <c r="GI41" s="281" t="str">
        <f t="shared" ref="GI41:GI53" si="390">IF(ISNUMBER($AV41),ABS(GD41)/(ABS($GB41)+ABS($GC41)+ABS($GD41)),"")</f>
        <v/>
      </c>
      <c r="GJ41" s="167" t="str">
        <f t="shared" ref="GJ41:GJ53" si="391">IF(ISNUMBER($AV41),AW41,"")</f>
        <v/>
      </c>
      <c r="GK41" s="174" t="str">
        <f t="shared" si="59"/>
        <v/>
      </c>
      <c r="GL41" s="174" t="str">
        <f t="shared" ref="GL41:GL53" si="392">IF(ISNUMBER($AV41),AY41,"")</f>
        <v/>
      </c>
      <c r="GM41" s="177" t="str">
        <f t="shared" ref="GM41:GM53" si="393">IF(ISNUMBER($AV41),AZ41,"")</f>
        <v/>
      </c>
      <c r="GN41" s="280" t="str">
        <f t="shared" ref="GN41:GN53" si="394">IF(ISNUMBER($AV41),BA41,"")</f>
        <v/>
      </c>
      <c r="GO41" s="4" t="str">
        <f t="shared" ref="GO41:GO53" si="395">IF(ISNUMBER($AV41),FP41,"")</f>
        <v/>
      </c>
      <c r="GP41" s="8" t="str">
        <f t="shared" ref="GP41:GP53" si="396">IF(ISNUMBER($AV41),FZ41,"")</f>
        <v/>
      </c>
      <c r="GQ41" s="177" t="str">
        <f t="shared" ref="GQ41:GQ53" si="397">IF(ISNUMBER($AV41),FJ41,"")</f>
        <v/>
      </c>
      <c r="GR41" s="371" t="str">
        <f t="shared" ref="GR41:GR53" si="398">IF(ISNUMBER($AV41),GS41+GU41+GY41,"")</f>
        <v/>
      </c>
      <c r="GS41" s="342" t="str">
        <f t="shared" ref="GS41:GS53" si="399">IF(ISNUMBER($AV41),GU41/GH41*GG41,"")</f>
        <v/>
      </c>
      <c r="GT41" s="343" t="str">
        <f t="shared" ref="GT41:GT53" si="400">IF(ISNUMBER($AV41),GS41/$GK41,"")</f>
        <v/>
      </c>
      <c r="GU41" s="344" t="str">
        <f t="shared" si="63"/>
        <v/>
      </c>
      <c r="GV41" s="343" t="str">
        <f t="shared" ref="GV41:GV53" si="401">IF(ISNUMBER($AV41),GW41*$GL41,"")</f>
        <v/>
      </c>
      <c r="GW41" s="345" t="str">
        <f t="shared" si="64"/>
        <v/>
      </c>
      <c r="GX41" s="346" t="str">
        <f t="shared" si="65"/>
        <v/>
      </c>
      <c r="GY41" s="344" t="str">
        <f t="shared" ref="GY41:GY53" si="402">IF(ISNUMBER($AV41),GU41/GH41*GI41,"")</f>
        <v/>
      </c>
      <c r="GZ41" s="345" t="str">
        <f t="shared" ref="GZ41:GZ53" si="403">IF(ISNUMBER($AV41),GY41/$GK41,"")</f>
        <v/>
      </c>
      <c r="HA41" s="342" t="str">
        <f t="shared" si="68"/>
        <v/>
      </c>
      <c r="HB41" s="5" t="str">
        <f t="shared" si="231"/>
        <v/>
      </c>
      <c r="HC41" s="343" t="str">
        <f t="shared" ref="HC41:HC53" si="404">IF(ISNUMBER($AV41),HA41*COS(RADIANS(HB41)),"")</f>
        <v/>
      </c>
      <c r="HD41" s="345" t="str">
        <f t="shared" ref="HD41:HD53" si="405">IF(ISNUMBER($AV41),HA41*SIN(RADIANS(HB41)),"")</f>
        <v/>
      </c>
      <c r="HE41" s="344" t="str">
        <f t="shared" si="69"/>
        <v/>
      </c>
      <c r="HF41" s="5" t="str">
        <f t="shared" si="70"/>
        <v/>
      </c>
      <c r="HG41" s="343" t="str">
        <f t="shared" ref="HG41:HG53" si="406">IF(ISNUMBER($AV41),HE41*COS(RADIANS(HF41)),"")</f>
        <v/>
      </c>
      <c r="HH41" s="349" t="str">
        <f t="shared" ref="HH41:HH53" si="407">IF(ISNUMBER($AV41),HE41*SIN(RADIANS(HF41)),"")</f>
        <v/>
      </c>
      <c r="HI41" s="317" t="str">
        <f t="shared" ref="HI41:HI72" si="408">IF(ISNUMBER($AV41),$M41,"")</f>
        <v/>
      </c>
      <c r="HJ41" s="336"/>
      <c r="HK41" s="310" t="str">
        <f t="shared" si="137"/>
        <v/>
      </c>
      <c r="HL41" s="348" t="str">
        <f t="shared" ref="HL41:HL72" si="409">IF(ISNUMBER($HS41),INDEX(HI$9:HI$150,MATCH($HS41,$GJ$9:$GJ$150,0)),"")</f>
        <v/>
      </c>
      <c r="HM41" s="909" t="str">
        <f t="shared" ref="HM41:HM72" si="410">IF(ISNUMBER($HL41),INDEX(GO$9:GO$150,MATCH($HL41,$AV$9:$AV$150,0)),"")</f>
        <v/>
      </c>
      <c r="HN41" s="910" t="str">
        <f t="shared" ref="HN41:HN72" si="411">IF(ISNUMBER($HL41),INDEX(AO$9:AO$150,MATCH($HL41,$AV$9:$AV$150,0)),"")</f>
        <v/>
      </c>
      <c r="HO41" s="911"/>
      <c r="HP41" s="912"/>
      <c r="HQ41" s="910" t="str">
        <f t="shared" ref="HQ41:HQ72" si="412">IF(ISNUMBER($HL41),INDEX(GQ$9:GQ$150,MATCH($HL41,$AV$9:$AV$150,0)),"")</f>
        <v/>
      </c>
      <c r="HR41" s="913" t="str">
        <f t="shared" ref="HR41:HR72" si="413">IF(ISNUMBER($HL41),INDEX(GP$9:GP$150,MATCH($HL41,$AV$9:$AV$150,0)),"")</f>
        <v/>
      </c>
      <c r="HS41" s="865" t="str">
        <f t="shared" si="251"/>
        <v/>
      </c>
      <c r="HT41" s="875" t="str">
        <f t="shared" ref="HT41:HT72" si="414">IF(ISNUMBER($HL41),INDEX(GL$9:GL$150,MATCH($HL41,$AV$9:$AV$150,0)),"")</f>
        <v/>
      </c>
      <c r="HU41" s="876" t="str">
        <f t="shared" ref="HU41:HU72" si="415">IF(ISNUMBER($HL41),INDEX(GM$9:GM$150,MATCH($HL41,$AV$9:$AV$150,0)),"")</f>
        <v/>
      </c>
      <c r="HV41" s="872" t="str">
        <f t="shared" ref="HV41:HV72" si="416">IF(ISNUMBER($HL41),INDEX(GN$9:GN$150,MATCH($HL41,$AV$9:$AV$150,0)),"")</f>
        <v/>
      </c>
      <c r="HW41" s="866" t="str">
        <f t="shared" ref="HW41:HW72" si="417">IF(ISNUMBER($HL41),INDEX(GW$9:GW$150,MATCH($HL41,$AV$9:$AV$150,0)),"")</f>
        <v/>
      </c>
      <c r="HX41" s="867" t="str">
        <f t="shared" ref="HX41:HX72" si="418">IF(ISNUMBER($HL41),INDEX(GX$9:GX$150,MATCH($HL41,$AV$9:$AV$150,0)),"")</f>
        <v/>
      </c>
      <c r="HY41" s="866" t="str">
        <f t="shared" ref="HY41:HY72" si="419">IF(ISNUMBER($HL41),INDEX(GS$9:GS$150,MATCH($HL41,$AV$9:$AV$150,0)),"")</f>
        <v/>
      </c>
      <c r="HZ41" s="868" t="str">
        <f t="shared" ref="HZ41:HZ72" si="420">IF(ISNUMBER($HL41),INDEX(GU$9:GU$150,MATCH($HL41,$AV$9:$AV$150,0)),"")</f>
        <v/>
      </c>
      <c r="IA41" s="869" t="str">
        <f t="shared" ref="IA41:IA72" si="421">IF(ISNUMBER($HL41),INDEX(GY$9:GY$150,MATCH($HL41,$AV$9:$AV$150,0)),"")</f>
        <v/>
      </c>
      <c r="IB41" s="870" t="str">
        <f t="shared" ref="IB41:IB72" si="422">IF(ISNUMBER($HL41),INDEX(GR$9:GR$150,MATCH($HL41,$AV$9:$AV$150,0)),"")</f>
        <v/>
      </c>
      <c r="IC41" s="841" t="str">
        <f t="shared" ref="IC41:IC72" si="423">IF(ISNUMBER($HL41),INDEX(GT$9:GT$150,MATCH($HL41,$AV$9:$AV$150,0)),"")</f>
        <v/>
      </c>
      <c r="ID41" s="351" t="str">
        <f t="shared" ref="ID41:ID72" si="424">IF(ISNUMBER($HL41),INDEX(GV$9:GV$150,MATCH($HL41,$AV$9:$AV$150,0)),"")</f>
        <v/>
      </c>
      <c r="IE41" s="843" t="str">
        <f t="shared" ref="IE41:IE72" si="425">IF(ISNUMBER($HL41),INDEX(GZ$9:GZ$150,MATCH($HL41,$AV$9:$AV$150,0)),"")</f>
        <v/>
      </c>
      <c r="IF41" s="844"/>
      <c r="IG41" s="790" t="str">
        <f>IFERROR(IF($IW41="","",IF($IW41&lt;(((Settings!$C$19/2)*-1)*$IG$8),"Taper","Nose")),"")</f>
        <v/>
      </c>
      <c r="IH41" s="482" t="str">
        <f>IFERROR(IF((((($IY41*COS(RADIANS(180-$JA41)))*COS(RADIANS($JA41)))-(($IZ41*SIN(RADIANS(180-$JA41)))*SIN(RADIANS($JA41))))+$IW41)&lt;(((Settings!$C$19+$IH$8)/2)*-1),"Gage",""),"")</f>
        <v/>
      </c>
      <c r="II41" s="788">
        <f t="shared" si="236"/>
        <v>3.1059999999999999</v>
      </c>
      <c r="IJ41" s="674" t="str" cm="1">
        <f t="array" ref="IJ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K41" s="677" t="str" cm="1">
        <f t="array" ref="IK41">IFERROR(ROUND(VALUE(IF($IJ41&lt;1,$IJ41+LARGE((IF($M$9:$M$150="",0,$M$9:$M$150)-MOD(IF($M$9:$M$150="",0,$M$9:$M$150),1)),1),$IJ41)),4),"")</f>
        <v/>
      </c>
      <c r="IL41" s="482">
        <f t="shared" ref="IL41:IL72" si="426">IF(ISNUMBER($IK41),INDEX($K$9:$K$150,MATCH($IK41,$M$9:$M$150,0)),$K41)</f>
        <v>1613</v>
      </c>
      <c r="IM41" s="482" t="str">
        <f t="shared" si="237"/>
        <v/>
      </c>
      <c r="IN41" s="670" t="str">
        <f t="shared" ref="IN41:IN72" si="427">IF(ISNUMBER($IK41),IFERROR(IF(INDEX($W$9:$W$150,MATCH($IK41,$M$9:$M$150,0))&lt;$W41,((INDEX($W$9:$W$150,MATCH($IK41,$M$9:$M$150,0))+360)-$W41),INDEX($W$9:$W$150,MATCH($IK41,$M$9:$M$150,0))-$W41),""),"")</f>
        <v/>
      </c>
      <c r="IO41" s="702"/>
      <c r="IP41" s="5" t="str">
        <f t="shared" ref="IP41:IP72" si="428">IF(ISNUMBER($IK41),(($IQ41*12)/60)/$AS$3,"")</f>
        <v/>
      </c>
      <c r="IQ41" s="714"/>
      <c r="IR41" s="9" t="str">
        <f t="shared" ref="IR41:IR72" si="429">IF(ISNUMBER($IK41),(INDEX($X$9:$X$150,MATCH($IK41,$M$9:$M$150,0))*-1),"")</f>
        <v/>
      </c>
      <c r="IS41" s="5" t="str">
        <f t="shared" ref="IS41:IS72" si="430">IF(ISNUMBER($IK41),INDEX($Y$9:$Y$150,MATCH($IK41,$M$9:$M$150,0)),"")</f>
        <v/>
      </c>
      <c r="IT41" s="5" t="str">
        <f t="shared" ref="IT41:IT72" si="431">IF(ISNUMBER($IK41),INDEX($H$9:$H$150,MATCH($IK41,$M$9:$M$150,0)),"")</f>
        <v/>
      </c>
      <c r="IU41" s="5" t="str">
        <f t="shared" ref="IU41:IU72" si="432">IF(ISNUMBER($IK41),$IT41*COS(RADIANS(INDEX($AO$9:$AO$150,MATCH($IK41,$M$9:$M$150,0)))),"")</f>
        <v/>
      </c>
      <c r="IV41" s="670" t="str">
        <f t="shared" ref="IV41:IV72" si="433">IF(ISNUMBER($IK41),(-1*INDEX($AN$9:$AN$150,MATCH($IK41,$M$9:$M$150,0))),"")</f>
        <v/>
      </c>
      <c r="IW41" s="9" t="str">
        <f t="shared" ref="IW41:IW72" si="434">IF(ISNUMBER($IK41),-$X41,"")</f>
        <v/>
      </c>
      <c r="IX41" s="5" t="str">
        <f t="shared" ref="IX41:IX72" si="435">IF(ISNUMBER($IK41),$Y41,"")</f>
        <v/>
      </c>
      <c r="IY41" s="5" t="str">
        <f t="shared" ref="IY41:IY72" si="436">IF(ISNUMBER($IK41),$H41,"")</f>
        <v/>
      </c>
      <c r="IZ41" s="5" t="str">
        <f t="shared" ref="IZ41:IZ72" si="437">IF(ISNUMBER($IK41),$IY41*COS(RADIANS($AO41)),"")</f>
        <v/>
      </c>
      <c r="JA41" s="705" t="str">
        <f t="shared" ref="JA41:JA72" si="438">IF(ISNUMBER($IK41),(-1*$AN41),"")</f>
        <v/>
      </c>
    </row>
    <row r="42" spans="1:269" ht="15" customHeight="1" x14ac:dyDescent="0.25">
      <c r="A42" s="75">
        <f t="shared" si="256"/>
        <v>0.02</v>
      </c>
      <c r="B42" s="578">
        <f t="shared" si="257"/>
        <v>1.8769098414896088</v>
      </c>
      <c r="C42" s="572">
        <f t="shared" si="258"/>
        <v>-1.337813341967188</v>
      </c>
      <c r="D42" s="576">
        <f t="shared" si="259"/>
        <v>-0.15269862895650282</v>
      </c>
      <c r="E42" s="580">
        <f t="shared" si="260"/>
        <v>0.51721777456955287</v>
      </c>
      <c r="F42" s="572">
        <f t="shared" si="261"/>
        <v>0.8170180082705093</v>
      </c>
      <c r="G42" s="579">
        <f t="shared" si="262"/>
        <v>0.25488693146375579</v>
      </c>
      <c r="H42" s="580">
        <f t="shared" si="263"/>
        <v>0.3125</v>
      </c>
      <c r="I42" s="572">
        <f t="shared" si="264"/>
        <v>0.52</v>
      </c>
      <c r="J42" s="483">
        <f t="shared" si="265"/>
        <v>3.109</v>
      </c>
      <c r="K42" s="806">
        <f t="shared" si="266"/>
        <v>1613</v>
      </c>
      <c r="L42" s="309"/>
      <c r="M42" s="164">
        <f t="shared" si="267"/>
        <v>3.109</v>
      </c>
      <c r="N42" s="575">
        <f t="shared" si="268"/>
        <v>1.8769098414896088</v>
      </c>
      <c r="O42" s="572">
        <f t="shared" si="269"/>
        <v>-1.337813341967188</v>
      </c>
      <c r="P42" s="576">
        <f t="shared" si="270"/>
        <v>-0.15269862895650282</v>
      </c>
      <c r="Q42" s="528">
        <f t="shared" si="140"/>
        <v>324.51969997311653</v>
      </c>
      <c r="R42" s="572">
        <f t="shared" ref="R42:R47" si="439">IF(M42="","",SQRT(N42^2+O42^2))</f>
        <v>2.3048937266229794</v>
      </c>
      <c r="S42" s="577">
        <f t="shared" ref="S42:S47" si="440">IF(M42="","",P42)</f>
        <v>-0.15269862895650282</v>
      </c>
      <c r="T42" s="578">
        <f t="shared" ref="T42:T47" si="441">IF(M42="","",X42*COS(RADIANS(W42)))</f>
        <v>-1.3235945440818044</v>
      </c>
      <c r="U42" s="572">
        <f t="shared" ref="U42:U47" si="442">IF(M42="","",X42*SIN(RADIANS(W42)))</f>
        <v>-1.8869638507143813</v>
      </c>
      <c r="V42" s="579">
        <f t="shared" ref="V42:V47" si="443">IF(M42="","",Y42)</f>
        <v>-0.15269862895650282</v>
      </c>
      <c r="W42" s="528">
        <f t="shared" si="253"/>
        <v>234.95259081898752</v>
      </c>
      <c r="X42" s="572">
        <f t="shared" ref="X42:X47" si="444">IF(M42="","",R42)</f>
        <v>2.3048937266229794</v>
      </c>
      <c r="Y42" s="573">
        <f t="shared" si="255"/>
        <v>-0.15269862895650282</v>
      </c>
      <c r="Z42" s="575">
        <f t="shared" si="271"/>
        <v>-0.51721777456955287</v>
      </c>
      <c r="AA42" s="572">
        <f t="shared" si="272"/>
        <v>-0.8170180082705093</v>
      </c>
      <c r="AB42" s="572">
        <f t="shared" si="273"/>
        <v>-0.25488693146375579</v>
      </c>
      <c r="AC42" s="579">
        <f t="shared" ref="AC42:AC47" si="445">IF(M42="","",SQRT(Z42^2+AA42^2+AB42^2))</f>
        <v>1</v>
      </c>
      <c r="AD42" s="580">
        <f t="shared" ref="AD42:AD47" si="446">IF(M42="","",Z42*(1/SQRT(Z42^2+AA42^2+AB42^2)))</f>
        <v>-0.51721777456955287</v>
      </c>
      <c r="AE42" s="572">
        <f t="shared" ref="AE42:AE47" si="447">IF(M42="","",AA42*(1/SQRT(Z42^2+AA42^2+AB42^2)))</f>
        <v>-0.8170180082705093</v>
      </c>
      <c r="AF42" s="576">
        <f t="shared" ref="AF42:AF47" si="448">IF(M42="","",AB42*(1/SQRT(Z42^2+AA42^2+AB42^2)))</f>
        <v>-0.25488693146375579</v>
      </c>
      <c r="AG42" s="545">
        <f t="shared" ref="AG42:AG47" si="449">IF(M42="","",DEGREES(ATAN2(-AF42,AE42)))</f>
        <v>-72.673528099031159</v>
      </c>
      <c r="AH42" s="546">
        <f t="shared" ref="AH42:AH47" si="450">IF(M42="","",DEGREES(ACOS(AD42)))</f>
        <v>121.14580967117627</v>
      </c>
      <c r="AI42" s="528">
        <f t="shared" ref="AI42:AI47" si="451">IF(M42="","",DEGREES(-ACOS(-AF42)))</f>
        <v>-75.233114585370629</v>
      </c>
      <c r="AJ42" s="529">
        <f t="shared" ref="AJ42:AJ47" si="452">IF(M42="","",DEGREES(ATAN2(-AE42,AD42)))</f>
        <v>-32.336082149458811</v>
      </c>
      <c r="AK42" s="578">
        <f t="shared" ref="AK42:AK47" si="453">IF(M42="","",(COS(RADIANS((90-$Q$8)-W42))*AD42)+(-SIN(RADIANS((90-$Q$8)-W42))*AE42))</f>
        <v>0.96551522276883783</v>
      </c>
      <c r="AL42" s="572">
        <f t="shared" ref="AL42:AL47" si="454">IF(M42="","",(SIN(RADIANS((90-$Q$8)-W42))*AD42)+(COS(RADIANS((90-$Q$8)-W42))*AE42))</f>
        <v>5.3037786253125607E-2</v>
      </c>
      <c r="AM42" s="577">
        <f t="shared" ref="AM42:AM47" si="455">IF(M42="","",AF42)</f>
        <v>-0.25488693146375579</v>
      </c>
      <c r="AN42" s="524">
        <f t="shared" ref="AN42:AN47" si="456">IF(M42="","",DEGREES(ATAN2(-AM42,AL42)))</f>
        <v>11.754573914654843</v>
      </c>
      <c r="AO42" s="525">
        <f t="shared" si="116"/>
        <v>15.090629431527974</v>
      </c>
      <c r="AP42" s="528">
        <f t="shared" ref="AP42:AP47" si="457">IF(M42="","",DEGREES(ATAN2(AK42,AL42)))</f>
        <v>3.1442178774246732</v>
      </c>
      <c r="AQ42" s="529">
        <f t="shared" si="274"/>
        <v>1.9773766026104946</v>
      </c>
      <c r="AS42" s="932">
        <f t="shared" si="143"/>
        <v>234.95259081898752</v>
      </c>
      <c r="AT42" s="928">
        <f t="shared" si="275"/>
        <v>1.7253747386907048E-2</v>
      </c>
      <c r="AU42" s="418"/>
      <c r="AV42" s="164" t="str">
        <f t="shared" si="276"/>
        <v/>
      </c>
      <c r="AW42" s="829" t="str">
        <f>IFERROR(INDEX(MassProp!C$9:C$150,MATCH($M42,MassProp!$B$9:$B$150,0)),"")</f>
        <v/>
      </c>
      <c r="AX42" s="830" t="str">
        <f>IFERROR(INDEX(MassProp!D$9:D$150,MATCH($M42,MassProp!$B$9:$B$150,0)),"")</f>
        <v/>
      </c>
      <c r="AY42" s="831" t="str">
        <f>IFERROR(INDEX(MassProp!E$9:E$150,MATCH($M42,MassProp!$B$9:$B$150,0)),"")</f>
        <v/>
      </c>
      <c r="AZ42" s="297" t="str">
        <f t="shared" si="277"/>
        <v/>
      </c>
      <c r="BA42" s="296" t="str">
        <f t="shared" si="278"/>
        <v/>
      </c>
      <c r="BB42" s="190" t="str">
        <f t="shared" si="145"/>
        <v/>
      </c>
      <c r="BC42" s="9"/>
      <c r="BD42" s="5" t="str">
        <f t="shared" si="279"/>
        <v/>
      </c>
      <c r="BE42" s="6" t="str">
        <f t="shared" si="280"/>
        <v/>
      </c>
      <c r="BF42" s="4" t="str">
        <f t="shared" si="281"/>
        <v/>
      </c>
      <c r="BG42" s="5" t="str">
        <f t="shared" si="282"/>
        <v/>
      </c>
      <c r="BH42" s="10" t="str">
        <f t="shared" si="283"/>
        <v/>
      </c>
      <c r="BI42" s="9" t="str">
        <f t="shared" si="284"/>
        <v/>
      </c>
      <c r="BJ42" s="5" t="str">
        <f t="shared" si="285"/>
        <v/>
      </c>
      <c r="BK42" s="8" t="str">
        <f t="shared" si="286"/>
        <v/>
      </c>
      <c r="BL42" s="173" t="str">
        <f t="shared" si="287"/>
        <v/>
      </c>
      <c r="BM42" s="5" t="str">
        <f t="shared" si="288"/>
        <v/>
      </c>
      <c r="BN42" s="6" t="str">
        <f t="shared" si="289"/>
        <v/>
      </c>
      <c r="BO42" s="4" t="str">
        <f t="shared" si="290"/>
        <v/>
      </c>
      <c r="BP42" s="5" t="str">
        <f t="shared" si="239"/>
        <v/>
      </c>
      <c r="BQ42" s="5" t="str">
        <f t="shared" si="291"/>
        <v/>
      </c>
      <c r="BR42" s="6" t="str">
        <f t="shared" si="292"/>
        <v/>
      </c>
      <c r="BS42" s="4" t="str">
        <f t="shared" ref="BS42:BT53" si="458">IF(ISNUMBER($AV42),0,"")</f>
        <v/>
      </c>
      <c r="BT42" s="5" t="str">
        <f t="shared" si="458"/>
        <v/>
      </c>
      <c r="BU42" s="10" t="str">
        <f t="shared" si="119"/>
        <v/>
      </c>
      <c r="BV42" s="9" t="str">
        <f t="shared" si="120"/>
        <v/>
      </c>
      <c r="BW42" s="5" t="str">
        <f t="shared" si="121"/>
        <v/>
      </c>
      <c r="BX42" s="8" t="str">
        <f t="shared" si="122"/>
        <v/>
      </c>
      <c r="BY42" s="173" t="str">
        <f t="shared" si="123"/>
        <v/>
      </c>
      <c r="BZ42" s="5" t="str">
        <f t="shared" si="124"/>
        <v/>
      </c>
      <c r="CA42" s="6" t="str">
        <f t="shared" si="125"/>
        <v/>
      </c>
      <c r="CB42" s="4" t="str">
        <f t="shared" si="293"/>
        <v/>
      </c>
      <c r="CC42" s="5" t="str">
        <f t="shared" si="294"/>
        <v/>
      </c>
      <c r="CD42" s="5" t="str">
        <f t="shared" si="295"/>
        <v/>
      </c>
      <c r="CE42" s="6" t="str">
        <f t="shared" si="296"/>
        <v/>
      </c>
      <c r="CF42" s="4" t="str">
        <f t="shared" si="297"/>
        <v/>
      </c>
      <c r="CG42" s="5" t="str">
        <f t="shared" si="298"/>
        <v/>
      </c>
      <c r="CH42" s="5" t="str">
        <f t="shared" si="299"/>
        <v/>
      </c>
      <c r="CI42" s="4" t="str">
        <f t="shared" si="126"/>
        <v/>
      </c>
      <c r="CJ42" s="5" t="str">
        <f t="shared" si="300"/>
        <v/>
      </c>
      <c r="CK42" s="8" t="str">
        <f t="shared" si="301"/>
        <v/>
      </c>
      <c r="CL42" s="173" t="str">
        <f t="shared" si="302"/>
        <v/>
      </c>
      <c r="CM42" s="5" t="str">
        <f t="shared" si="303"/>
        <v/>
      </c>
      <c r="CN42" s="6" t="str">
        <f t="shared" si="304"/>
        <v/>
      </c>
      <c r="CO42" s="167" t="str">
        <f t="shared" si="305"/>
        <v/>
      </c>
      <c r="CP42" s="4" t="str">
        <f t="shared" si="306"/>
        <v/>
      </c>
      <c r="CQ42" s="5" t="str">
        <f t="shared" si="307"/>
        <v/>
      </c>
      <c r="CR42" s="5" t="str">
        <f t="shared" si="308"/>
        <v/>
      </c>
      <c r="CS42" s="8" t="str">
        <f t="shared" si="309"/>
        <v/>
      </c>
      <c r="CT42" s="9" t="str">
        <f t="shared" si="160"/>
        <v/>
      </c>
      <c r="CU42" s="6" t="str">
        <f t="shared" si="310"/>
        <v/>
      </c>
      <c r="CV42" s="4" t="str">
        <f t="shared" si="311"/>
        <v/>
      </c>
      <c r="CW42" s="5" t="str">
        <f t="shared" si="312"/>
        <v/>
      </c>
      <c r="CX42" s="8" t="str">
        <f t="shared" si="313"/>
        <v/>
      </c>
      <c r="CY42" s="9" t="str">
        <f t="shared" si="314"/>
        <v/>
      </c>
      <c r="CZ42" s="5" t="str">
        <f t="shared" si="315"/>
        <v/>
      </c>
      <c r="DA42" s="6" t="str">
        <f t="shared" si="316"/>
        <v/>
      </c>
      <c r="DB42" s="4" t="str">
        <f t="shared" si="167"/>
        <v/>
      </c>
      <c r="DC42" s="5" t="str">
        <f t="shared" si="167"/>
        <v/>
      </c>
      <c r="DD42" s="10" t="str">
        <f t="shared" si="168"/>
        <v/>
      </c>
      <c r="DE42" s="9" t="str">
        <f t="shared" si="169"/>
        <v/>
      </c>
      <c r="DF42" s="5" t="str">
        <f t="shared" si="169"/>
        <v/>
      </c>
      <c r="DG42" s="10" t="str">
        <f t="shared" si="170"/>
        <v/>
      </c>
      <c r="DH42" s="70" t="str">
        <f t="shared" si="317"/>
        <v/>
      </c>
      <c r="DI42" s="4" t="str">
        <f t="shared" si="318"/>
        <v/>
      </c>
      <c r="DJ42" s="5" t="str">
        <f t="shared" si="319"/>
        <v/>
      </c>
      <c r="DK42" s="10" t="str">
        <f t="shared" si="320"/>
        <v/>
      </c>
      <c r="DL42" s="9" t="str">
        <f t="shared" si="321"/>
        <v/>
      </c>
      <c r="DM42" s="173" t="str">
        <f t="shared" si="322"/>
        <v/>
      </c>
      <c r="DN42" s="178" t="str">
        <f t="shared" si="323"/>
        <v/>
      </c>
      <c r="DO42" s="9" t="str">
        <f t="shared" si="324"/>
        <v/>
      </c>
      <c r="DP42" s="173" t="str">
        <f t="shared" si="325"/>
        <v/>
      </c>
      <c r="DQ42" s="11" t="str">
        <f t="shared" si="326"/>
        <v/>
      </c>
      <c r="DR42" s="173" t="str">
        <f t="shared" si="327"/>
        <v/>
      </c>
      <c r="DS42" s="5" t="str">
        <f t="shared" si="328"/>
        <v/>
      </c>
      <c r="DT42" s="5" t="str">
        <f t="shared" si="329"/>
        <v/>
      </c>
      <c r="DU42" s="5" t="str">
        <f t="shared" si="330"/>
        <v/>
      </c>
      <c r="DV42" s="5" t="str">
        <f t="shared" si="331"/>
        <v/>
      </c>
      <c r="DW42" s="5" t="str">
        <f t="shared" si="332"/>
        <v/>
      </c>
      <c r="DX42" s="167" t="str">
        <f t="shared" si="333"/>
        <v/>
      </c>
      <c r="DY42" s="9" t="str">
        <f t="shared" si="334"/>
        <v/>
      </c>
      <c r="DZ42" s="5" t="str">
        <f t="shared" si="335"/>
        <v/>
      </c>
      <c r="EA42" s="10" t="str">
        <f t="shared" si="336"/>
        <v/>
      </c>
      <c r="EB42" s="6" t="str">
        <f t="shared" si="337"/>
        <v/>
      </c>
      <c r="EC42" s="173" t="str">
        <f t="shared" si="338"/>
        <v/>
      </c>
      <c r="ED42" s="5" t="str">
        <f t="shared" si="339"/>
        <v/>
      </c>
      <c r="EE42" s="4" t="str">
        <f t="shared" si="340"/>
        <v/>
      </c>
      <c r="EF42" s="5" t="str">
        <f t="shared" si="341"/>
        <v/>
      </c>
      <c r="EG42" s="10" t="str">
        <f t="shared" si="342"/>
        <v/>
      </c>
      <c r="EH42" s="9" t="str">
        <f t="shared" si="343"/>
        <v/>
      </c>
      <c r="EI42" s="5" t="str">
        <f t="shared" si="344"/>
        <v/>
      </c>
      <c r="EJ42" s="6" t="str">
        <f t="shared" si="345"/>
        <v/>
      </c>
      <c r="EK42" s="236" t="str">
        <f t="shared" si="200"/>
        <v/>
      </c>
      <c r="EL42" s="238" t="str">
        <f t="shared" si="201"/>
        <v/>
      </c>
      <c r="EM42" s="4" t="str">
        <f t="shared" si="346"/>
        <v/>
      </c>
      <c r="EN42" s="5" t="str">
        <f t="shared" si="347"/>
        <v/>
      </c>
      <c r="EO42" s="10" t="str">
        <f t="shared" si="348"/>
        <v/>
      </c>
      <c r="EP42" s="9" t="str">
        <f t="shared" si="349"/>
        <v/>
      </c>
      <c r="EQ42" s="5" t="str">
        <f t="shared" si="350"/>
        <v/>
      </c>
      <c r="ER42" s="7" t="str">
        <f t="shared" si="351"/>
        <v/>
      </c>
      <c r="ES42" s="21" t="str">
        <f t="shared" si="352"/>
        <v/>
      </c>
      <c r="ET42" s="5" t="str">
        <f t="shared" si="353"/>
        <v/>
      </c>
      <c r="EU42" s="10" t="str">
        <f t="shared" si="354"/>
        <v/>
      </c>
      <c r="EV42" s="174" t="str">
        <f t="shared" si="355"/>
        <v/>
      </c>
      <c r="EW42" s="9" t="str">
        <f t="shared" si="356"/>
        <v/>
      </c>
      <c r="EX42" s="5" t="str">
        <f t="shared" si="357"/>
        <v/>
      </c>
      <c r="EY42" s="6" t="str">
        <f t="shared" si="358"/>
        <v/>
      </c>
      <c r="EZ42" s="51" t="str">
        <f t="shared" si="209"/>
        <v/>
      </c>
      <c r="FA42" s="266" t="str">
        <f t="shared" si="134"/>
        <v/>
      </c>
      <c r="FB42" s="267" t="str">
        <f t="shared" si="135"/>
        <v/>
      </c>
      <c r="FC42" s="269" t="str">
        <f t="shared" si="48"/>
        <v/>
      </c>
      <c r="FD42" s="4" t="str">
        <f t="shared" si="359"/>
        <v/>
      </c>
      <c r="FE42" s="5" t="str">
        <f t="shared" si="360"/>
        <v/>
      </c>
      <c r="FF42" s="7" t="str">
        <f t="shared" si="361"/>
        <v/>
      </c>
      <c r="FG42" s="173" t="str">
        <f t="shared" si="362"/>
        <v/>
      </c>
      <c r="FH42" s="5" t="str">
        <f t="shared" si="363"/>
        <v/>
      </c>
      <c r="FI42" s="10" t="str">
        <f t="shared" si="364"/>
        <v/>
      </c>
      <c r="FJ42" s="279" t="str">
        <f t="shared" si="365"/>
        <v/>
      </c>
      <c r="FK42" s="4" t="str">
        <f t="shared" si="366"/>
        <v/>
      </c>
      <c r="FL42" s="5" t="str">
        <f t="shared" si="367"/>
        <v/>
      </c>
      <c r="FM42" s="8" t="str">
        <f t="shared" si="368"/>
        <v/>
      </c>
      <c r="FN42" s="9" t="str">
        <f t="shared" si="369"/>
        <v/>
      </c>
      <c r="FO42" s="10" t="str">
        <f t="shared" si="370"/>
        <v/>
      </c>
      <c r="FP42" s="277" t="str">
        <f t="shared" si="371"/>
        <v/>
      </c>
      <c r="FQ42" s="173" t="str">
        <f t="shared" si="372"/>
        <v/>
      </c>
      <c r="FR42" s="10" t="str">
        <f t="shared" si="373"/>
        <v/>
      </c>
      <c r="FS42" s="9" t="str">
        <f t="shared" si="374"/>
        <v/>
      </c>
      <c r="FT42" s="6" t="str">
        <f t="shared" si="375"/>
        <v/>
      </c>
      <c r="FU42" s="4" t="str">
        <f t="shared" si="376"/>
        <v/>
      </c>
      <c r="FV42" s="5" t="str">
        <f t="shared" si="377"/>
        <v/>
      </c>
      <c r="FW42" s="8" t="str">
        <f t="shared" si="378"/>
        <v/>
      </c>
      <c r="FX42" s="9" t="str">
        <f t="shared" si="379"/>
        <v/>
      </c>
      <c r="FY42" s="10" t="str">
        <f t="shared" si="380"/>
        <v/>
      </c>
      <c r="FZ42" s="277" t="str">
        <f t="shared" si="381"/>
        <v/>
      </c>
      <c r="GA42" s="177" t="str">
        <f t="shared" si="382"/>
        <v/>
      </c>
      <c r="GB42" s="4" t="str">
        <f t="shared" si="383"/>
        <v/>
      </c>
      <c r="GC42" s="5" t="str">
        <f t="shared" si="384"/>
        <v/>
      </c>
      <c r="GD42" s="10" t="str">
        <f t="shared" si="385"/>
        <v/>
      </c>
      <c r="GE42" s="311" t="str">
        <f t="shared" si="386"/>
        <v/>
      </c>
      <c r="GF42" s="341" t="str">
        <f t="shared" si="387"/>
        <v/>
      </c>
      <c r="GG42" s="285" t="str">
        <f t="shared" si="388"/>
        <v/>
      </c>
      <c r="GH42" s="286" t="str">
        <f t="shared" si="389"/>
        <v/>
      </c>
      <c r="GI42" s="281" t="str">
        <f t="shared" si="390"/>
        <v/>
      </c>
      <c r="GJ42" s="167" t="str">
        <f t="shared" si="391"/>
        <v/>
      </c>
      <c r="GK42" s="174" t="str">
        <f t="shared" si="59"/>
        <v/>
      </c>
      <c r="GL42" s="174" t="str">
        <f t="shared" si="392"/>
        <v/>
      </c>
      <c r="GM42" s="177" t="str">
        <f t="shared" si="393"/>
        <v/>
      </c>
      <c r="GN42" s="280" t="str">
        <f t="shared" si="394"/>
        <v/>
      </c>
      <c r="GO42" s="4" t="str">
        <f t="shared" si="395"/>
        <v/>
      </c>
      <c r="GP42" s="8" t="str">
        <f t="shared" si="396"/>
        <v/>
      </c>
      <c r="GQ42" s="177" t="str">
        <f t="shared" si="397"/>
        <v/>
      </c>
      <c r="GR42" s="371" t="str">
        <f t="shared" si="398"/>
        <v/>
      </c>
      <c r="GS42" s="342" t="str">
        <f t="shared" si="399"/>
        <v/>
      </c>
      <c r="GT42" s="343" t="str">
        <f t="shared" si="400"/>
        <v/>
      </c>
      <c r="GU42" s="344" t="str">
        <f t="shared" si="63"/>
        <v/>
      </c>
      <c r="GV42" s="343" t="str">
        <f t="shared" si="401"/>
        <v/>
      </c>
      <c r="GW42" s="345" t="str">
        <f t="shared" si="64"/>
        <v/>
      </c>
      <c r="GX42" s="346" t="str">
        <f t="shared" si="65"/>
        <v/>
      </c>
      <c r="GY42" s="344" t="str">
        <f t="shared" si="402"/>
        <v/>
      </c>
      <c r="GZ42" s="345" t="str">
        <f t="shared" si="403"/>
        <v/>
      </c>
      <c r="HA42" s="342" t="str">
        <f t="shared" si="68"/>
        <v/>
      </c>
      <c r="HB42" s="5" t="str">
        <f t="shared" si="231"/>
        <v/>
      </c>
      <c r="HC42" s="343" t="str">
        <f t="shared" si="404"/>
        <v/>
      </c>
      <c r="HD42" s="345" t="str">
        <f t="shared" si="405"/>
        <v/>
      </c>
      <c r="HE42" s="344" t="str">
        <f t="shared" si="69"/>
        <v/>
      </c>
      <c r="HF42" s="5" t="str">
        <f t="shared" si="70"/>
        <v/>
      </c>
      <c r="HG42" s="343" t="str">
        <f t="shared" si="406"/>
        <v/>
      </c>
      <c r="HH42" s="349" t="str">
        <f t="shared" si="407"/>
        <v/>
      </c>
      <c r="HI42" s="317" t="str">
        <f t="shared" si="408"/>
        <v/>
      </c>
      <c r="HJ42" s="336"/>
      <c r="HK42" s="310" t="str">
        <f t="shared" ref="HK42:HK73" si="459">IF(ISNUMBER(HS42),HK41+1,"")</f>
        <v/>
      </c>
      <c r="HL42" s="348" t="str">
        <f t="shared" si="409"/>
        <v/>
      </c>
      <c r="HM42" s="909" t="str">
        <f t="shared" si="410"/>
        <v/>
      </c>
      <c r="HN42" s="910" t="str">
        <f t="shared" si="411"/>
        <v/>
      </c>
      <c r="HO42" s="911"/>
      <c r="HP42" s="912"/>
      <c r="HQ42" s="910" t="str">
        <f t="shared" si="412"/>
        <v/>
      </c>
      <c r="HR42" s="913" t="str">
        <f t="shared" si="413"/>
        <v/>
      </c>
      <c r="HS42" s="865" t="str">
        <f t="shared" ref="HS42:HS73" si="460">IFERROR(SMALL($GJ$9:$GJ$150,($HK41+1)),"")</f>
        <v/>
      </c>
      <c r="HT42" s="875" t="str">
        <f t="shared" si="414"/>
        <v/>
      </c>
      <c r="HU42" s="876" t="str">
        <f t="shared" si="415"/>
        <v/>
      </c>
      <c r="HV42" s="872" t="str">
        <f t="shared" si="416"/>
        <v/>
      </c>
      <c r="HW42" s="866" t="str">
        <f t="shared" si="417"/>
        <v/>
      </c>
      <c r="HX42" s="867" t="str">
        <f t="shared" si="418"/>
        <v/>
      </c>
      <c r="HY42" s="866" t="str">
        <f t="shared" si="419"/>
        <v/>
      </c>
      <c r="HZ42" s="868" t="str">
        <f t="shared" si="420"/>
        <v/>
      </c>
      <c r="IA42" s="869" t="str">
        <f t="shared" si="421"/>
        <v/>
      </c>
      <c r="IB42" s="870" t="str">
        <f t="shared" si="422"/>
        <v/>
      </c>
      <c r="IC42" s="841" t="str">
        <f t="shared" si="423"/>
        <v/>
      </c>
      <c r="ID42" s="351" t="str">
        <f t="shared" si="424"/>
        <v/>
      </c>
      <c r="IE42" s="843" t="str">
        <f t="shared" si="425"/>
        <v/>
      </c>
      <c r="IF42" s="844"/>
      <c r="IG42" s="790" t="str">
        <f>IFERROR(IF($IW42="","",IF($IW42&lt;(((Settings!$C$19/2)*-1)*$IG$8),"Taper","Nose")),"")</f>
        <v/>
      </c>
      <c r="IH42" s="482" t="str">
        <f>IFERROR(IF((((($IY42*COS(RADIANS(180-$JA42)))*COS(RADIANS($JA42)))-(($IZ42*SIN(RADIANS(180-$JA42)))*SIN(RADIANS($JA42))))+$IW42)&lt;(((Settings!$C$19+$IH$8)/2)*-1),"Gage",""),"")</f>
        <v/>
      </c>
      <c r="II42" s="788">
        <f t="shared" si="236"/>
        <v>3.109</v>
      </c>
      <c r="IJ42" s="674" t="str" cm="1">
        <f t="array" ref="IJ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K42" s="677" t="str" cm="1">
        <f t="array" ref="IK42">IFERROR(ROUND(VALUE(IF($IJ42&lt;1,$IJ42+LARGE((IF($M$9:$M$150="",0,$M$9:$M$150)-MOD(IF($M$9:$M$150="",0,$M$9:$M$150),1)),1),$IJ42)),4),"")</f>
        <v/>
      </c>
      <c r="IL42" s="482">
        <f t="shared" si="426"/>
        <v>1613</v>
      </c>
      <c r="IM42" s="482" t="str">
        <f t="shared" si="237"/>
        <v/>
      </c>
      <c r="IN42" s="670" t="str">
        <f t="shared" si="427"/>
        <v/>
      </c>
      <c r="IO42" s="702"/>
      <c r="IP42" s="5" t="str">
        <f t="shared" si="428"/>
        <v/>
      </c>
      <c r="IQ42" s="714"/>
      <c r="IR42" s="9" t="str">
        <f t="shared" si="429"/>
        <v/>
      </c>
      <c r="IS42" s="5" t="str">
        <f t="shared" si="430"/>
        <v/>
      </c>
      <c r="IT42" s="5" t="str">
        <f t="shared" si="431"/>
        <v/>
      </c>
      <c r="IU42" s="5" t="str">
        <f t="shared" si="432"/>
        <v/>
      </c>
      <c r="IV42" s="670" t="str">
        <f t="shared" si="433"/>
        <v/>
      </c>
      <c r="IW42" s="9" t="str">
        <f t="shared" si="434"/>
        <v/>
      </c>
      <c r="IX42" s="5" t="str">
        <f t="shared" si="435"/>
        <v/>
      </c>
      <c r="IY42" s="5" t="str">
        <f t="shared" si="436"/>
        <v/>
      </c>
      <c r="IZ42" s="5" t="str">
        <f t="shared" si="437"/>
        <v/>
      </c>
      <c r="JA42" s="705" t="str">
        <f t="shared" si="438"/>
        <v/>
      </c>
    </row>
    <row r="43" spans="1:269" ht="15" customHeight="1" x14ac:dyDescent="0.25">
      <c r="A43" s="75">
        <f t="shared" si="256"/>
        <v>0.02</v>
      </c>
      <c r="B43" s="578">
        <f t="shared" si="257"/>
        <v>2.5005746495178118</v>
      </c>
      <c r="C43" s="572">
        <f t="shared" si="258"/>
        <v>-1.7754872511669539</v>
      </c>
      <c r="D43" s="576">
        <f t="shared" si="259"/>
        <v>-7.0521267839836921E-2</v>
      </c>
      <c r="E43" s="580">
        <f t="shared" si="260"/>
        <v>0.58479328609228853</v>
      </c>
      <c r="F43" s="572">
        <f t="shared" si="261"/>
        <v>0.76631426161541749</v>
      </c>
      <c r="G43" s="579">
        <f t="shared" si="262"/>
        <v>0.26604372758289291</v>
      </c>
      <c r="H43" s="580">
        <f t="shared" si="263"/>
        <v>0.3125</v>
      </c>
      <c r="I43" s="572">
        <f t="shared" si="264"/>
        <v>0.52</v>
      </c>
      <c r="J43" s="483">
        <f t="shared" si="265"/>
        <v>3.1150000000000002</v>
      </c>
      <c r="K43" s="806">
        <f t="shared" si="266"/>
        <v>1613</v>
      </c>
      <c r="L43" s="309"/>
      <c r="M43" s="164">
        <f t="shared" si="267"/>
        <v>3.1150000000000002</v>
      </c>
      <c r="N43" s="575">
        <f t="shared" si="268"/>
        <v>2.5005746495178118</v>
      </c>
      <c r="O43" s="572">
        <f t="shared" si="269"/>
        <v>-1.7754872511669539</v>
      </c>
      <c r="P43" s="576">
        <f t="shared" si="270"/>
        <v>-7.0521267839836921E-2</v>
      </c>
      <c r="Q43" s="528">
        <f t="shared" si="140"/>
        <v>324.62404090137682</v>
      </c>
      <c r="R43" s="572">
        <f t="shared" si="439"/>
        <v>3.0667945084187682</v>
      </c>
      <c r="S43" s="577">
        <f t="shared" si="440"/>
        <v>-7.0521267839836921E-2</v>
      </c>
      <c r="T43" s="578">
        <f t="shared" si="441"/>
        <v>-1.7565439874329587</v>
      </c>
      <c r="U43" s="572">
        <f t="shared" si="442"/>
        <v>-2.5139176154123741</v>
      </c>
      <c r="V43" s="579">
        <f t="shared" si="443"/>
        <v>-7.0521267839836921E-2</v>
      </c>
      <c r="W43" s="528">
        <f t="shared" si="253"/>
        <v>235.0569317472478</v>
      </c>
      <c r="X43" s="572">
        <f t="shared" si="444"/>
        <v>3.0667945084187682</v>
      </c>
      <c r="Y43" s="573">
        <f t="shared" si="255"/>
        <v>-7.0521267839836921E-2</v>
      </c>
      <c r="Z43" s="575">
        <f t="shared" si="271"/>
        <v>-0.58479328609228853</v>
      </c>
      <c r="AA43" s="572">
        <f t="shared" si="272"/>
        <v>-0.76631426161541749</v>
      </c>
      <c r="AB43" s="572">
        <f t="shared" si="273"/>
        <v>-0.26604372758289291</v>
      </c>
      <c r="AC43" s="579">
        <f t="shared" si="445"/>
        <v>1</v>
      </c>
      <c r="AD43" s="580">
        <f t="shared" si="446"/>
        <v>-0.58479328609228853</v>
      </c>
      <c r="AE43" s="572">
        <f t="shared" si="447"/>
        <v>-0.76631426161541749</v>
      </c>
      <c r="AF43" s="576">
        <f t="shared" si="448"/>
        <v>-0.26604372758289291</v>
      </c>
      <c r="AG43" s="545">
        <f t="shared" si="449"/>
        <v>-70.854372271315611</v>
      </c>
      <c r="AH43" s="546">
        <f t="shared" si="450"/>
        <v>125.78838796478762</v>
      </c>
      <c r="AI43" s="528">
        <f t="shared" si="451"/>
        <v>-74.571019519494769</v>
      </c>
      <c r="AJ43" s="529">
        <f t="shared" si="452"/>
        <v>-37.348144518412056</v>
      </c>
      <c r="AK43" s="578">
        <f t="shared" si="453"/>
        <v>0.96338996045343239</v>
      </c>
      <c r="AL43" s="572">
        <f t="shared" si="454"/>
        <v>-3.3174072878283667E-2</v>
      </c>
      <c r="AM43" s="577">
        <f t="shared" si="455"/>
        <v>-0.26604372758289291</v>
      </c>
      <c r="AN43" s="524">
        <f t="shared" si="456"/>
        <v>-7.1077563806310833</v>
      </c>
      <c r="AO43" s="525">
        <f t="shared" si="116"/>
        <v>15.551478149906009</v>
      </c>
      <c r="AP43" s="528">
        <f t="shared" si="457"/>
        <v>-1.9721854197888833</v>
      </c>
      <c r="AQ43" s="529">
        <f t="shared" si="274"/>
        <v>1.4863827249805095</v>
      </c>
      <c r="AS43" s="932">
        <f t="shared" ref="AS43:AS74" si="461">IF(G43="","",IF(AND(W43&lt;(AS42+180),W43&gt;(AS42-180)),W43,IF(W43&gt;(AS42+180),W43-360,IF(W43&lt;(AS42-180),W43+360,"Error"))))</f>
        <v>235.0569317472478</v>
      </c>
      <c r="AT43" s="928">
        <f t="shared" si="275"/>
        <v>9.9286190547655889E-2</v>
      </c>
      <c r="AU43" s="418"/>
      <c r="AV43" s="164" t="str">
        <f t="shared" si="276"/>
        <v/>
      </c>
      <c r="AW43" s="829" t="str">
        <f>IFERROR(INDEX(MassProp!C$9:C$150,MATCH($M43,MassProp!$B$9:$B$150,0)),"")</f>
        <v/>
      </c>
      <c r="AX43" s="830" t="str">
        <f>IFERROR(INDEX(MassProp!D$9:D$150,MATCH($M43,MassProp!$B$9:$B$150,0)),"")</f>
        <v/>
      </c>
      <c r="AY43" s="831" t="str">
        <f>IFERROR(INDEX(MassProp!E$9:E$150,MATCH($M43,MassProp!$B$9:$B$150,0)),"")</f>
        <v/>
      </c>
      <c r="AZ43" s="297" t="str">
        <f t="shared" si="277"/>
        <v/>
      </c>
      <c r="BA43" s="296" t="str">
        <f t="shared" si="278"/>
        <v/>
      </c>
      <c r="BB43" s="190" t="str">
        <f t="shared" si="145"/>
        <v/>
      </c>
      <c r="BC43" s="9"/>
      <c r="BD43" s="5" t="str">
        <f t="shared" si="279"/>
        <v/>
      </c>
      <c r="BE43" s="6" t="str">
        <f t="shared" si="280"/>
        <v/>
      </c>
      <c r="BF43" s="4" t="str">
        <f t="shared" si="281"/>
        <v/>
      </c>
      <c r="BG43" s="5" t="str">
        <f t="shared" si="282"/>
        <v/>
      </c>
      <c r="BH43" s="10" t="str">
        <f t="shared" si="283"/>
        <v/>
      </c>
      <c r="BI43" s="9" t="str">
        <f t="shared" si="284"/>
        <v/>
      </c>
      <c r="BJ43" s="5" t="str">
        <f t="shared" si="285"/>
        <v/>
      </c>
      <c r="BK43" s="8" t="str">
        <f t="shared" si="286"/>
        <v/>
      </c>
      <c r="BL43" s="173" t="str">
        <f t="shared" si="287"/>
        <v/>
      </c>
      <c r="BM43" s="5" t="str">
        <f t="shared" si="288"/>
        <v/>
      </c>
      <c r="BN43" s="6" t="str">
        <f t="shared" si="289"/>
        <v/>
      </c>
      <c r="BO43" s="4" t="str">
        <f t="shared" si="290"/>
        <v/>
      </c>
      <c r="BP43" s="5" t="str">
        <f t="shared" si="239"/>
        <v/>
      </c>
      <c r="BQ43" s="5" t="str">
        <f t="shared" si="291"/>
        <v/>
      </c>
      <c r="BR43" s="6" t="str">
        <f t="shared" si="292"/>
        <v/>
      </c>
      <c r="BS43" s="4" t="str">
        <f t="shared" si="458"/>
        <v/>
      </c>
      <c r="BT43" s="5" t="str">
        <f t="shared" si="458"/>
        <v/>
      </c>
      <c r="BU43" s="10" t="str">
        <f t="shared" si="119"/>
        <v/>
      </c>
      <c r="BV43" s="9" t="str">
        <f t="shared" si="120"/>
        <v/>
      </c>
      <c r="BW43" s="5" t="str">
        <f t="shared" si="121"/>
        <v/>
      </c>
      <c r="BX43" s="8" t="str">
        <f t="shared" si="122"/>
        <v/>
      </c>
      <c r="BY43" s="173" t="str">
        <f t="shared" si="123"/>
        <v/>
      </c>
      <c r="BZ43" s="5" t="str">
        <f t="shared" si="124"/>
        <v/>
      </c>
      <c r="CA43" s="6" t="str">
        <f t="shared" si="125"/>
        <v/>
      </c>
      <c r="CB43" s="4" t="str">
        <f t="shared" si="293"/>
        <v/>
      </c>
      <c r="CC43" s="5" t="str">
        <f t="shared" si="294"/>
        <v/>
      </c>
      <c r="CD43" s="5" t="str">
        <f t="shared" si="295"/>
        <v/>
      </c>
      <c r="CE43" s="6" t="str">
        <f t="shared" si="296"/>
        <v/>
      </c>
      <c r="CF43" s="4" t="str">
        <f t="shared" si="297"/>
        <v/>
      </c>
      <c r="CG43" s="5" t="str">
        <f t="shared" si="298"/>
        <v/>
      </c>
      <c r="CH43" s="5" t="str">
        <f t="shared" si="299"/>
        <v/>
      </c>
      <c r="CI43" s="4" t="str">
        <f t="shared" si="126"/>
        <v/>
      </c>
      <c r="CJ43" s="5" t="str">
        <f t="shared" si="300"/>
        <v/>
      </c>
      <c r="CK43" s="8" t="str">
        <f t="shared" si="301"/>
        <v/>
      </c>
      <c r="CL43" s="173" t="str">
        <f t="shared" si="302"/>
        <v/>
      </c>
      <c r="CM43" s="5" t="str">
        <f t="shared" si="303"/>
        <v/>
      </c>
      <c r="CN43" s="6" t="str">
        <f t="shared" si="304"/>
        <v/>
      </c>
      <c r="CO43" s="167" t="str">
        <f t="shared" si="305"/>
        <v/>
      </c>
      <c r="CP43" s="4" t="str">
        <f t="shared" si="306"/>
        <v/>
      </c>
      <c r="CQ43" s="5" t="str">
        <f t="shared" si="307"/>
        <v/>
      </c>
      <c r="CR43" s="5" t="str">
        <f t="shared" si="308"/>
        <v/>
      </c>
      <c r="CS43" s="8" t="str">
        <f t="shared" si="309"/>
        <v/>
      </c>
      <c r="CT43" s="9" t="str">
        <f t="shared" si="160"/>
        <v/>
      </c>
      <c r="CU43" s="6" t="str">
        <f t="shared" si="310"/>
        <v/>
      </c>
      <c r="CV43" s="4" t="str">
        <f t="shared" si="311"/>
        <v/>
      </c>
      <c r="CW43" s="5" t="str">
        <f t="shared" si="312"/>
        <v/>
      </c>
      <c r="CX43" s="8" t="str">
        <f t="shared" si="313"/>
        <v/>
      </c>
      <c r="CY43" s="9" t="str">
        <f t="shared" si="314"/>
        <v/>
      </c>
      <c r="CZ43" s="5" t="str">
        <f t="shared" si="315"/>
        <v/>
      </c>
      <c r="DA43" s="6" t="str">
        <f t="shared" si="316"/>
        <v/>
      </c>
      <c r="DB43" s="4" t="str">
        <f t="shared" ref="DB43:DC53" si="462">IF(ISNUMBER($AV43),0,"")</f>
        <v/>
      </c>
      <c r="DC43" s="5" t="str">
        <f t="shared" si="462"/>
        <v/>
      </c>
      <c r="DD43" s="10" t="str">
        <f t="shared" si="168"/>
        <v/>
      </c>
      <c r="DE43" s="9" t="str">
        <f t="shared" ref="DE43:DF53" si="463">IF(ISNUMBER($AV43),0,"")</f>
        <v/>
      </c>
      <c r="DF43" s="5" t="str">
        <f t="shared" si="463"/>
        <v/>
      </c>
      <c r="DG43" s="10" t="str">
        <f t="shared" si="170"/>
        <v/>
      </c>
      <c r="DH43" s="70" t="str">
        <f t="shared" si="317"/>
        <v/>
      </c>
      <c r="DI43" s="4" t="str">
        <f t="shared" si="318"/>
        <v/>
      </c>
      <c r="DJ43" s="5" t="str">
        <f t="shared" si="319"/>
        <v/>
      </c>
      <c r="DK43" s="10" t="str">
        <f t="shared" si="320"/>
        <v/>
      </c>
      <c r="DL43" s="9" t="str">
        <f t="shared" si="321"/>
        <v/>
      </c>
      <c r="DM43" s="173" t="str">
        <f t="shared" si="322"/>
        <v/>
      </c>
      <c r="DN43" s="178" t="str">
        <f t="shared" si="323"/>
        <v/>
      </c>
      <c r="DO43" s="9" t="str">
        <f t="shared" si="324"/>
        <v/>
      </c>
      <c r="DP43" s="173" t="str">
        <f t="shared" si="325"/>
        <v/>
      </c>
      <c r="DQ43" s="11" t="str">
        <f t="shared" si="326"/>
        <v/>
      </c>
      <c r="DR43" s="173" t="str">
        <f t="shared" si="327"/>
        <v/>
      </c>
      <c r="DS43" s="5" t="str">
        <f t="shared" si="328"/>
        <v/>
      </c>
      <c r="DT43" s="5" t="str">
        <f t="shared" si="329"/>
        <v/>
      </c>
      <c r="DU43" s="5" t="str">
        <f t="shared" si="330"/>
        <v/>
      </c>
      <c r="DV43" s="5" t="str">
        <f t="shared" si="331"/>
        <v/>
      </c>
      <c r="DW43" s="5" t="str">
        <f t="shared" si="332"/>
        <v/>
      </c>
      <c r="DX43" s="167" t="str">
        <f t="shared" si="333"/>
        <v/>
      </c>
      <c r="DY43" s="9" t="str">
        <f t="shared" si="334"/>
        <v/>
      </c>
      <c r="DZ43" s="5" t="str">
        <f t="shared" si="335"/>
        <v/>
      </c>
      <c r="EA43" s="10" t="str">
        <f t="shared" si="336"/>
        <v/>
      </c>
      <c r="EB43" s="6" t="str">
        <f t="shared" si="337"/>
        <v/>
      </c>
      <c r="EC43" s="173" t="str">
        <f t="shared" si="338"/>
        <v/>
      </c>
      <c r="ED43" s="5" t="str">
        <f t="shared" si="339"/>
        <v/>
      </c>
      <c r="EE43" s="4" t="str">
        <f t="shared" si="340"/>
        <v/>
      </c>
      <c r="EF43" s="5" t="str">
        <f t="shared" si="341"/>
        <v/>
      </c>
      <c r="EG43" s="10" t="str">
        <f t="shared" si="342"/>
        <v/>
      </c>
      <c r="EH43" s="9" t="str">
        <f t="shared" si="343"/>
        <v/>
      </c>
      <c r="EI43" s="5" t="str">
        <f t="shared" si="344"/>
        <v/>
      </c>
      <c r="EJ43" s="6" t="str">
        <f t="shared" si="345"/>
        <v/>
      </c>
      <c r="EK43" s="236" t="str">
        <f t="shared" si="200"/>
        <v/>
      </c>
      <c r="EL43" s="238" t="str">
        <f t="shared" si="201"/>
        <v/>
      </c>
      <c r="EM43" s="4" t="str">
        <f t="shared" si="346"/>
        <v/>
      </c>
      <c r="EN43" s="5" t="str">
        <f t="shared" si="347"/>
        <v/>
      </c>
      <c r="EO43" s="10" t="str">
        <f t="shared" si="348"/>
        <v/>
      </c>
      <c r="EP43" s="9" t="str">
        <f t="shared" si="349"/>
        <v/>
      </c>
      <c r="EQ43" s="5" t="str">
        <f t="shared" si="350"/>
        <v/>
      </c>
      <c r="ER43" s="7" t="str">
        <f t="shared" si="351"/>
        <v/>
      </c>
      <c r="ES43" s="21" t="str">
        <f t="shared" si="352"/>
        <v/>
      </c>
      <c r="ET43" s="5" t="str">
        <f t="shared" si="353"/>
        <v/>
      </c>
      <c r="EU43" s="10" t="str">
        <f t="shared" si="354"/>
        <v/>
      </c>
      <c r="EV43" s="174" t="str">
        <f t="shared" si="355"/>
        <v/>
      </c>
      <c r="EW43" s="9" t="str">
        <f t="shared" si="356"/>
        <v/>
      </c>
      <c r="EX43" s="5" t="str">
        <f t="shared" si="357"/>
        <v/>
      </c>
      <c r="EY43" s="6" t="str">
        <f t="shared" si="358"/>
        <v/>
      </c>
      <c r="EZ43" s="51" t="str">
        <f t="shared" si="209"/>
        <v/>
      </c>
      <c r="FA43" s="266" t="str">
        <f t="shared" si="134"/>
        <v/>
      </c>
      <c r="FB43" s="267" t="str">
        <f t="shared" si="135"/>
        <v/>
      </c>
      <c r="FC43" s="269" t="str">
        <f t="shared" si="48"/>
        <v/>
      </c>
      <c r="FD43" s="4" t="str">
        <f t="shared" si="359"/>
        <v/>
      </c>
      <c r="FE43" s="5" t="str">
        <f t="shared" si="360"/>
        <v/>
      </c>
      <c r="FF43" s="7" t="str">
        <f t="shared" si="361"/>
        <v/>
      </c>
      <c r="FG43" s="173" t="str">
        <f t="shared" si="362"/>
        <v/>
      </c>
      <c r="FH43" s="5" t="str">
        <f t="shared" si="363"/>
        <v/>
      </c>
      <c r="FI43" s="10" t="str">
        <f t="shared" si="364"/>
        <v/>
      </c>
      <c r="FJ43" s="279" t="str">
        <f t="shared" si="365"/>
        <v/>
      </c>
      <c r="FK43" s="4" t="str">
        <f t="shared" si="366"/>
        <v/>
      </c>
      <c r="FL43" s="5" t="str">
        <f t="shared" si="367"/>
        <v/>
      </c>
      <c r="FM43" s="8" t="str">
        <f t="shared" si="368"/>
        <v/>
      </c>
      <c r="FN43" s="9" t="str">
        <f t="shared" si="369"/>
        <v/>
      </c>
      <c r="FO43" s="10" t="str">
        <f t="shared" si="370"/>
        <v/>
      </c>
      <c r="FP43" s="277" t="str">
        <f t="shared" si="371"/>
        <v/>
      </c>
      <c r="FQ43" s="173" t="str">
        <f t="shared" si="372"/>
        <v/>
      </c>
      <c r="FR43" s="10" t="str">
        <f t="shared" si="373"/>
        <v/>
      </c>
      <c r="FS43" s="9" t="str">
        <f t="shared" si="374"/>
        <v/>
      </c>
      <c r="FT43" s="6" t="str">
        <f t="shared" si="375"/>
        <v/>
      </c>
      <c r="FU43" s="4" t="str">
        <f t="shared" si="376"/>
        <v/>
      </c>
      <c r="FV43" s="5" t="str">
        <f t="shared" si="377"/>
        <v/>
      </c>
      <c r="FW43" s="8" t="str">
        <f t="shared" si="378"/>
        <v/>
      </c>
      <c r="FX43" s="9" t="str">
        <f t="shared" si="379"/>
        <v/>
      </c>
      <c r="FY43" s="10" t="str">
        <f t="shared" si="380"/>
        <v/>
      </c>
      <c r="FZ43" s="277" t="str">
        <f t="shared" si="381"/>
        <v/>
      </c>
      <c r="GA43" s="177" t="str">
        <f t="shared" si="382"/>
        <v/>
      </c>
      <c r="GB43" s="4" t="str">
        <f t="shared" si="383"/>
        <v/>
      </c>
      <c r="GC43" s="5" t="str">
        <f t="shared" si="384"/>
        <v/>
      </c>
      <c r="GD43" s="10" t="str">
        <f t="shared" si="385"/>
        <v/>
      </c>
      <c r="GE43" s="311" t="str">
        <f t="shared" si="386"/>
        <v/>
      </c>
      <c r="GF43" s="341" t="str">
        <f t="shared" si="387"/>
        <v/>
      </c>
      <c r="GG43" s="285" t="str">
        <f t="shared" si="388"/>
        <v/>
      </c>
      <c r="GH43" s="286" t="str">
        <f t="shared" si="389"/>
        <v/>
      </c>
      <c r="GI43" s="281" t="str">
        <f t="shared" si="390"/>
        <v/>
      </c>
      <c r="GJ43" s="167" t="str">
        <f t="shared" si="391"/>
        <v/>
      </c>
      <c r="GK43" s="174" t="str">
        <f t="shared" si="59"/>
        <v/>
      </c>
      <c r="GL43" s="174" t="str">
        <f t="shared" si="392"/>
        <v/>
      </c>
      <c r="GM43" s="177" t="str">
        <f t="shared" si="393"/>
        <v/>
      </c>
      <c r="GN43" s="280" t="str">
        <f t="shared" si="394"/>
        <v/>
      </c>
      <c r="GO43" s="4" t="str">
        <f t="shared" si="395"/>
        <v/>
      </c>
      <c r="GP43" s="8" t="str">
        <f t="shared" si="396"/>
        <v/>
      </c>
      <c r="GQ43" s="177" t="str">
        <f t="shared" si="397"/>
        <v/>
      </c>
      <c r="GR43" s="371" t="str">
        <f t="shared" si="398"/>
        <v/>
      </c>
      <c r="GS43" s="342" t="str">
        <f t="shared" si="399"/>
        <v/>
      </c>
      <c r="GT43" s="343" t="str">
        <f t="shared" si="400"/>
        <v/>
      </c>
      <c r="GU43" s="344" t="str">
        <f t="shared" si="63"/>
        <v/>
      </c>
      <c r="GV43" s="343" t="str">
        <f t="shared" si="401"/>
        <v/>
      </c>
      <c r="GW43" s="345" t="str">
        <f t="shared" si="64"/>
        <v/>
      </c>
      <c r="GX43" s="346" t="str">
        <f t="shared" si="65"/>
        <v/>
      </c>
      <c r="GY43" s="344" t="str">
        <f t="shared" si="402"/>
        <v/>
      </c>
      <c r="GZ43" s="345" t="str">
        <f t="shared" si="403"/>
        <v/>
      </c>
      <c r="HA43" s="342" t="str">
        <f t="shared" si="68"/>
        <v/>
      </c>
      <c r="HB43" s="5" t="str">
        <f t="shared" si="231"/>
        <v/>
      </c>
      <c r="HC43" s="343" t="str">
        <f t="shared" si="404"/>
        <v/>
      </c>
      <c r="HD43" s="345" t="str">
        <f t="shared" si="405"/>
        <v/>
      </c>
      <c r="HE43" s="344" t="str">
        <f t="shared" si="69"/>
        <v/>
      </c>
      <c r="HF43" s="5" t="str">
        <f t="shared" si="70"/>
        <v/>
      </c>
      <c r="HG43" s="343" t="str">
        <f t="shared" si="406"/>
        <v/>
      </c>
      <c r="HH43" s="349" t="str">
        <f t="shared" si="407"/>
        <v/>
      </c>
      <c r="HI43" s="317" t="str">
        <f t="shared" si="408"/>
        <v/>
      </c>
      <c r="HJ43" s="336"/>
      <c r="HK43" s="310" t="str">
        <f t="shared" si="459"/>
        <v/>
      </c>
      <c r="HL43" s="348" t="str">
        <f t="shared" si="409"/>
        <v/>
      </c>
      <c r="HM43" s="909" t="str">
        <f t="shared" si="410"/>
        <v/>
      </c>
      <c r="HN43" s="910" t="str">
        <f t="shared" si="411"/>
        <v/>
      </c>
      <c r="HO43" s="911"/>
      <c r="HP43" s="912"/>
      <c r="HQ43" s="910" t="str">
        <f t="shared" si="412"/>
        <v/>
      </c>
      <c r="HR43" s="913" t="str">
        <f t="shared" si="413"/>
        <v/>
      </c>
      <c r="HS43" s="865" t="str">
        <f t="shared" si="460"/>
        <v/>
      </c>
      <c r="HT43" s="875" t="str">
        <f t="shared" si="414"/>
        <v/>
      </c>
      <c r="HU43" s="876" t="str">
        <f t="shared" si="415"/>
        <v/>
      </c>
      <c r="HV43" s="872" t="str">
        <f t="shared" si="416"/>
        <v/>
      </c>
      <c r="HW43" s="866" t="str">
        <f t="shared" si="417"/>
        <v/>
      </c>
      <c r="HX43" s="867" t="str">
        <f t="shared" si="418"/>
        <v/>
      </c>
      <c r="HY43" s="866" t="str">
        <f t="shared" si="419"/>
        <v/>
      </c>
      <c r="HZ43" s="868" t="str">
        <f t="shared" si="420"/>
        <v/>
      </c>
      <c r="IA43" s="869" t="str">
        <f t="shared" si="421"/>
        <v/>
      </c>
      <c r="IB43" s="870" t="str">
        <f t="shared" si="422"/>
        <v/>
      </c>
      <c r="IC43" s="841" t="str">
        <f t="shared" si="423"/>
        <v/>
      </c>
      <c r="ID43" s="351" t="str">
        <f t="shared" si="424"/>
        <v/>
      </c>
      <c r="IE43" s="843" t="str">
        <f t="shared" si="425"/>
        <v/>
      </c>
      <c r="IF43" s="844"/>
      <c r="IG43" s="790" t="str">
        <f>IFERROR(IF($IW43="","",IF($IW43&lt;(((Settings!$C$19/2)*-1)*$IG$8),"Taper","Nose")),"")</f>
        <v/>
      </c>
      <c r="IH43" s="482" t="str">
        <f>IFERROR(IF((((($IY43*COS(RADIANS(180-$JA43)))*COS(RADIANS($JA43)))-(($IZ43*SIN(RADIANS(180-$JA43)))*SIN(RADIANS($JA43))))+$IW43)&lt;(((Settings!$C$19+$IH$8)/2)*-1),"Gage",""),"")</f>
        <v/>
      </c>
      <c r="II43" s="788">
        <f t="shared" si="236"/>
        <v>3.1150000000000002</v>
      </c>
      <c r="IJ43" s="674" t="str" cm="1">
        <f t="array" ref="IJ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K43" s="677" t="str" cm="1">
        <f t="array" ref="IK43">IFERROR(ROUND(VALUE(IF($IJ43&lt;1,$IJ43+LARGE((IF($M$9:$M$150="",0,$M$9:$M$150)-MOD(IF($M$9:$M$150="",0,$M$9:$M$150),1)),1),$IJ43)),4),"")</f>
        <v/>
      </c>
      <c r="IL43" s="482">
        <f t="shared" si="426"/>
        <v>1613</v>
      </c>
      <c r="IM43" s="482" t="str">
        <f t="shared" si="237"/>
        <v/>
      </c>
      <c r="IN43" s="670" t="str">
        <f t="shared" si="427"/>
        <v/>
      </c>
      <c r="IO43" s="702"/>
      <c r="IP43" s="5" t="str">
        <f t="shared" si="428"/>
        <v/>
      </c>
      <c r="IQ43" s="714"/>
      <c r="IR43" s="9" t="str">
        <f t="shared" si="429"/>
        <v/>
      </c>
      <c r="IS43" s="5" t="str">
        <f t="shared" si="430"/>
        <v/>
      </c>
      <c r="IT43" s="5" t="str">
        <f t="shared" si="431"/>
        <v/>
      </c>
      <c r="IU43" s="5" t="str">
        <f t="shared" si="432"/>
        <v/>
      </c>
      <c r="IV43" s="670" t="str">
        <f t="shared" si="433"/>
        <v/>
      </c>
      <c r="IW43" s="9" t="str">
        <f t="shared" si="434"/>
        <v/>
      </c>
      <c r="IX43" s="5" t="str">
        <f t="shared" si="435"/>
        <v/>
      </c>
      <c r="IY43" s="5" t="str">
        <f t="shared" si="436"/>
        <v/>
      </c>
      <c r="IZ43" s="5" t="str">
        <f t="shared" si="437"/>
        <v/>
      </c>
      <c r="JA43" s="705" t="str">
        <f t="shared" si="438"/>
        <v/>
      </c>
    </row>
    <row r="44" spans="1:269" ht="15" customHeight="1" x14ac:dyDescent="0.25">
      <c r="A44" s="75">
        <f t="shared" si="256"/>
        <v>0.02</v>
      </c>
      <c r="B44" s="578">
        <f t="shared" si="257"/>
        <v>3.0898122842562721</v>
      </c>
      <c r="C44" s="572">
        <f t="shared" si="258"/>
        <v>-2.2267452281879905</v>
      </c>
      <c r="D44" s="576">
        <f t="shared" si="259"/>
        <v>-0.26442079518400258</v>
      </c>
      <c r="E44" s="580">
        <f t="shared" si="260"/>
        <v>0.66349206264603788</v>
      </c>
      <c r="F44" s="572">
        <f t="shared" si="261"/>
        <v>0.69931588179575666</v>
      </c>
      <c r="G44" s="579">
        <f t="shared" si="262"/>
        <v>0.26596161428659121</v>
      </c>
      <c r="H44" s="580">
        <f t="shared" si="263"/>
        <v>0.3125</v>
      </c>
      <c r="I44" s="572">
        <f t="shared" si="264"/>
        <v>0.52</v>
      </c>
      <c r="J44" s="483">
        <f t="shared" si="265"/>
        <v>3.121</v>
      </c>
      <c r="K44" s="806">
        <f t="shared" si="266"/>
        <v>1613</v>
      </c>
      <c r="L44" s="309"/>
      <c r="M44" s="164">
        <f t="shared" si="267"/>
        <v>3.121</v>
      </c>
      <c r="N44" s="575">
        <f t="shared" si="268"/>
        <v>3.0898122842562721</v>
      </c>
      <c r="O44" s="572">
        <f t="shared" si="269"/>
        <v>-2.2267452281879905</v>
      </c>
      <c r="P44" s="576">
        <f t="shared" si="270"/>
        <v>-0.26442079518400258</v>
      </c>
      <c r="Q44" s="528">
        <f t="shared" si="140"/>
        <v>324.22071418617651</v>
      </c>
      <c r="R44" s="572">
        <f t="shared" si="439"/>
        <v>3.8085869115984403</v>
      </c>
      <c r="S44" s="577">
        <f t="shared" si="440"/>
        <v>-0.26442079518400258</v>
      </c>
      <c r="T44" s="578">
        <f t="shared" si="441"/>
        <v>-2.2033372184702653</v>
      </c>
      <c r="U44" s="572">
        <f t="shared" si="442"/>
        <v>-3.1065478211195563</v>
      </c>
      <c r="V44" s="579">
        <f t="shared" si="443"/>
        <v>-0.26442079518400258</v>
      </c>
      <c r="W44" s="528">
        <f t="shared" si="253"/>
        <v>234.65360503204749</v>
      </c>
      <c r="X44" s="572">
        <f t="shared" si="444"/>
        <v>3.8085869115984403</v>
      </c>
      <c r="Y44" s="573">
        <f t="shared" si="255"/>
        <v>-0.26442079518400258</v>
      </c>
      <c r="Z44" s="575">
        <f t="shared" si="271"/>
        <v>-0.66349206264603788</v>
      </c>
      <c r="AA44" s="572">
        <f t="shared" si="272"/>
        <v>-0.69931588179575666</v>
      </c>
      <c r="AB44" s="572">
        <f t="shared" si="273"/>
        <v>-0.26596161428659121</v>
      </c>
      <c r="AC44" s="579">
        <f t="shared" si="445"/>
        <v>1</v>
      </c>
      <c r="AD44" s="580">
        <f t="shared" si="446"/>
        <v>-0.66349206264603788</v>
      </c>
      <c r="AE44" s="572">
        <f t="shared" si="447"/>
        <v>-0.69931588179575666</v>
      </c>
      <c r="AF44" s="576">
        <f t="shared" si="448"/>
        <v>-0.26596161428659121</v>
      </c>
      <c r="AG44" s="545">
        <f t="shared" si="449"/>
        <v>-69.177347106232645</v>
      </c>
      <c r="AH44" s="546">
        <f t="shared" si="450"/>
        <v>131.56674428956055</v>
      </c>
      <c r="AI44" s="528">
        <f t="shared" si="451"/>
        <v>-74.575900100982977</v>
      </c>
      <c r="AJ44" s="529">
        <f t="shared" si="452"/>
        <v>-43.494225778483177</v>
      </c>
      <c r="AK44" s="578">
        <f t="shared" si="453"/>
        <v>0.95525786099463983</v>
      </c>
      <c r="AL44" s="572">
        <f t="shared" si="454"/>
        <v>-0.12940957744315412</v>
      </c>
      <c r="AM44" s="577">
        <f t="shared" si="455"/>
        <v>-0.26596161428659121</v>
      </c>
      <c r="AN44" s="524">
        <f t="shared" si="456"/>
        <v>-25.946275176386688</v>
      </c>
      <c r="AO44" s="525">
        <f t="shared" si="116"/>
        <v>17.203971811334654</v>
      </c>
      <c r="AP44" s="528">
        <f t="shared" si="457"/>
        <v>-7.7149399646596661</v>
      </c>
      <c r="AQ44" s="529">
        <f t="shared" si="274"/>
        <v>1.1969767367011592</v>
      </c>
      <c r="AS44" s="932">
        <f t="shared" si="461"/>
        <v>234.65360503204749</v>
      </c>
      <c r="AT44" s="928">
        <f t="shared" si="275"/>
        <v>-9.4053160803176022E-2</v>
      </c>
      <c r="AU44" s="418"/>
      <c r="AV44" s="164" t="str">
        <f t="shared" si="276"/>
        <v/>
      </c>
      <c r="AW44" s="829" t="str">
        <f>IFERROR(INDEX(MassProp!C$9:C$150,MATCH($M44,MassProp!$B$9:$B$150,0)),"")</f>
        <v/>
      </c>
      <c r="AX44" s="830" t="str">
        <f>IFERROR(INDEX(MassProp!D$9:D$150,MATCH($M44,MassProp!$B$9:$B$150,0)),"")</f>
        <v/>
      </c>
      <c r="AY44" s="831" t="str">
        <f>IFERROR(INDEX(MassProp!E$9:E$150,MATCH($M44,MassProp!$B$9:$B$150,0)),"")</f>
        <v/>
      </c>
      <c r="AZ44" s="297" t="str">
        <f t="shared" si="277"/>
        <v/>
      </c>
      <c r="BA44" s="296" t="str">
        <f t="shared" si="278"/>
        <v/>
      </c>
      <c r="BB44" s="190" t="str">
        <f t="shared" si="145"/>
        <v/>
      </c>
      <c r="BC44" s="9"/>
      <c r="BD44" s="5" t="str">
        <f t="shared" si="279"/>
        <v/>
      </c>
      <c r="BE44" s="6" t="str">
        <f t="shared" si="280"/>
        <v/>
      </c>
      <c r="BF44" s="4" t="str">
        <f t="shared" si="281"/>
        <v/>
      </c>
      <c r="BG44" s="5" t="str">
        <f t="shared" si="282"/>
        <v/>
      </c>
      <c r="BH44" s="10" t="str">
        <f t="shared" si="283"/>
        <v/>
      </c>
      <c r="BI44" s="9" t="str">
        <f t="shared" si="284"/>
        <v/>
      </c>
      <c r="BJ44" s="5" t="str">
        <f t="shared" si="285"/>
        <v/>
      </c>
      <c r="BK44" s="8" t="str">
        <f t="shared" si="286"/>
        <v/>
      </c>
      <c r="BL44" s="173" t="str">
        <f t="shared" si="287"/>
        <v/>
      </c>
      <c r="BM44" s="5" t="str">
        <f t="shared" si="288"/>
        <v/>
      </c>
      <c r="BN44" s="6" t="str">
        <f t="shared" si="289"/>
        <v/>
      </c>
      <c r="BO44" s="4" t="str">
        <f t="shared" si="290"/>
        <v/>
      </c>
      <c r="BP44" s="5" t="str">
        <f t="shared" si="239"/>
        <v/>
      </c>
      <c r="BQ44" s="5" t="str">
        <f t="shared" si="291"/>
        <v/>
      </c>
      <c r="BR44" s="6" t="str">
        <f t="shared" si="292"/>
        <v/>
      </c>
      <c r="BS44" s="4" t="str">
        <f t="shared" si="458"/>
        <v/>
      </c>
      <c r="BT44" s="5" t="str">
        <f t="shared" si="458"/>
        <v/>
      </c>
      <c r="BU44" s="10" t="str">
        <f t="shared" si="119"/>
        <v/>
      </c>
      <c r="BV44" s="9" t="str">
        <f t="shared" si="120"/>
        <v/>
      </c>
      <c r="BW44" s="5" t="str">
        <f t="shared" si="121"/>
        <v/>
      </c>
      <c r="BX44" s="8" t="str">
        <f t="shared" si="122"/>
        <v/>
      </c>
      <c r="BY44" s="173" t="str">
        <f t="shared" si="123"/>
        <v/>
      </c>
      <c r="BZ44" s="5" t="str">
        <f t="shared" si="124"/>
        <v/>
      </c>
      <c r="CA44" s="6" t="str">
        <f t="shared" si="125"/>
        <v/>
      </c>
      <c r="CB44" s="4" t="str">
        <f t="shared" si="293"/>
        <v/>
      </c>
      <c r="CC44" s="5" t="str">
        <f t="shared" si="294"/>
        <v/>
      </c>
      <c r="CD44" s="5" t="str">
        <f t="shared" si="295"/>
        <v/>
      </c>
      <c r="CE44" s="6" t="str">
        <f t="shared" si="296"/>
        <v/>
      </c>
      <c r="CF44" s="4" t="str">
        <f t="shared" si="297"/>
        <v/>
      </c>
      <c r="CG44" s="5" t="str">
        <f t="shared" si="298"/>
        <v/>
      </c>
      <c r="CH44" s="5" t="str">
        <f t="shared" si="299"/>
        <v/>
      </c>
      <c r="CI44" s="4" t="str">
        <f t="shared" si="126"/>
        <v/>
      </c>
      <c r="CJ44" s="5" t="str">
        <f t="shared" si="300"/>
        <v/>
      </c>
      <c r="CK44" s="8" t="str">
        <f t="shared" si="301"/>
        <v/>
      </c>
      <c r="CL44" s="173" t="str">
        <f t="shared" si="302"/>
        <v/>
      </c>
      <c r="CM44" s="5" t="str">
        <f t="shared" si="303"/>
        <v/>
      </c>
      <c r="CN44" s="6" t="str">
        <f t="shared" si="304"/>
        <v/>
      </c>
      <c r="CO44" s="167" t="str">
        <f t="shared" si="305"/>
        <v/>
      </c>
      <c r="CP44" s="4" t="str">
        <f t="shared" si="306"/>
        <v/>
      </c>
      <c r="CQ44" s="5" t="str">
        <f t="shared" si="307"/>
        <v/>
      </c>
      <c r="CR44" s="5" t="str">
        <f t="shared" si="308"/>
        <v/>
      </c>
      <c r="CS44" s="8" t="str">
        <f t="shared" si="309"/>
        <v/>
      </c>
      <c r="CT44" s="9" t="str">
        <f t="shared" si="160"/>
        <v/>
      </c>
      <c r="CU44" s="6" t="str">
        <f t="shared" si="310"/>
        <v/>
      </c>
      <c r="CV44" s="4" t="str">
        <f t="shared" si="311"/>
        <v/>
      </c>
      <c r="CW44" s="5" t="str">
        <f t="shared" si="312"/>
        <v/>
      </c>
      <c r="CX44" s="8" t="str">
        <f t="shared" si="313"/>
        <v/>
      </c>
      <c r="CY44" s="9" t="str">
        <f t="shared" si="314"/>
        <v/>
      </c>
      <c r="CZ44" s="5" t="str">
        <f t="shared" si="315"/>
        <v/>
      </c>
      <c r="DA44" s="6" t="str">
        <f t="shared" si="316"/>
        <v/>
      </c>
      <c r="DB44" s="4" t="str">
        <f t="shared" si="462"/>
        <v/>
      </c>
      <c r="DC44" s="5" t="str">
        <f t="shared" si="462"/>
        <v/>
      </c>
      <c r="DD44" s="10" t="str">
        <f t="shared" si="168"/>
        <v/>
      </c>
      <c r="DE44" s="9" t="str">
        <f t="shared" si="463"/>
        <v/>
      </c>
      <c r="DF44" s="5" t="str">
        <f t="shared" si="463"/>
        <v/>
      </c>
      <c r="DG44" s="10" t="str">
        <f t="shared" si="170"/>
        <v/>
      </c>
      <c r="DH44" s="70" t="str">
        <f t="shared" si="317"/>
        <v/>
      </c>
      <c r="DI44" s="4" t="str">
        <f t="shared" si="318"/>
        <v/>
      </c>
      <c r="DJ44" s="5" t="str">
        <f t="shared" si="319"/>
        <v/>
      </c>
      <c r="DK44" s="10" t="str">
        <f t="shared" si="320"/>
        <v/>
      </c>
      <c r="DL44" s="9" t="str">
        <f t="shared" si="321"/>
        <v/>
      </c>
      <c r="DM44" s="173" t="str">
        <f t="shared" si="322"/>
        <v/>
      </c>
      <c r="DN44" s="178" t="str">
        <f t="shared" si="323"/>
        <v/>
      </c>
      <c r="DO44" s="9" t="str">
        <f t="shared" si="324"/>
        <v/>
      </c>
      <c r="DP44" s="173" t="str">
        <f t="shared" si="325"/>
        <v/>
      </c>
      <c r="DQ44" s="11" t="str">
        <f t="shared" si="326"/>
        <v/>
      </c>
      <c r="DR44" s="173" t="str">
        <f t="shared" si="327"/>
        <v/>
      </c>
      <c r="DS44" s="5" t="str">
        <f t="shared" si="328"/>
        <v/>
      </c>
      <c r="DT44" s="5" t="str">
        <f t="shared" si="329"/>
        <v/>
      </c>
      <c r="DU44" s="5" t="str">
        <f t="shared" si="330"/>
        <v/>
      </c>
      <c r="DV44" s="5" t="str">
        <f t="shared" si="331"/>
        <v/>
      </c>
      <c r="DW44" s="5" t="str">
        <f t="shared" si="332"/>
        <v/>
      </c>
      <c r="DX44" s="167" t="str">
        <f t="shared" si="333"/>
        <v/>
      </c>
      <c r="DY44" s="9" t="str">
        <f t="shared" si="334"/>
        <v/>
      </c>
      <c r="DZ44" s="5" t="str">
        <f t="shared" si="335"/>
        <v/>
      </c>
      <c r="EA44" s="10" t="str">
        <f t="shared" si="336"/>
        <v/>
      </c>
      <c r="EB44" s="6" t="str">
        <f t="shared" si="337"/>
        <v/>
      </c>
      <c r="EC44" s="173" t="str">
        <f t="shared" si="338"/>
        <v/>
      </c>
      <c r="ED44" s="5" t="str">
        <f t="shared" si="339"/>
        <v/>
      </c>
      <c r="EE44" s="4" t="str">
        <f t="shared" si="340"/>
        <v/>
      </c>
      <c r="EF44" s="5" t="str">
        <f t="shared" si="341"/>
        <v/>
      </c>
      <c r="EG44" s="10" t="str">
        <f t="shared" si="342"/>
        <v/>
      </c>
      <c r="EH44" s="9" t="str">
        <f t="shared" si="343"/>
        <v/>
      </c>
      <c r="EI44" s="5" t="str">
        <f t="shared" si="344"/>
        <v/>
      </c>
      <c r="EJ44" s="6" t="str">
        <f t="shared" si="345"/>
        <v/>
      </c>
      <c r="EK44" s="236" t="str">
        <f t="shared" si="200"/>
        <v/>
      </c>
      <c r="EL44" s="238" t="str">
        <f t="shared" si="201"/>
        <v/>
      </c>
      <c r="EM44" s="4" t="str">
        <f t="shared" si="346"/>
        <v/>
      </c>
      <c r="EN44" s="5" t="str">
        <f t="shared" si="347"/>
        <v/>
      </c>
      <c r="EO44" s="10" t="str">
        <f t="shared" si="348"/>
        <v/>
      </c>
      <c r="EP44" s="9" t="str">
        <f t="shared" si="349"/>
        <v/>
      </c>
      <c r="EQ44" s="5" t="str">
        <f t="shared" si="350"/>
        <v/>
      </c>
      <c r="ER44" s="7" t="str">
        <f t="shared" si="351"/>
        <v/>
      </c>
      <c r="ES44" s="21" t="str">
        <f t="shared" si="352"/>
        <v/>
      </c>
      <c r="ET44" s="5" t="str">
        <f t="shared" si="353"/>
        <v/>
      </c>
      <c r="EU44" s="10" t="str">
        <f t="shared" si="354"/>
        <v/>
      </c>
      <c r="EV44" s="174" t="str">
        <f t="shared" si="355"/>
        <v/>
      </c>
      <c r="EW44" s="9" t="str">
        <f t="shared" si="356"/>
        <v/>
      </c>
      <c r="EX44" s="5" t="str">
        <f t="shared" si="357"/>
        <v/>
      </c>
      <c r="EY44" s="6" t="str">
        <f t="shared" si="358"/>
        <v/>
      </c>
      <c r="EZ44" s="51" t="str">
        <f t="shared" si="209"/>
        <v/>
      </c>
      <c r="FA44" s="266" t="str">
        <f t="shared" si="134"/>
        <v/>
      </c>
      <c r="FB44" s="267" t="str">
        <f t="shared" si="135"/>
        <v/>
      </c>
      <c r="FC44" s="269" t="str">
        <f t="shared" si="48"/>
        <v/>
      </c>
      <c r="FD44" s="4" t="str">
        <f t="shared" si="359"/>
        <v/>
      </c>
      <c r="FE44" s="5" t="str">
        <f t="shared" si="360"/>
        <v/>
      </c>
      <c r="FF44" s="7" t="str">
        <f t="shared" si="361"/>
        <v/>
      </c>
      <c r="FG44" s="173" t="str">
        <f t="shared" si="362"/>
        <v/>
      </c>
      <c r="FH44" s="5" t="str">
        <f t="shared" si="363"/>
        <v/>
      </c>
      <c r="FI44" s="10" t="str">
        <f t="shared" si="364"/>
        <v/>
      </c>
      <c r="FJ44" s="279" t="str">
        <f t="shared" si="365"/>
        <v/>
      </c>
      <c r="FK44" s="4" t="str">
        <f t="shared" si="366"/>
        <v/>
      </c>
      <c r="FL44" s="5" t="str">
        <f t="shared" si="367"/>
        <v/>
      </c>
      <c r="FM44" s="8" t="str">
        <f t="shared" si="368"/>
        <v/>
      </c>
      <c r="FN44" s="9" t="str">
        <f t="shared" si="369"/>
        <v/>
      </c>
      <c r="FO44" s="10" t="str">
        <f t="shared" si="370"/>
        <v/>
      </c>
      <c r="FP44" s="277" t="str">
        <f t="shared" si="371"/>
        <v/>
      </c>
      <c r="FQ44" s="173" t="str">
        <f t="shared" si="372"/>
        <v/>
      </c>
      <c r="FR44" s="10" t="str">
        <f t="shared" si="373"/>
        <v/>
      </c>
      <c r="FS44" s="9" t="str">
        <f t="shared" si="374"/>
        <v/>
      </c>
      <c r="FT44" s="6" t="str">
        <f t="shared" si="375"/>
        <v/>
      </c>
      <c r="FU44" s="4" t="str">
        <f t="shared" si="376"/>
        <v/>
      </c>
      <c r="FV44" s="5" t="str">
        <f t="shared" si="377"/>
        <v/>
      </c>
      <c r="FW44" s="8" t="str">
        <f t="shared" si="378"/>
        <v/>
      </c>
      <c r="FX44" s="9" t="str">
        <f t="shared" si="379"/>
        <v/>
      </c>
      <c r="FY44" s="10" t="str">
        <f t="shared" si="380"/>
        <v/>
      </c>
      <c r="FZ44" s="277" t="str">
        <f t="shared" si="381"/>
        <v/>
      </c>
      <c r="GA44" s="177" t="str">
        <f t="shared" si="382"/>
        <v/>
      </c>
      <c r="GB44" s="4" t="str">
        <f t="shared" si="383"/>
        <v/>
      </c>
      <c r="GC44" s="5" t="str">
        <f t="shared" si="384"/>
        <v/>
      </c>
      <c r="GD44" s="10" t="str">
        <f t="shared" si="385"/>
        <v/>
      </c>
      <c r="GE44" s="311" t="str">
        <f t="shared" si="386"/>
        <v/>
      </c>
      <c r="GF44" s="341" t="str">
        <f t="shared" si="387"/>
        <v/>
      </c>
      <c r="GG44" s="285" t="str">
        <f t="shared" si="388"/>
        <v/>
      </c>
      <c r="GH44" s="286" t="str">
        <f t="shared" si="389"/>
        <v/>
      </c>
      <c r="GI44" s="281" t="str">
        <f t="shared" si="390"/>
        <v/>
      </c>
      <c r="GJ44" s="167" t="str">
        <f t="shared" si="391"/>
        <v/>
      </c>
      <c r="GK44" s="174" t="str">
        <f t="shared" si="59"/>
        <v/>
      </c>
      <c r="GL44" s="174" t="str">
        <f t="shared" si="392"/>
        <v/>
      </c>
      <c r="GM44" s="177" t="str">
        <f t="shared" si="393"/>
        <v/>
      </c>
      <c r="GN44" s="280" t="str">
        <f t="shared" si="394"/>
        <v/>
      </c>
      <c r="GO44" s="4" t="str">
        <f t="shared" si="395"/>
        <v/>
      </c>
      <c r="GP44" s="8" t="str">
        <f t="shared" si="396"/>
        <v/>
      </c>
      <c r="GQ44" s="177" t="str">
        <f t="shared" si="397"/>
        <v/>
      </c>
      <c r="GR44" s="371" t="str">
        <f t="shared" si="398"/>
        <v/>
      </c>
      <c r="GS44" s="342" t="str">
        <f t="shared" si="399"/>
        <v/>
      </c>
      <c r="GT44" s="343" t="str">
        <f t="shared" si="400"/>
        <v/>
      </c>
      <c r="GU44" s="344" t="str">
        <f t="shared" si="63"/>
        <v/>
      </c>
      <c r="GV44" s="343" t="str">
        <f t="shared" si="401"/>
        <v/>
      </c>
      <c r="GW44" s="345" t="str">
        <f t="shared" si="64"/>
        <v/>
      </c>
      <c r="GX44" s="346" t="str">
        <f t="shared" si="65"/>
        <v/>
      </c>
      <c r="GY44" s="344" t="str">
        <f t="shared" si="402"/>
        <v/>
      </c>
      <c r="GZ44" s="345" t="str">
        <f t="shared" si="403"/>
        <v/>
      </c>
      <c r="HA44" s="342" t="str">
        <f t="shared" si="68"/>
        <v/>
      </c>
      <c r="HB44" s="5" t="str">
        <f t="shared" si="231"/>
        <v/>
      </c>
      <c r="HC44" s="343" t="str">
        <f t="shared" si="404"/>
        <v/>
      </c>
      <c r="HD44" s="345" t="str">
        <f t="shared" si="405"/>
        <v/>
      </c>
      <c r="HE44" s="344" t="str">
        <f t="shared" si="69"/>
        <v/>
      </c>
      <c r="HF44" s="5" t="str">
        <f t="shared" si="70"/>
        <v/>
      </c>
      <c r="HG44" s="343" t="str">
        <f t="shared" si="406"/>
        <v/>
      </c>
      <c r="HH44" s="349" t="str">
        <f t="shared" si="407"/>
        <v/>
      </c>
      <c r="HI44" s="317" t="str">
        <f t="shared" si="408"/>
        <v/>
      </c>
      <c r="HJ44" s="336"/>
      <c r="HK44" s="310" t="str">
        <f t="shared" si="459"/>
        <v/>
      </c>
      <c r="HL44" s="348" t="str">
        <f t="shared" si="409"/>
        <v/>
      </c>
      <c r="HM44" s="909" t="str">
        <f t="shared" si="410"/>
        <v/>
      </c>
      <c r="HN44" s="910" t="str">
        <f t="shared" si="411"/>
        <v/>
      </c>
      <c r="HO44" s="911"/>
      <c r="HP44" s="912"/>
      <c r="HQ44" s="910" t="str">
        <f t="shared" si="412"/>
        <v/>
      </c>
      <c r="HR44" s="913" t="str">
        <f t="shared" si="413"/>
        <v/>
      </c>
      <c r="HS44" s="865" t="str">
        <f t="shared" si="460"/>
        <v/>
      </c>
      <c r="HT44" s="875" t="str">
        <f t="shared" si="414"/>
        <v/>
      </c>
      <c r="HU44" s="876" t="str">
        <f t="shared" si="415"/>
        <v/>
      </c>
      <c r="HV44" s="872" t="str">
        <f t="shared" si="416"/>
        <v/>
      </c>
      <c r="HW44" s="866" t="str">
        <f t="shared" si="417"/>
        <v/>
      </c>
      <c r="HX44" s="867" t="str">
        <f t="shared" si="418"/>
        <v/>
      </c>
      <c r="HY44" s="866" t="str">
        <f t="shared" si="419"/>
        <v/>
      </c>
      <c r="HZ44" s="868" t="str">
        <f t="shared" si="420"/>
        <v/>
      </c>
      <c r="IA44" s="869" t="str">
        <f t="shared" si="421"/>
        <v/>
      </c>
      <c r="IB44" s="870" t="str">
        <f t="shared" si="422"/>
        <v/>
      </c>
      <c r="IC44" s="841" t="str">
        <f t="shared" si="423"/>
        <v/>
      </c>
      <c r="ID44" s="351" t="str">
        <f t="shared" si="424"/>
        <v/>
      </c>
      <c r="IE44" s="843" t="str">
        <f t="shared" si="425"/>
        <v/>
      </c>
      <c r="IF44" s="844"/>
      <c r="IG44" s="790" t="str">
        <f>IFERROR(IF($IW44="","",IF($IW44&lt;(((Settings!$C$19/2)*-1)*$IG$8),"Taper","Nose")),"")</f>
        <v/>
      </c>
      <c r="IH44" s="482" t="str">
        <f>IFERROR(IF((((($IY44*COS(RADIANS(180-$JA44)))*COS(RADIANS($JA44)))-(($IZ44*SIN(RADIANS(180-$JA44)))*SIN(RADIANS($JA44))))+$IW44)&lt;(((Settings!$C$19+$IH$8)/2)*-1),"Gage",""),"")</f>
        <v/>
      </c>
      <c r="II44" s="788">
        <f t="shared" si="236"/>
        <v>3.121</v>
      </c>
      <c r="IJ44" s="674" t="str" cm="1">
        <f t="array" ref="IJ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K44" s="677" t="str" cm="1">
        <f t="array" ref="IK44">IFERROR(ROUND(VALUE(IF($IJ44&lt;1,$IJ44+LARGE((IF($M$9:$M$150="",0,$M$9:$M$150)-MOD(IF($M$9:$M$150="",0,$M$9:$M$150),1)),1),$IJ44)),4),"")</f>
        <v/>
      </c>
      <c r="IL44" s="482">
        <f t="shared" si="426"/>
        <v>1613</v>
      </c>
      <c r="IM44" s="482" t="str">
        <f t="shared" si="237"/>
        <v/>
      </c>
      <c r="IN44" s="670" t="str">
        <f t="shared" si="427"/>
        <v/>
      </c>
      <c r="IO44" s="702"/>
      <c r="IP44" s="5" t="str">
        <f t="shared" si="428"/>
        <v/>
      </c>
      <c r="IQ44" s="714"/>
      <c r="IR44" s="9" t="str">
        <f t="shared" si="429"/>
        <v/>
      </c>
      <c r="IS44" s="5" t="str">
        <f t="shared" si="430"/>
        <v/>
      </c>
      <c r="IT44" s="5" t="str">
        <f t="shared" si="431"/>
        <v/>
      </c>
      <c r="IU44" s="5" t="str">
        <f t="shared" si="432"/>
        <v/>
      </c>
      <c r="IV44" s="670" t="str">
        <f t="shared" si="433"/>
        <v/>
      </c>
      <c r="IW44" s="9" t="str">
        <f t="shared" si="434"/>
        <v/>
      </c>
      <c r="IX44" s="5" t="str">
        <f t="shared" si="435"/>
        <v/>
      </c>
      <c r="IY44" s="5" t="str">
        <f t="shared" si="436"/>
        <v/>
      </c>
      <c r="IZ44" s="5" t="str">
        <f t="shared" si="437"/>
        <v/>
      </c>
      <c r="JA44" s="705" t="str">
        <f t="shared" si="438"/>
        <v/>
      </c>
    </row>
    <row r="45" spans="1:269" ht="15" customHeight="1" x14ac:dyDescent="0.25">
      <c r="A45" s="75">
        <f t="shared" si="256"/>
        <v>0.02</v>
      </c>
      <c r="B45" s="578">
        <f t="shared" si="257"/>
        <v>3.5640959516175146</v>
      </c>
      <c r="C45" s="572">
        <f t="shared" si="258"/>
        <v>-2.6348770761623923</v>
      </c>
      <c r="D45" s="576">
        <f t="shared" si="259"/>
        <v>-0.70993288521304942</v>
      </c>
      <c r="E45" s="580">
        <f t="shared" si="260"/>
        <v>0.75861937676280589</v>
      </c>
      <c r="F45" s="572">
        <f t="shared" si="261"/>
        <v>0.59894860257996829</v>
      </c>
      <c r="G45" s="579">
        <f t="shared" si="262"/>
        <v>0.25643169201078753</v>
      </c>
      <c r="H45" s="580">
        <f t="shared" si="263"/>
        <v>0.3125</v>
      </c>
      <c r="I45" s="572">
        <f t="shared" si="264"/>
        <v>0.52</v>
      </c>
      <c r="J45" s="483">
        <f t="shared" si="265"/>
        <v>3.1269999999999998</v>
      </c>
      <c r="K45" s="806">
        <f t="shared" si="266"/>
        <v>1613</v>
      </c>
      <c r="L45" s="309"/>
      <c r="M45" s="164">
        <f t="shared" si="267"/>
        <v>3.1269999999999998</v>
      </c>
      <c r="N45" s="575">
        <f t="shared" si="268"/>
        <v>3.5640959516175146</v>
      </c>
      <c r="O45" s="572">
        <f t="shared" si="269"/>
        <v>-2.6348770761623923</v>
      </c>
      <c r="P45" s="576">
        <f t="shared" si="270"/>
        <v>-0.70993288521304942</v>
      </c>
      <c r="Q45" s="528">
        <f t="shared" si="140"/>
        <v>323.52509711100396</v>
      </c>
      <c r="R45" s="572">
        <f t="shared" si="439"/>
        <v>4.4323083330046469</v>
      </c>
      <c r="S45" s="577">
        <f t="shared" si="440"/>
        <v>-0.70993288521304942</v>
      </c>
      <c r="T45" s="578">
        <f t="shared" si="441"/>
        <v>-2.6078740629110668</v>
      </c>
      <c r="U45" s="572">
        <f t="shared" si="442"/>
        <v>-3.5839015096425513</v>
      </c>
      <c r="V45" s="579">
        <f t="shared" si="443"/>
        <v>-0.70993288521304942</v>
      </c>
      <c r="W45" s="528">
        <f t="shared" si="253"/>
        <v>233.95798795687494</v>
      </c>
      <c r="X45" s="572">
        <f t="shared" si="444"/>
        <v>4.4323083330046469</v>
      </c>
      <c r="Y45" s="573">
        <f t="shared" si="255"/>
        <v>-0.70993288521304942</v>
      </c>
      <c r="Z45" s="575">
        <f t="shared" si="271"/>
        <v>-0.75861937676280589</v>
      </c>
      <c r="AA45" s="572">
        <f t="shared" si="272"/>
        <v>-0.59894860257996829</v>
      </c>
      <c r="AB45" s="572">
        <f t="shared" si="273"/>
        <v>-0.25643169201078753</v>
      </c>
      <c r="AC45" s="579">
        <f t="shared" si="445"/>
        <v>1</v>
      </c>
      <c r="AD45" s="580">
        <f t="shared" si="446"/>
        <v>-0.75861937676280589</v>
      </c>
      <c r="AE45" s="572">
        <f t="shared" si="447"/>
        <v>-0.59894860257996829</v>
      </c>
      <c r="AF45" s="576">
        <f t="shared" si="448"/>
        <v>-0.25643169201078753</v>
      </c>
      <c r="AG45" s="545">
        <f t="shared" si="449"/>
        <v>-66.822470908771464</v>
      </c>
      <c r="AH45" s="546">
        <f t="shared" si="450"/>
        <v>139.3426359063667</v>
      </c>
      <c r="AI45" s="528">
        <f t="shared" si="451"/>
        <v>-75.141563801587964</v>
      </c>
      <c r="AJ45" s="529">
        <f t="shared" si="452"/>
        <v>-51.708042371760996</v>
      </c>
      <c r="AK45" s="578">
        <f t="shared" si="453"/>
        <v>0.93260188246989839</v>
      </c>
      <c r="AL45" s="572">
        <f t="shared" si="454"/>
        <v>-0.25396164306069269</v>
      </c>
      <c r="AM45" s="577">
        <f t="shared" si="455"/>
        <v>-0.25643169201078753</v>
      </c>
      <c r="AN45" s="524">
        <f t="shared" si="456"/>
        <v>-44.722719194276351</v>
      </c>
      <c r="AO45" s="525">
        <f t="shared" si="116"/>
        <v>21.155897053638178</v>
      </c>
      <c r="AP45" s="528">
        <f t="shared" si="457"/>
        <v>-15.233139482764946</v>
      </c>
      <c r="AQ45" s="529">
        <f t="shared" si="274"/>
        <v>1.0285754309337198</v>
      </c>
      <c r="AS45" s="932">
        <f t="shared" si="461"/>
        <v>233.95798795687494</v>
      </c>
      <c r="AT45" s="928">
        <f t="shared" si="275"/>
        <v>-0.53859911600559429</v>
      </c>
      <c r="AU45" s="418"/>
      <c r="AV45" s="164" t="str">
        <f t="shared" si="276"/>
        <v/>
      </c>
      <c r="AW45" s="829" t="str">
        <f>IFERROR(INDEX(MassProp!C$9:C$150,MATCH($M45,MassProp!$B$9:$B$150,0)),"")</f>
        <v/>
      </c>
      <c r="AX45" s="830" t="str">
        <f>IFERROR(INDEX(MassProp!D$9:D$150,MATCH($M45,MassProp!$B$9:$B$150,0)),"")</f>
        <v/>
      </c>
      <c r="AY45" s="831" t="str">
        <f>IFERROR(INDEX(MassProp!E$9:E$150,MATCH($M45,MassProp!$B$9:$B$150,0)),"")</f>
        <v/>
      </c>
      <c r="AZ45" s="297" t="str">
        <f t="shared" si="277"/>
        <v/>
      </c>
      <c r="BA45" s="296" t="str">
        <f t="shared" si="278"/>
        <v/>
      </c>
      <c r="BB45" s="190" t="str">
        <f t="shared" si="145"/>
        <v/>
      </c>
      <c r="BC45" s="9"/>
      <c r="BD45" s="5" t="str">
        <f t="shared" si="279"/>
        <v/>
      </c>
      <c r="BE45" s="6" t="str">
        <f t="shared" si="280"/>
        <v/>
      </c>
      <c r="BF45" s="4" t="str">
        <f t="shared" si="281"/>
        <v/>
      </c>
      <c r="BG45" s="5" t="str">
        <f t="shared" si="282"/>
        <v/>
      </c>
      <c r="BH45" s="10" t="str">
        <f t="shared" si="283"/>
        <v/>
      </c>
      <c r="BI45" s="9" t="str">
        <f t="shared" si="284"/>
        <v/>
      </c>
      <c r="BJ45" s="5" t="str">
        <f t="shared" si="285"/>
        <v/>
      </c>
      <c r="BK45" s="8" t="str">
        <f t="shared" si="286"/>
        <v/>
      </c>
      <c r="BL45" s="173" t="str">
        <f t="shared" si="287"/>
        <v/>
      </c>
      <c r="BM45" s="5" t="str">
        <f t="shared" si="288"/>
        <v/>
      </c>
      <c r="BN45" s="6" t="str">
        <f t="shared" si="289"/>
        <v/>
      </c>
      <c r="BO45" s="4" t="str">
        <f t="shared" si="290"/>
        <v/>
      </c>
      <c r="BP45" s="5" t="str">
        <f t="shared" si="239"/>
        <v/>
      </c>
      <c r="BQ45" s="5" t="str">
        <f t="shared" si="291"/>
        <v/>
      </c>
      <c r="BR45" s="6" t="str">
        <f t="shared" si="292"/>
        <v/>
      </c>
      <c r="BS45" s="4" t="str">
        <f t="shared" si="458"/>
        <v/>
      </c>
      <c r="BT45" s="5" t="str">
        <f t="shared" si="458"/>
        <v/>
      </c>
      <c r="BU45" s="10" t="str">
        <f t="shared" si="119"/>
        <v/>
      </c>
      <c r="BV45" s="9" t="str">
        <f t="shared" si="120"/>
        <v/>
      </c>
      <c r="BW45" s="5" t="str">
        <f t="shared" si="121"/>
        <v/>
      </c>
      <c r="BX45" s="8" t="str">
        <f t="shared" si="122"/>
        <v/>
      </c>
      <c r="BY45" s="173" t="str">
        <f t="shared" si="123"/>
        <v/>
      </c>
      <c r="BZ45" s="5" t="str">
        <f t="shared" si="124"/>
        <v/>
      </c>
      <c r="CA45" s="6" t="str">
        <f t="shared" si="125"/>
        <v/>
      </c>
      <c r="CB45" s="4" t="str">
        <f t="shared" si="293"/>
        <v/>
      </c>
      <c r="CC45" s="5" t="str">
        <f t="shared" si="294"/>
        <v/>
      </c>
      <c r="CD45" s="5" t="str">
        <f t="shared" si="295"/>
        <v/>
      </c>
      <c r="CE45" s="6" t="str">
        <f t="shared" si="296"/>
        <v/>
      </c>
      <c r="CF45" s="4" t="str">
        <f t="shared" si="297"/>
        <v/>
      </c>
      <c r="CG45" s="5" t="str">
        <f t="shared" si="298"/>
        <v/>
      </c>
      <c r="CH45" s="5" t="str">
        <f t="shared" si="299"/>
        <v/>
      </c>
      <c r="CI45" s="4" t="str">
        <f t="shared" si="126"/>
        <v/>
      </c>
      <c r="CJ45" s="5" t="str">
        <f t="shared" si="300"/>
        <v/>
      </c>
      <c r="CK45" s="8" t="str">
        <f t="shared" si="301"/>
        <v/>
      </c>
      <c r="CL45" s="173" t="str">
        <f t="shared" si="302"/>
        <v/>
      </c>
      <c r="CM45" s="5" t="str">
        <f t="shared" si="303"/>
        <v/>
      </c>
      <c r="CN45" s="6" t="str">
        <f t="shared" si="304"/>
        <v/>
      </c>
      <c r="CO45" s="167" t="str">
        <f t="shared" si="305"/>
        <v/>
      </c>
      <c r="CP45" s="4" t="str">
        <f t="shared" si="306"/>
        <v/>
      </c>
      <c r="CQ45" s="5" t="str">
        <f t="shared" si="307"/>
        <v/>
      </c>
      <c r="CR45" s="5" t="str">
        <f t="shared" si="308"/>
        <v/>
      </c>
      <c r="CS45" s="8" t="str">
        <f t="shared" si="309"/>
        <v/>
      </c>
      <c r="CT45" s="9" t="str">
        <f t="shared" si="160"/>
        <v/>
      </c>
      <c r="CU45" s="6" t="str">
        <f t="shared" si="310"/>
        <v/>
      </c>
      <c r="CV45" s="4" t="str">
        <f t="shared" si="311"/>
        <v/>
      </c>
      <c r="CW45" s="5" t="str">
        <f t="shared" si="312"/>
        <v/>
      </c>
      <c r="CX45" s="8" t="str">
        <f t="shared" si="313"/>
        <v/>
      </c>
      <c r="CY45" s="9" t="str">
        <f t="shared" si="314"/>
        <v/>
      </c>
      <c r="CZ45" s="5" t="str">
        <f t="shared" si="315"/>
        <v/>
      </c>
      <c r="DA45" s="6" t="str">
        <f t="shared" si="316"/>
        <v/>
      </c>
      <c r="DB45" s="4" t="str">
        <f t="shared" si="462"/>
        <v/>
      </c>
      <c r="DC45" s="5" t="str">
        <f t="shared" si="462"/>
        <v/>
      </c>
      <c r="DD45" s="10" t="str">
        <f t="shared" si="168"/>
        <v/>
      </c>
      <c r="DE45" s="9" t="str">
        <f t="shared" si="463"/>
        <v/>
      </c>
      <c r="DF45" s="5" t="str">
        <f t="shared" si="463"/>
        <v/>
      </c>
      <c r="DG45" s="10" t="str">
        <f t="shared" si="170"/>
        <v/>
      </c>
      <c r="DH45" s="70" t="str">
        <f t="shared" si="317"/>
        <v/>
      </c>
      <c r="DI45" s="4" t="str">
        <f t="shared" si="318"/>
        <v/>
      </c>
      <c r="DJ45" s="5" t="str">
        <f t="shared" si="319"/>
        <v/>
      </c>
      <c r="DK45" s="10" t="str">
        <f t="shared" si="320"/>
        <v/>
      </c>
      <c r="DL45" s="9" t="str">
        <f t="shared" si="321"/>
        <v/>
      </c>
      <c r="DM45" s="173" t="str">
        <f t="shared" si="322"/>
        <v/>
      </c>
      <c r="DN45" s="178" t="str">
        <f t="shared" si="323"/>
        <v/>
      </c>
      <c r="DO45" s="9" t="str">
        <f t="shared" si="324"/>
        <v/>
      </c>
      <c r="DP45" s="173" t="str">
        <f t="shared" si="325"/>
        <v/>
      </c>
      <c r="DQ45" s="11" t="str">
        <f t="shared" si="326"/>
        <v/>
      </c>
      <c r="DR45" s="173" t="str">
        <f t="shared" si="327"/>
        <v/>
      </c>
      <c r="DS45" s="5" t="str">
        <f t="shared" si="328"/>
        <v/>
      </c>
      <c r="DT45" s="5" t="str">
        <f t="shared" si="329"/>
        <v/>
      </c>
      <c r="DU45" s="5" t="str">
        <f t="shared" si="330"/>
        <v/>
      </c>
      <c r="DV45" s="5" t="str">
        <f t="shared" si="331"/>
        <v/>
      </c>
      <c r="DW45" s="5" t="str">
        <f t="shared" si="332"/>
        <v/>
      </c>
      <c r="DX45" s="167" t="str">
        <f t="shared" si="333"/>
        <v/>
      </c>
      <c r="DY45" s="9" t="str">
        <f t="shared" si="334"/>
        <v/>
      </c>
      <c r="DZ45" s="5" t="str">
        <f t="shared" si="335"/>
        <v/>
      </c>
      <c r="EA45" s="10" t="str">
        <f t="shared" si="336"/>
        <v/>
      </c>
      <c r="EB45" s="6" t="str">
        <f t="shared" si="337"/>
        <v/>
      </c>
      <c r="EC45" s="173" t="str">
        <f t="shared" si="338"/>
        <v/>
      </c>
      <c r="ED45" s="5" t="str">
        <f t="shared" si="339"/>
        <v/>
      </c>
      <c r="EE45" s="4" t="str">
        <f t="shared" si="340"/>
        <v/>
      </c>
      <c r="EF45" s="5" t="str">
        <f t="shared" si="341"/>
        <v/>
      </c>
      <c r="EG45" s="10" t="str">
        <f t="shared" si="342"/>
        <v/>
      </c>
      <c r="EH45" s="9" t="str">
        <f t="shared" si="343"/>
        <v/>
      </c>
      <c r="EI45" s="5" t="str">
        <f t="shared" si="344"/>
        <v/>
      </c>
      <c r="EJ45" s="6" t="str">
        <f t="shared" si="345"/>
        <v/>
      </c>
      <c r="EK45" s="236" t="str">
        <f t="shared" si="200"/>
        <v/>
      </c>
      <c r="EL45" s="238" t="str">
        <f t="shared" si="201"/>
        <v/>
      </c>
      <c r="EM45" s="4" t="str">
        <f t="shared" si="346"/>
        <v/>
      </c>
      <c r="EN45" s="5" t="str">
        <f t="shared" si="347"/>
        <v/>
      </c>
      <c r="EO45" s="10" t="str">
        <f t="shared" si="348"/>
        <v/>
      </c>
      <c r="EP45" s="9" t="str">
        <f t="shared" si="349"/>
        <v/>
      </c>
      <c r="EQ45" s="5" t="str">
        <f t="shared" si="350"/>
        <v/>
      </c>
      <c r="ER45" s="7" t="str">
        <f t="shared" si="351"/>
        <v/>
      </c>
      <c r="ES45" s="21" t="str">
        <f t="shared" si="352"/>
        <v/>
      </c>
      <c r="ET45" s="5" t="str">
        <f t="shared" si="353"/>
        <v/>
      </c>
      <c r="EU45" s="10" t="str">
        <f t="shared" si="354"/>
        <v/>
      </c>
      <c r="EV45" s="174" t="str">
        <f t="shared" si="355"/>
        <v/>
      </c>
      <c r="EW45" s="9" t="str">
        <f t="shared" si="356"/>
        <v/>
      </c>
      <c r="EX45" s="5" t="str">
        <f t="shared" si="357"/>
        <v/>
      </c>
      <c r="EY45" s="6" t="str">
        <f t="shared" si="358"/>
        <v/>
      </c>
      <c r="EZ45" s="51" t="str">
        <f t="shared" si="209"/>
        <v/>
      </c>
      <c r="FA45" s="266" t="str">
        <f t="shared" si="134"/>
        <v/>
      </c>
      <c r="FB45" s="267" t="str">
        <f t="shared" si="135"/>
        <v/>
      </c>
      <c r="FC45" s="269" t="str">
        <f t="shared" si="48"/>
        <v/>
      </c>
      <c r="FD45" s="4" t="str">
        <f t="shared" si="359"/>
        <v/>
      </c>
      <c r="FE45" s="5" t="str">
        <f t="shared" si="360"/>
        <v/>
      </c>
      <c r="FF45" s="7" t="str">
        <f t="shared" si="361"/>
        <v/>
      </c>
      <c r="FG45" s="173" t="str">
        <f t="shared" si="362"/>
        <v/>
      </c>
      <c r="FH45" s="5" t="str">
        <f t="shared" si="363"/>
        <v/>
      </c>
      <c r="FI45" s="10" t="str">
        <f t="shared" si="364"/>
        <v/>
      </c>
      <c r="FJ45" s="279" t="str">
        <f t="shared" si="365"/>
        <v/>
      </c>
      <c r="FK45" s="4" t="str">
        <f t="shared" si="366"/>
        <v/>
      </c>
      <c r="FL45" s="5" t="str">
        <f t="shared" si="367"/>
        <v/>
      </c>
      <c r="FM45" s="8" t="str">
        <f t="shared" si="368"/>
        <v/>
      </c>
      <c r="FN45" s="9" t="str">
        <f t="shared" si="369"/>
        <v/>
      </c>
      <c r="FO45" s="10" t="str">
        <f t="shared" si="370"/>
        <v/>
      </c>
      <c r="FP45" s="277" t="str">
        <f t="shared" si="371"/>
        <v/>
      </c>
      <c r="FQ45" s="173" t="str">
        <f t="shared" si="372"/>
        <v/>
      </c>
      <c r="FR45" s="10" t="str">
        <f t="shared" si="373"/>
        <v/>
      </c>
      <c r="FS45" s="9" t="str">
        <f t="shared" si="374"/>
        <v/>
      </c>
      <c r="FT45" s="6" t="str">
        <f t="shared" si="375"/>
        <v/>
      </c>
      <c r="FU45" s="4" t="str">
        <f t="shared" si="376"/>
        <v/>
      </c>
      <c r="FV45" s="5" t="str">
        <f t="shared" si="377"/>
        <v/>
      </c>
      <c r="FW45" s="8" t="str">
        <f t="shared" si="378"/>
        <v/>
      </c>
      <c r="FX45" s="9" t="str">
        <f t="shared" si="379"/>
        <v/>
      </c>
      <c r="FY45" s="10" t="str">
        <f t="shared" si="380"/>
        <v/>
      </c>
      <c r="FZ45" s="277" t="str">
        <f t="shared" si="381"/>
        <v/>
      </c>
      <c r="GA45" s="177" t="str">
        <f t="shared" si="382"/>
        <v/>
      </c>
      <c r="GB45" s="4" t="str">
        <f t="shared" si="383"/>
        <v/>
      </c>
      <c r="GC45" s="5" t="str">
        <f t="shared" si="384"/>
        <v/>
      </c>
      <c r="GD45" s="10" t="str">
        <f t="shared" si="385"/>
        <v/>
      </c>
      <c r="GE45" s="311" t="str">
        <f t="shared" si="386"/>
        <v/>
      </c>
      <c r="GF45" s="341" t="str">
        <f t="shared" si="387"/>
        <v/>
      </c>
      <c r="GG45" s="285" t="str">
        <f t="shared" si="388"/>
        <v/>
      </c>
      <c r="GH45" s="286" t="str">
        <f t="shared" si="389"/>
        <v/>
      </c>
      <c r="GI45" s="281" t="str">
        <f t="shared" si="390"/>
        <v/>
      </c>
      <c r="GJ45" s="167" t="str">
        <f t="shared" si="391"/>
        <v/>
      </c>
      <c r="GK45" s="174" t="str">
        <f t="shared" si="59"/>
        <v/>
      </c>
      <c r="GL45" s="174" t="str">
        <f t="shared" si="392"/>
        <v/>
      </c>
      <c r="GM45" s="177" t="str">
        <f t="shared" si="393"/>
        <v/>
      </c>
      <c r="GN45" s="280" t="str">
        <f t="shared" si="394"/>
        <v/>
      </c>
      <c r="GO45" s="4" t="str">
        <f t="shared" si="395"/>
        <v/>
      </c>
      <c r="GP45" s="8" t="str">
        <f t="shared" si="396"/>
        <v/>
      </c>
      <c r="GQ45" s="177" t="str">
        <f t="shared" si="397"/>
        <v/>
      </c>
      <c r="GR45" s="371" t="str">
        <f t="shared" si="398"/>
        <v/>
      </c>
      <c r="GS45" s="342" t="str">
        <f t="shared" si="399"/>
        <v/>
      </c>
      <c r="GT45" s="343" t="str">
        <f t="shared" si="400"/>
        <v/>
      </c>
      <c r="GU45" s="344" t="str">
        <f t="shared" si="63"/>
        <v/>
      </c>
      <c r="GV45" s="343" t="str">
        <f t="shared" si="401"/>
        <v/>
      </c>
      <c r="GW45" s="345" t="str">
        <f t="shared" si="64"/>
        <v/>
      </c>
      <c r="GX45" s="346" t="str">
        <f t="shared" si="65"/>
        <v/>
      </c>
      <c r="GY45" s="344" t="str">
        <f t="shared" si="402"/>
        <v/>
      </c>
      <c r="GZ45" s="345" t="str">
        <f t="shared" si="403"/>
        <v/>
      </c>
      <c r="HA45" s="342" t="str">
        <f t="shared" si="68"/>
        <v/>
      </c>
      <c r="HB45" s="5" t="str">
        <f t="shared" si="231"/>
        <v/>
      </c>
      <c r="HC45" s="343" t="str">
        <f t="shared" si="404"/>
        <v/>
      </c>
      <c r="HD45" s="345" t="str">
        <f t="shared" si="405"/>
        <v/>
      </c>
      <c r="HE45" s="344" t="str">
        <f t="shared" si="69"/>
        <v/>
      </c>
      <c r="HF45" s="5" t="str">
        <f t="shared" si="70"/>
        <v/>
      </c>
      <c r="HG45" s="343" t="str">
        <f t="shared" si="406"/>
        <v/>
      </c>
      <c r="HH45" s="349" t="str">
        <f t="shared" si="407"/>
        <v/>
      </c>
      <c r="HI45" s="317" t="str">
        <f t="shared" si="408"/>
        <v/>
      </c>
      <c r="HJ45" s="336"/>
      <c r="HK45" s="310" t="str">
        <f t="shared" si="459"/>
        <v/>
      </c>
      <c r="HL45" s="348" t="str">
        <f t="shared" si="409"/>
        <v/>
      </c>
      <c r="HM45" s="909" t="str">
        <f t="shared" si="410"/>
        <v/>
      </c>
      <c r="HN45" s="910" t="str">
        <f t="shared" si="411"/>
        <v/>
      </c>
      <c r="HO45" s="911"/>
      <c r="HP45" s="912"/>
      <c r="HQ45" s="910" t="str">
        <f t="shared" si="412"/>
        <v/>
      </c>
      <c r="HR45" s="913" t="str">
        <f t="shared" si="413"/>
        <v/>
      </c>
      <c r="HS45" s="865" t="str">
        <f t="shared" si="460"/>
        <v/>
      </c>
      <c r="HT45" s="875" t="str">
        <f t="shared" si="414"/>
        <v/>
      </c>
      <c r="HU45" s="876" t="str">
        <f t="shared" si="415"/>
        <v/>
      </c>
      <c r="HV45" s="872" t="str">
        <f t="shared" si="416"/>
        <v/>
      </c>
      <c r="HW45" s="866" t="str">
        <f t="shared" si="417"/>
        <v/>
      </c>
      <c r="HX45" s="867" t="str">
        <f t="shared" si="418"/>
        <v/>
      </c>
      <c r="HY45" s="866" t="str">
        <f t="shared" si="419"/>
        <v/>
      </c>
      <c r="HZ45" s="868" t="str">
        <f t="shared" si="420"/>
        <v/>
      </c>
      <c r="IA45" s="869" t="str">
        <f t="shared" si="421"/>
        <v/>
      </c>
      <c r="IB45" s="870" t="str">
        <f t="shared" si="422"/>
        <v/>
      </c>
      <c r="IC45" s="841" t="str">
        <f t="shared" si="423"/>
        <v/>
      </c>
      <c r="ID45" s="351" t="str">
        <f t="shared" si="424"/>
        <v/>
      </c>
      <c r="IE45" s="843" t="str">
        <f t="shared" si="425"/>
        <v/>
      </c>
      <c r="IF45" s="844"/>
      <c r="IG45" s="790" t="str">
        <f>IFERROR(IF($IW45="","",IF($IW45&lt;(((Settings!$C$19/2)*-1)*$IG$8),"Taper","Nose")),"")</f>
        <v/>
      </c>
      <c r="IH45" s="482" t="str">
        <f>IFERROR(IF((((($IY45*COS(RADIANS(180-$JA45)))*COS(RADIANS($JA45)))-(($IZ45*SIN(RADIANS(180-$JA45)))*SIN(RADIANS($JA45))))+$IW45)&lt;(((Settings!$C$19+$IH$8)/2)*-1),"Gage",""),"")</f>
        <v/>
      </c>
      <c r="II45" s="788">
        <f t="shared" si="236"/>
        <v>3.1269999999999998</v>
      </c>
      <c r="IJ45" s="674" t="str" cm="1">
        <f t="array" ref="IJ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K45" s="677" t="str" cm="1">
        <f t="array" ref="IK45">IFERROR(ROUND(VALUE(IF($IJ45&lt;1,$IJ45+LARGE((IF($M$9:$M$150="",0,$M$9:$M$150)-MOD(IF($M$9:$M$150="",0,$M$9:$M$150),1)),1),$IJ45)),4),"")</f>
        <v/>
      </c>
      <c r="IL45" s="482">
        <f t="shared" si="426"/>
        <v>1613</v>
      </c>
      <c r="IM45" s="482" t="str">
        <f t="shared" si="237"/>
        <v/>
      </c>
      <c r="IN45" s="670" t="str">
        <f t="shared" si="427"/>
        <v/>
      </c>
      <c r="IO45" s="702"/>
      <c r="IP45" s="5" t="str">
        <f t="shared" si="428"/>
        <v/>
      </c>
      <c r="IQ45" s="714"/>
      <c r="IR45" s="9" t="str">
        <f t="shared" si="429"/>
        <v/>
      </c>
      <c r="IS45" s="5" t="str">
        <f t="shared" si="430"/>
        <v/>
      </c>
      <c r="IT45" s="5" t="str">
        <f t="shared" si="431"/>
        <v/>
      </c>
      <c r="IU45" s="5" t="str">
        <f t="shared" si="432"/>
        <v/>
      </c>
      <c r="IV45" s="670" t="str">
        <f t="shared" si="433"/>
        <v/>
      </c>
      <c r="IW45" s="9" t="str">
        <f t="shared" si="434"/>
        <v/>
      </c>
      <c r="IX45" s="5" t="str">
        <f t="shared" si="435"/>
        <v/>
      </c>
      <c r="IY45" s="5" t="str">
        <f t="shared" si="436"/>
        <v/>
      </c>
      <c r="IZ45" s="5" t="str">
        <f t="shared" si="437"/>
        <v/>
      </c>
      <c r="JA45" s="705" t="str">
        <f t="shared" si="438"/>
        <v/>
      </c>
    </row>
    <row r="46" spans="1:269" ht="15" customHeight="1" x14ac:dyDescent="0.25">
      <c r="A46" s="75">
        <f t="shared" si="256"/>
        <v>0.02</v>
      </c>
      <c r="B46" s="578">
        <f t="shared" si="257"/>
        <v>3.875109752083064</v>
      </c>
      <c r="C46" s="572">
        <f t="shared" si="258"/>
        <v>-2.9271474562895921</v>
      </c>
      <c r="D46" s="576">
        <f t="shared" si="259"/>
        <v>-1.3479182577182431</v>
      </c>
      <c r="E46" s="580">
        <f t="shared" si="260"/>
        <v>0.84853921380445774</v>
      </c>
      <c r="F46" s="572">
        <f t="shared" si="261"/>
        <v>0.49364774256483834</v>
      </c>
      <c r="G46" s="579">
        <f t="shared" si="262"/>
        <v>0.19050750351823986</v>
      </c>
      <c r="H46" s="580">
        <f t="shared" si="263"/>
        <v>0.3125</v>
      </c>
      <c r="I46" s="572">
        <f t="shared" si="264"/>
        <v>0.52</v>
      </c>
      <c r="J46" s="483">
        <f t="shared" si="265"/>
        <v>3.133</v>
      </c>
      <c r="K46" s="806">
        <f t="shared" si="266"/>
        <v>1613</v>
      </c>
      <c r="L46" s="309"/>
      <c r="M46" s="164">
        <f t="shared" si="267"/>
        <v>3.133</v>
      </c>
      <c r="N46" s="575">
        <f t="shared" si="268"/>
        <v>3.875109752083064</v>
      </c>
      <c r="O46" s="572">
        <f t="shared" si="269"/>
        <v>-2.9271474562895921</v>
      </c>
      <c r="P46" s="576">
        <f t="shared" si="270"/>
        <v>-1.3479182577182431</v>
      </c>
      <c r="Q46" s="528">
        <f t="shared" si="140"/>
        <v>322.93364062089421</v>
      </c>
      <c r="R46" s="572">
        <f t="shared" si="439"/>
        <v>4.8564048247187852</v>
      </c>
      <c r="S46" s="577">
        <f t="shared" si="440"/>
        <v>-1.3479182577182431</v>
      </c>
      <c r="T46" s="578">
        <f t="shared" si="441"/>
        <v>-2.8977862989952037</v>
      </c>
      <c r="U46" s="572">
        <f t="shared" si="442"/>
        <v>-3.8971146232703466</v>
      </c>
      <c r="V46" s="579">
        <f t="shared" si="443"/>
        <v>-1.3479182577182431</v>
      </c>
      <c r="W46" s="528">
        <f t="shared" si="253"/>
        <v>233.3665314667652</v>
      </c>
      <c r="X46" s="572">
        <f t="shared" si="444"/>
        <v>4.8564048247187852</v>
      </c>
      <c r="Y46" s="573">
        <f t="shared" si="255"/>
        <v>-1.3479182577182431</v>
      </c>
      <c r="Z46" s="575">
        <f t="shared" si="271"/>
        <v>-0.84853921380445774</v>
      </c>
      <c r="AA46" s="572">
        <f t="shared" si="272"/>
        <v>-0.49364774256483834</v>
      </c>
      <c r="AB46" s="572">
        <f t="shared" si="273"/>
        <v>-0.19050750351823986</v>
      </c>
      <c r="AC46" s="579">
        <f t="shared" si="445"/>
        <v>1</v>
      </c>
      <c r="AD46" s="580">
        <f t="shared" si="446"/>
        <v>-0.84853921380445774</v>
      </c>
      <c r="AE46" s="572">
        <f t="shared" si="447"/>
        <v>-0.49364774256483834</v>
      </c>
      <c r="AF46" s="576">
        <f t="shared" si="448"/>
        <v>-0.19050750351823986</v>
      </c>
      <c r="AG46" s="545">
        <f t="shared" si="449"/>
        <v>-68.897505479271757</v>
      </c>
      <c r="AH46" s="546">
        <f t="shared" si="450"/>
        <v>148.0531399265038</v>
      </c>
      <c r="AI46" s="528">
        <f t="shared" si="451"/>
        <v>-79.017597002190413</v>
      </c>
      <c r="AJ46" s="529">
        <f t="shared" si="452"/>
        <v>-59.810788426289598</v>
      </c>
      <c r="AK46" s="578">
        <f t="shared" si="453"/>
        <v>0.90534845039634471</v>
      </c>
      <c r="AL46" s="572">
        <f t="shared" si="454"/>
        <v>-0.37954060977474541</v>
      </c>
      <c r="AM46" s="577">
        <f t="shared" si="455"/>
        <v>-0.19050750351823986</v>
      </c>
      <c r="AN46" s="524">
        <f t="shared" si="456"/>
        <v>-63.345987496311885</v>
      </c>
      <c r="AO46" s="525">
        <f t="shared" si="116"/>
        <v>25.129745570941751</v>
      </c>
      <c r="AP46" s="528">
        <f t="shared" si="457"/>
        <v>-22.744429047183786</v>
      </c>
      <c r="AQ46" s="529">
        <f t="shared" si="274"/>
        <v>0.93876960782174912</v>
      </c>
      <c r="AS46" s="932">
        <f t="shared" si="461"/>
        <v>233.3665314667652</v>
      </c>
      <c r="AT46" s="928">
        <f t="shared" si="275"/>
        <v>-1.1757630211634134</v>
      </c>
      <c r="AU46" s="418"/>
      <c r="AV46" s="164" t="str">
        <f t="shared" si="276"/>
        <v/>
      </c>
      <c r="AW46" s="829" t="str">
        <f>IFERROR(INDEX(MassProp!C$9:C$150,MATCH($M46,MassProp!$B$9:$B$150,0)),"")</f>
        <v/>
      </c>
      <c r="AX46" s="830" t="str">
        <f>IFERROR(INDEX(MassProp!D$9:D$150,MATCH($M46,MassProp!$B$9:$B$150,0)),"")</f>
        <v/>
      </c>
      <c r="AY46" s="831" t="str">
        <f>IFERROR(INDEX(MassProp!E$9:E$150,MATCH($M46,MassProp!$B$9:$B$150,0)),"")</f>
        <v/>
      </c>
      <c r="AZ46" s="297" t="str">
        <f t="shared" si="277"/>
        <v/>
      </c>
      <c r="BA46" s="296" t="str">
        <f t="shared" si="278"/>
        <v/>
      </c>
      <c r="BB46" s="190" t="str">
        <f t="shared" si="145"/>
        <v/>
      </c>
      <c r="BC46" s="9"/>
      <c r="BD46" s="5" t="str">
        <f t="shared" si="279"/>
        <v/>
      </c>
      <c r="BE46" s="6" t="str">
        <f t="shared" si="280"/>
        <v/>
      </c>
      <c r="BF46" s="4" t="str">
        <f t="shared" si="281"/>
        <v/>
      </c>
      <c r="BG46" s="5" t="str">
        <f t="shared" si="282"/>
        <v/>
      </c>
      <c r="BH46" s="10" t="str">
        <f t="shared" si="283"/>
        <v/>
      </c>
      <c r="BI46" s="9" t="str">
        <f t="shared" si="284"/>
        <v/>
      </c>
      <c r="BJ46" s="5" t="str">
        <f t="shared" si="285"/>
        <v/>
      </c>
      <c r="BK46" s="8" t="str">
        <f t="shared" si="286"/>
        <v/>
      </c>
      <c r="BL46" s="173" t="str">
        <f t="shared" si="287"/>
        <v/>
      </c>
      <c r="BM46" s="5" t="str">
        <f t="shared" si="288"/>
        <v/>
      </c>
      <c r="BN46" s="6" t="str">
        <f t="shared" si="289"/>
        <v/>
      </c>
      <c r="BO46" s="4" t="str">
        <f t="shared" si="290"/>
        <v/>
      </c>
      <c r="BP46" s="5" t="str">
        <f t="shared" si="239"/>
        <v/>
      </c>
      <c r="BQ46" s="5" t="str">
        <f t="shared" si="291"/>
        <v/>
      </c>
      <c r="BR46" s="6" t="str">
        <f t="shared" si="292"/>
        <v/>
      </c>
      <c r="BS46" s="4" t="str">
        <f t="shared" si="458"/>
        <v/>
      </c>
      <c r="BT46" s="5" t="str">
        <f t="shared" si="458"/>
        <v/>
      </c>
      <c r="BU46" s="10" t="str">
        <f t="shared" si="119"/>
        <v/>
      </c>
      <c r="BV46" s="9" t="str">
        <f t="shared" si="120"/>
        <v/>
      </c>
      <c r="BW46" s="5" t="str">
        <f t="shared" si="121"/>
        <v/>
      </c>
      <c r="BX46" s="8" t="str">
        <f t="shared" si="122"/>
        <v/>
      </c>
      <c r="BY46" s="173" t="str">
        <f t="shared" si="123"/>
        <v/>
      </c>
      <c r="BZ46" s="5" t="str">
        <f t="shared" si="124"/>
        <v/>
      </c>
      <c r="CA46" s="6" t="str">
        <f t="shared" si="125"/>
        <v/>
      </c>
      <c r="CB46" s="4" t="str">
        <f t="shared" si="293"/>
        <v/>
      </c>
      <c r="CC46" s="5" t="str">
        <f t="shared" si="294"/>
        <v/>
      </c>
      <c r="CD46" s="5" t="str">
        <f t="shared" si="295"/>
        <v/>
      </c>
      <c r="CE46" s="6" t="str">
        <f t="shared" si="296"/>
        <v/>
      </c>
      <c r="CF46" s="4" t="str">
        <f t="shared" si="297"/>
        <v/>
      </c>
      <c r="CG46" s="5" t="str">
        <f t="shared" si="298"/>
        <v/>
      </c>
      <c r="CH46" s="5" t="str">
        <f t="shared" si="299"/>
        <v/>
      </c>
      <c r="CI46" s="4" t="str">
        <f t="shared" si="126"/>
        <v/>
      </c>
      <c r="CJ46" s="5" t="str">
        <f t="shared" si="300"/>
        <v/>
      </c>
      <c r="CK46" s="8" t="str">
        <f t="shared" si="301"/>
        <v/>
      </c>
      <c r="CL46" s="173" t="str">
        <f t="shared" si="302"/>
        <v/>
      </c>
      <c r="CM46" s="5" t="str">
        <f t="shared" si="303"/>
        <v/>
      </c>
      <c r="CN46" s="6" t="str">
        <f t="shared" si="304"/>
        <v/>
      </c>
      <c r="CO46" s="167" t="str">
        <f t="shared" si="305"/>
        <v/>
      </c>
      <c r="CP46" s="4" t="str">
        <f t="shared" si="306"/>
        <v/>
      </c>
      <c r="CQ46" s="5" t="str">
        <f t="shared" si="307"/>
        <v/>
      </c>
      <c r="CR46" s="5" t="str">
        <f t="shared" si="308"/>
        <v/>
      </c>
      <c r="CS46" s="8" t="str">
        <f t="shared" si="309"/>
        <v/>
      </c>
      <c r="CT46" s="9" t="str">
        <f t="shared" si="160"/>
        <v/>
      </c>
      <c r="CU46" s="6" t="str">
        <f t="shared" si="310"/>
        <v/>
      </c>
      <c r="CV46" s="4" t="str">
        <f t="shared" si="311"/>
        <v/>
      </c>
      <c r="CW46" s="5" t="str">
        <f t="shared" si="312"/>
        <v/>
      </c>
      <c r="CX46" s="8" t="str">
        <f t="shared" si="313"/>
        <v/>
      </c>
      <c r="CY46" s="9" t="str">
        <f t="shared" si="314"/>
        <v/>
      </c>
      <c r="CZ46" s="5" t="str">
        <f t="shared" si="315"/>
        <v/>
      </c>
      <c r="DA46" s="6" t="str">
        <f t="shared" si="316"/>
        <v/>
      </c>
      <c r="DB46" s="4" t="str">
        <f t="shared" si="462"/>
        <v/>
      </c>
      <c r="DC46" s="5" t="str">
        <f t="shared" si="462"/>
        <v/>
      </c>
      <c r="DD46" s="10" t="str">
        <f t="shared" si="168"/>
        <v/>
      </c>
      <c r="DE46" s="9" t="str">
        <f t="shared" si="463"/>
        <v/>
      </c>
      <c r="DF46" s="5" t="str">
        <f t="shared" si="463"/>
        <v/>
      </c>
      <c r="DG46" s="10" t="str">
        <f t="shared" si="170"/>
        <v/>
      </c>
      <c r="DH46" s="70" t="str">
        <f t="shared" si="317"/>
        <v/>
      </c>
      <c r="DI46" s="4" t="str">
        <f t="shared" si="318"/>
        <v/>
      </c>
      <c r="DJ46" s="5" t="str">
        <f t="shared" si="319"/>
        <v/>
      </c>
      <c r="DK46" s="10" t="str">
        <f t="shared" si="320"/>
        <v/>
      </c>
      <c r="DL46" s="9" t="str">
        <f t="shared" si="321"/>
        <v/>
      </c>
      <c r="DM46" s="173" t="str">
        <f t="shared" si="322"/>
        <v/>
      </c>
      <c r="DN46" s="178" t="str">
        <f t="shared" si="323"/>
        <v/>
      </c>
      <c r="DO46" s="9" t="str">
        <f t="shared" si="324"/>
        <v/>
      </c>
      <c r="DP46" s="173" t="str">
        <f t="shared" si="325"/>
        <v/>
      </c>
      <c r="DQ46" s="11" t="str">
        <f t="shared" si="326"/>
        <v/>
      </c>
      <c r="DR46" s="173" t="str">
        <f t="shared" si="327"/>
        <v/>
      </c>
      <c r="DS46" s="5" t="str">
        <f t="shared" si="328"/>
        <v/>
      </c>
      <c r="DT46" s="5" t="str">
        <f t="shared" si="329"/>
        <v/>
      </c>
      <c r="DU46" s="5" t="str">
        <f t="shared" si="330"/>
        <v/>
      </c>
      <c r="DV46" s="5" t="str">
        <f t="shared" si="331"/>
        <v/>
      </c>
      <c r="DW46" s="5" t="str">
        <f t="shared" si="332"/>
        <v/>
      </c>
      <c r="DX46" s="167" t="str">
        <f t="shared" si="333"/>
        <v/>
      </c>
      <c r="DY46" s="9" t="str">
        <f t="shared" si="334"/>
        <v/>
      </c>
      <c r="DZ46" s="5" t="str">
        <f t="shared" si="335"/>
        <v/>
      </c>
      <c r="EA46" s="10" t="str">
        <f t="shared" si="336"/>
        <v/>
      </c>
      <c r="EB46" s="6" t="str">
        <f t="shared" si="337"/>
        <v/>
      </c>
      <c r="EC46" s="173" t="str">
        <f t="shared" si="338"/>
        <v/>
      </c>
      <c r="ED46" s="5" t="str">
        <f t="shared" si="339"/>
        <v/>
      </c>
      <c r="EE46" s="4" t="str">
        <f t="shared" si="340"/>
        <v/>
      </c>
      <c r="EF46" s="5" t="str">
        <f t="shared" si="341"/>
        <v/>
      </c>
      <c r="EG46" s="10" t="str">
        <f t="shared" si="342"/>
        <v/>
      </c>
      <c r="EH46" s="9" t="str">
        <f t="shared" si="343"/>
        <v/>
      </c>
      <c r="EI46" s="5" t="str">
        <f t="shared" si="344"/>
        <v/>
      </c>
      <c r="EJ46" s="6" t="str">
        <f t="shared" si="345"/>
        <v/>
      </c>
      <c r="EK46" s="236" t="str">
        <f t="shared" si="200"/>
        <v/>
      </c>
      <c r="EL46" s="238" t="str">
        <f t="shared" si="201"/>
        <v/>
      </c>
      <c r="EM46" s="4" t="str">
        <f t="shared" si="346"/>
        <v/>
      </c>
      <c r="EN46" s="5" t="str">
        <f t="shared" si="347"/>
        <v/>
      </c>
      <c r="EO46" s="10" t="str">
        <f t="shared" si="348"/>
        <v/>
      </c>
      <c r="EP46" s="9" t="str">
        <f t="shared" si="349"/>
        <v/>
      </c>
      <c r="EQ46" s="5" t="str">
        <f t="shared" si="350"/>
        <v/>
      </c>
      <c r="ER46" s="7" t="str">
        <f t="shared" si="351"/>
        <v/>
      </c>
      <c r="ES46" s="21" t="str">
        <f t="shared" si="352"/>
        <v/>
      </c>
      <c r="ET46" s="5" t="str">
        <f t="shared" si="353"/>
        <v/>
      </c>
      <c r="EU46" s="10" t="str">
        <f t="shared" si="354"/>
        <v/>
      </c>
      <c r="EV46" s="174" t="str">
        <f t="shared" si="355"/>
        <v/>
      </c>
      <c r="EW46" s="9" t="str">
        <f t="shared" si="356"/>
        <v/>
      </c>
      <c r="EX46" s="5" t="str">
        <f t="shared" si="357"/>
        <v/>
      </c>
      <c r="EY46" s="6" t="str">
        <f t="shared" si="358"/>
        <v/>
      </c>
      <c r="EZ46" s="51" t="str">
        <f t="shared" si="209"/>
        <v/>
      </c>
      <c r="FA46" s="266" t="str">
        <f t="shared" si="134"/>
        <v/>
      </c>
      <c r="FB46" s="267" t="str">
        <f t="shared" si="135"/>
        <v/>
      </c>
      <c r="FC46" s="269" t="str">
        <f t="shared" si="48"/>
        <v/>
      </c>
      <c r="FD46" s="4" t="str">
        <f t="shared" si="359"/>
        <v/>
      </c>
      <c r="FE46" s="5" t="str">
        <f t="shared" si="360"/>
        <v/>
      </c>
      <c r="FF46" s="7" t="str">
        <f t="shared" si="361"/>
        <v/>
      </c>
      <c r="FG46" s="173" t="str">
        <f t="shared" si="362"/>
        <v/>
      </c>
      <c r="FH46" s="5" t="str">
        <f t="shared" si="363"/>
        <v/>
      </c>
      <c r="FI46" s="10" t="str">
        <f t="shared" si="364"/>
        <v/>
      </c>
      <c r="FJ46" s="279" t="str">
        <f t="shared" si="365"/>
        <v/>
      </c>
      <c r="FK46" s="4" t="str">
        <f t="shared" si="366"/>
        <v/>
      </c>
      <c r="FL46" s="5" t="str">
        <f t="shared" si="367"/>
        <v/>
      </c>
      <c r="FM46" s="8" t="str">
        <f t="shared" si="368"/>
        <v/>
      </c>
      <c r="FN46" s="9" t="str">
        <f t="shared" si="369"/>
        <v/>
      </c>
      <c r="FO46" s="10" t="str">
        <f t="shared" si="370"/>
        <v/>
      </c>
      <c r="FP46" s="277" t="str">
        <f t="shared" si="371"/>
        <v/>
      </c>
      <c r="FQ46" s="173" t="str">
        <f t="shared" si="372"/>
        <v/>
      </c>
      <c r="FR46" s="10" t="str">
        <f t="shared" si="373"/>
        <v/>
      </c>
      <c r="FS46" s="9" t="str">
        <f t="shared" si="374"/>
        <v/>
      </c>
      <c r="FT46" s="6" t="str">
        <f t="shared" si="375"/>
        <v/>
      </c>
      <c r="FU46" s="4" t="str">
        <f t="shared" si="376"/>
        <v/>
      </c>
      <c r="FV46" s="5" t="str">
        <f t="shared" si="377"/>
        <v/>
      </c>
      <c r="FW46" s="8" t="str">
        <f t="shared" si="378"/>
        <v/>
      </c>
      <c r="FX46" s="9" t="str">
        <f t="shared" si="379"/>
        <v/>
      </c>
      <c r="FY46" s="10" t="str">
        <f t="shared" si="380"/>
        <v/>
      </c>
      <c r="FZ46" s="277" t="str">
        <f t="shared" si="381"/>
        <v/>
      </c>
      <c r="GA46" s="177" t="str">
        <f t="shared" si="382"/>
        <v/>
      </c>
      <c r="GB46" s="4" t="str">
        <f t="shared" si="383"/>
        <v/>
      </c>
      <c r="GC46" s="5" t="str">
        <f t="shared" si="384"/>
        <v/>
      </c>
      <c r="GD46" s="10" t="str">
        <f t="shared" si="385"/>
        <v/>
      </c>
      <c r="GE46" s="311" t="str">
        <f t="shared" si="386"/>
        <v/>
      </c>
      <c r="GF46" s="341" t="str">
        <f t="shared" si="387"/>
        <v/>
      </c>
      <c r="GG46" s="285" t="str">
        <f t="shared" si="388"/>
        <v/>
      </c>
      <c r="GH46" s="286" t="str">
        <f t="shared" si="389"/>
        <v/>
      </c>
      <c r="GI46" s="281" t="str">
        <f t="shared" si="390"/>
        <v/>
      </c>
      <c r="GJ46" s="167" t="str">
        <f t="shared" si="391"/>
        <v/>
      </c>
      <c r="GK46" s="174" t="str">
        <f t="shared" si="59"/>
        <v/>
      </c>
      <c r="GL46" s="174" t="str">
        <f t="shared" si="392"/>
        <v/>
      </c>
      <c r="GM46" s="177" t="str">
        <f t="shared" si="393"/>
        <v/>
      </c>
      <c r="GN46" s="280" t="str">
        <f t="shared" si="394"/>
        <v/>
      </c>
      <c r="GO46" s="4" t="str">
        <f t="shared" si="395"/>
        <v/>
      </c>
      <c r="GP46" s="8" t="str">
        <f t="shared" si="396"/>
        <v/>
      </c>
      <c r="GQ46" s="177" t="str">
        <f t="shared" si="397"/>
        <v/>
      </c>
      <c r="GR46" s="371" t="str">
        <f t="shared" si="398"/>
        <v/>
      </c>
      <c r="GS46" s="342" t="str">
        <f t="shared" si="399"/>
        <v/>
      </c>
      <c r="GT46" s="343" t="str">
        <f t="shared" si="400"/>
        <v/>
      </c>
      <c r="GU46" s="344" t="str">
        <f t="shared" si="63"/>
        <v/>
      </c>
      <c r="GV46" s="343" t="str">
        <f t="shared" si="401"/>
        <v/>
      </c>
      <c r="GW46" s="345" t="str">
        <f t="shared" si="64"/>
        <v/>
      </c>
      <c r="GX46" s="346" t="str">
        <f t="shared" si="65"/>
        <v/>
      </c>
      <c r="GY46" s="344" t="str">
        <f t="shared" si="402"/>
        <v/>
      </c>
      <c r="GZ46" s="345" t="str">
        <f t="shared" si="403"/>
        <v/>
      </c>
      <c r="HA46" s="342" t="str">
        <f t="shared" si="68"/>
        <v/>
      </c>
      <c r="HB46" s="5" t="str">
        <f t="shared" si="231"/>
        <v/>
      </c>
      <c r="HC46" s="343" t="str">
        <f t="shared" si="404"/>
        <v/>
      </c>
      <c r="HD46" s="345" t="str">
        <f t="shared" si="405"/>
        <v/>
      </c>
      <c r="HE46" s="344" t="str">
        <f t="shared" si="69"/>
        <v/>
      </c>
      <c r="HF46" s="5" t="str">
        <f t="shared" si="70"/>
        <v/>
      </c>
      <c r="HG46" s="343" t="str">
        <f t="shared" si="406"/>
        <v/>
      </c>
      <c r="HH46" s="349" t="str">
        <f t="shared" si="407"/>
        <v/>
      </c>
      <c r="HI46" s="317" t="str">
        <f t="shared" si="408"/>
        <v/>
      </c>
      <c r="HJ46" s="336"/>
      <c r="HK46" s="310" t="str">
        <f t="shared" si="459"/>
        <v/>
      </c>
      <c r="HL46" s="348" t="str">
        <f t="shared" si="409"/>
        <v/>
      </c>
      <c r="HM46" s="909" t="str">
        <f t="shared" si="410"/>
        <v/>
      </c>
      <c r="HN46" s="910" t="str">
        <f t="shared" si="411"/>
        <v/>
      </c>
      <c r="HO46" s="911"/>
      <c r="HP46" s="912"/>
      <c r="HQ46" s="910" t="str">
        <f t="shared" si="412"/>
        <v/>
      </c>
      <c r="HR46" s="913" t="str">
        <f t="shared" si="413"/>
        <v/>
      </c>
      <c r="HS46" s="865" t="str">
        <f t="shared" si="460"/>
        <v/>
      </c>
      <c r="HT46" s="875" t="str">
        <f t="shared" si="414"/>
        <v/>
      </c>
      <c r="HU46" s="876" t="str">
        <f t="shared" si="415"/>
        <v/>
      </c>
      <c r="HV46" s="872" t="str">
        <f t="shared" si="416"/>
        <v/>
      </c>
      <c r="HW46" s="866" t="str">
        <f t="shared" si="417"/>
        <v/>
      </c>
      <c r="HX46" s="867" t="str">
        <f t="shared" si="418"/>
        <v/>
      </c>
      <c r="HY46" s="866" t="str">
        <f t="shared" si="419"/>
        <v/>
      </c>
      <c r="HZ46" s="868" t="str">
        <f t="shared" si="420"/>
        <v/>
      </c>
      <c r="IA46" s="869" t="str">
        <f t="shared" si="421"/>
        <v/>
      </c>
      <c r="IB46" s="870" t="str">
        <f t="shared" si="422"/>
        <v/>
      </c>
      <c r="IC46" s="841" t="str">
        <f t="shared" si="423"/>
        <v/>
      </c>
      <c r="ID46" s="351" t="str">
        <f t="shared" si="424"/>
        <v/>
      </c>
      <c r="IE46" s="843" t="str">
        <f t="shared" si="425"/>
        <v/>
      </c>
      <c r="IF46" s="844"/>
      <c r="IG46" s="790" t="str">
        <f>IFERROR(IF($IW46="","",IF($IW46&lt;(((Settings!$C$19/2)*-1)*$IG$8),"Taper","Nose")),"")</f>
        <v/>
      </c>
      <c r="IH46" s="482" t="str">
        <f>IFERROR(IF((((($IY46*COS(RADIANS(180-$JA46)))*COS(RADIANS($JA46)))-(($IZ46*SIN(RADIANS(180-$JA46)))*SIN(RADIANS($JA46))))+$IW46)&lt;(((Settings!$C$19+$IH$8)/2)*-1),"Gage",""),"")</f>
        <v/>
      </c>
      <c r="II46" s="788">
        <f t="shared" si="236"/>
        <v>3.133</v>
      </c>
      <c r="IJ46" s="674" t="str" cm="1">
        <f t="array" ref="IJ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K46" s="677" t="str" cm="1">
        <f t="array" ref="IK46">IFERROR(ROUND(VALUE(IF($IJ46&lt;1,$IJ46+LARGE((IF($M$9:$M$150="",0,$M$9:$M$150)-MOD(IF($M$9:$M$150="",0,$M$9:$M$150),1)),1),$IJ46)),4),"")</f>
        <v/>
      </c>
      <c r="IL46" s="482">
        <f t="shared" si="426"/>
        <v>1613</v>
      </c>
      <c r="IM46" s="482" t="str">
        <f t="shared" si="237"/>
        <v/>
      </c>
      <c r="IN46" s="670" t="str">
        <f t="shared" si="427"/>
        <v/>
      </c>
      <c r="IO46" s="702"/>
      <c r="IP46" s="5" t="str">
        <f t="shared" si="428"/>
        <v/>
      </c>
      <c r="IQ46" s="714"/>
      <c r="IR46" s="9" t="str">
        <f t="shared" si="429"/>
        <v/>
      </c>
      <c r="IS46" s="5" t="str">
        <f t="shared" si="430"/>
        <v/>
      </c>
      <c r="IT46" s="5" t="str">
        <f t="shared" si="431"/>
        <v/>
      </c>
      <c r="IU46" s="5" t="str">
        <f t="shared" si="432"/>
        <v/>
      </c>
      <c r="IV46" s="670" t="str">
        <f t="shared" si="433"/>
        <v/>
      </c>
      <c r="IW46" s="9" t="str">
        <f t="shared" si="434"/>
        <v/>
      </c>
      <c r="IX46" s="5" t="str">
        <f t="shared" si="435"/>
        <v/>
      </c>
      <c r="IY46" s="5" t="str">
        <f t="shared" si="436"/>
        <v/>
      </c>
      <c r="IZ46" s="5" t="str">
        <f t="shared" si="437"/>
        <v/>
      </c>
      <c r="JA46" s="705" t="str">
        <f t="shared" si="438"/>
        <v/>
      </c>
    </row>
    <row r="47" spans="1:269" ht="15" customHeight="1" x14ac:dyDescent="0.25">
      <c r="A47" s="75">
        <f t="shared" si="256"/>
        <v>0.02</v>
      </c>
      <c r="B47" s="578">
        <f t="shared" si="257"/>
        <v>3.9967263755072056</v>
      </c>
      <c r="C47" s="572">
        <f t="shared" si="258"/>
        <v>-3.0468819033287979</v>
      </c>
      <c r="D47" s="576">
        <f t="shared" si="259"/>
        <v>-2.0947863628714609</v>
      </c>
      <c r="E47" s="580">
        <f t="shared" si="260"/>
        <v>0.91275421350097286</v>
      </c>
      <c r="F47" s="572">
        <f t="shared" si="261"/>
        <v>0.40269327432650104</v>
      </c>
      <c r="G47" s="579">
        <f t="shared" si="262"/>
        <v>6.868677127673023E-2</v>
      </c>
      <c r="H47" s="580">
        <f t="shared" si="263"/>
        <v>0.3125</v>
      </c>
      <c r="I47" s="572">
        <f t="shared" si="264"/>
        <v>0.52</v>
      </c>
      <c r="J47" s="483">
        <f t="shared" si="265"/>
        <v>3.1389999999999998</v>
      </c>
      <c r="K47" s="806">
        <f t="shared" si="266"/>
        <v>1613</v>
      </c>
      <c r="L47" s="309"/>
      <c r="M47" s="164">
        <f t="shared" si="267"/>
        <v>3.1389999999999998</v>
      </c>
      <c r="N47" s="575">
        <f t="shared" si="268"/>
        <v>3.9967263755072056</v>
      </c>
      <c r="O47" s="572">
        <f t="shared" si="269"/>
        <v>-3.0468819033287979</v>
      </c>
      <c r="P47" s="576">
        <f t="shared" si="270"/>
        <v>-2.0947863628714609</v>
      </c>
      <c r="Q47" s="528">
        <f t="shared" si="140"/>
        <v>322.68011807949483</v>
      </c>
      <c r="R47" s="572">
        <f t="shared" si="439"/>
        <v>5.0256652349223865</v>
      </c>
      <c r="S47" s="577">
        <f t="shared" si="440"/>
        <v>-2.0947863628714609</v>
      </c>
      <c r="T47" s="578">
        <f t="shared" si="441"/>
        <v>-3.0165984786980165</v>
      </c>
      <c r="U47" s="572">
        <f t="shared" si="442"/>
        <v>-4.0196324050619729</v>
      </c>
      <c r="V47" s="579">
        <f t="shared" si="443"/>
        <v>-2.0947863628714609</v>
      </c>
      <c r="W47" s="528">
        <f t="shared" si="253"/>
        <v>233.11300892536582</v>
      </c>
      <c r="X47" s="572">
        <f t="shared" si="444"/>
        <v>5.0256652349223865</v>
      </c>
      <c r="Y47" s="573">
        <f t="shared" si="255"/>
        <v>-2.0947863628714609</v>
      </c>
      <c r="Z47" s="575">
        <f t="shared" si="271"/>
        <v>-0.91275421350097286</v>
      </c>
      <c r="AA47" s="572">
        <f t="shared" si="272"/>
        <v>-0.40269327432650104</v>
      </c>
      <c r="AB47" s="572">
        <f t="shared" si="273"/>
        <v>-6.868677127673023E-2</v>
      </c>
      <c r="AC47" s="579">
        <f t="shared" si="445"/>
        <v>1</v>
      </c>
      <c r="AD47" s="580">
        <f t="shared" si="446"/>
        <v>-0.91275421350097286</v>
      </c>
      <c r="AE47" s="572">
        <f t="shared" si="447"/>
        <v>-0.40269327432650104</v>
      </c>
      <c r="AF47" s="576">
        <f t="shared" si="448"/>
        <v>-6.868677127673023E-2</v>
      </c>
      <c r="AG47" s="545">
        <f t="shared" si="449"/>
        <v>-80.320302197787214</v>
      </c>
      <c r="AH47" s="546">
        <f t="shared" si="450"/>
        <v>155.88878216934916</v>
      </c>
      <c r="AI47" s="528">
        <f t="shared" si="451"/>
        <v>-86.061436807758923</v>
      </c>
      <c r="AJ47" s="529">
        <f t="shared" si="452"/>
        <v>-66.193657564983837</v>
      </c>
      <c r="AK47" s="578">
        <f t="shared" si="453"/>
        <v>0.87361750550643569</v>
      </c>
      <c r="AL47" s="572">
        <f t="shared" si="454"/>
        <v>-0.48174119766145274</v>
      </c>
      <c r="AM47" s="577">
        <f t="shared" si="455"/>
        <v>-6.868677127673023E-2</v>
      </c>
      <c r="AN47" s="524">
        <f t="shared" si="456"/>
        <v>-81.885446807640747</v>
      </c>
      <c r="AO47" s="525">
        <f t="shared" si="116"/>
        <v>29.118222259814257</v>
      </c>
      <c r="AP47" s="528">
        <f t="shared" si="457"/>
        <v>-28.873775644478652</v>
      </c>
      <c r="AQ47" s="529">
        <f t="shared" si="274"/>
        <v>0.90715796928987824</v>
      </c>
      <c r="AS47" s="932">
        <f t="shared" si="461"/>
        <v>233.11300892536582</v>
      </c>
      <c r="AT47" s="928">
        <f t="shared" si="275"/>
        <v>-1.9222790116757986</v>
      </c>
      <c r="AU47" s="418"/>
      <c r="AV47" s="164" t="str">
        <f>IF(AND(ISNUMBER(VALUE(K47)),ISNUMBER(AW47),ISNUMBER(AX47),ISNUMBER(AY47),AY47&gt;=0.0001),$M47,"")</f>
        <v/>
      </c>
      <c r="AW47" s="829" t="str">
        <f>IFERROR(INDEX(MassProp!C$9:C$150,MATCH($M47,MassProp!$B$9:$B$150,0)),"")</f>
        <v/>
      </c>
      <c r="AX47" s="830" t="str">
        <f>IFERROR(INDEX(MassProp!D$9:D$150,MATCH($M47,MassProp!$B$9:$B$150,0)),"")</f>
        <v/>
      </c>
      <c r="AY47" s="831" t="str">
        <f>IFERROR(INDEX(MassProp!E$9:E$150,MATCH($M47,MassProp!$B$9:$B$150,0)),"")</f>
        <v/>
      </c>
      <c r="AZ47" s="297" t="str">
        <f t="shared" si="277"/>
        <v/>
      </c>
      <c r="BA47" s="296" t="str">
        <f t="shared" si="278"/>
        <v/>
      </c>
      <c r="BB47" s="190" t="str">
        <f t="shared" si="145"/>
        <v/>
      </c>
      <c r="BC47" s="9"/>
      <c r="BD47" s="5" t="str">
        <f t="shared" si="279"/>
        <v/>
      </c>
      <c r="BE47" s="6" t="str">
        <f t="shared" si="280"/>
        <v/>
      </c>
      <c r="BF47" s="4" t="str">
        <f t="shared" si="281"/>
        <v/>
      </c>
      <c r="BG47" s="5" t="str">
        <f t="shared" si="282"/>
        <v/>
      </c>
      <c r="BH47" s="10" t="str">
        <f t="shared" si="283"/>
        <v/>
      </c>
      <c r="BI47" s="9" t="str">
        <f t="shared" si="284"/>
        <v/>
      </c>
      <c r="BJ47" s="5" t="str">
        <f t="shared" si="285"/>
        <v/>
      </c>
      <c r="BK47" s="8" t="str">
        <f t="shared" si="286"/>
        <v/>
      </c>
      <c r="BL47" s="173" t="str">
        <f t="shared" si="287"/>
        <v/>
      </c>
      <c r="BM47" s="5" t="str">
        <f t="shared" si="288"/>
        <v/>
      </c>
      <c r="BN47" s="6" t="str">
        <f t="shared" si="289"/>
        <v/>
      </c>
      <c r="BO47" s="4" t="str">
        <f t="shared" si="290"/>
        <v/>
      </c>
      <c r="BP47" s="5" t="str">
        <f t="shared" si="239"/>
        <v/>
      </c>
      <c r="BQ47" s="5" t="str">
        <f t="shared" si="291"/>
        <v/>
      </c>
      <c r="BR47" s="6" t="str">
        <f t="shared" si="292"/>
        <v/>
      </c>
      <c r="BS47" s="4" t="str">
        <f t="shared" si="458"/>
        <v/>
      </c>
      <c r="BT47" s="5" t="str">
        <f t="shared" si="458"/>
        <v/>
      </c>
      <c r="BU47" s="10" t="str">
        <f t="shared" si="119"/>
        <v/>
      </c>
      <c r="BV47" s="9" t="str">
        <f t="shared" si="120"/>
        <v/>
      </c>
      <c r="BW47" s="5" t="str">
        <f t="shared" si="121"/>
        <v/>
      </c>
      <c r="BX47" s="8" t="str">
        <f t="shared" si="122"/>
        <v/>
      </c>
      <c r="BY47" s="173" t="str">
        <f t="shared" si="123"/>
        <v/>
      </c>
      <c r="BZ47" s="5" t="str">
        <f t="shared" si="124"/>
        <v/>
      </c>
      <c r="CA47" s="6" t="str">
        <f t="shared" si="125"/>
        <v/>
      </c>
      <c r="CB47" s="4" t="str">
        <f t="shared" si="293"/>
        <v/>
      </c>
      <c r="CC47" s="5" t="str">
        <f t="shared" si="294"/>
        <v/>
      </c>
      <c r="CD47" s="5" t="str">
        <f t="shared" si="295"/>
        <v/>
      </c>
      <c r="CE47" s="6" t="str">
        <f t="shared" si="296"/>
        <v/>
      </c>
      <c r="CF47" s="4" t="str">
        <f t="shared" si="297"/>
        <v/>
      </c>
      <c r="CG47" s="5" t="str">
        <f t="shared" si="298"/>
        <v/>
      </c>
      <c r="CH47" s="5" t="str">
        <f t="shared" si="299"/>
        <v/>
      </c>
      <c r="CI47" s="4" t="str">
        <f t="shared" si="126"/>
        <v/>
      </c>
      <c r="CJ47" s="5" t="str">
        <f t="shared" si="300"/>
        <v/>
      </c>
      <c r="CK47" s="8" t="str">
        <f t="shared" si="301"/>
        <v/>
      </c>
      <c r="CL47" s="173" t="str">
        <f t="shared" si="302"/>
        <v/>
      </c>
      <c r="CM47" s="5" t="str">
        <f t="shared" si="303"/>
        <v/>
      </c>
      <c r="CN47" s="6" t="str">
        <f t="shared" si="304"/>
        <v/>
      </c>
      <c r="CO47" s="167" t="str">
        <f t="shared" si="305"/>
        <v/>
      </c>
      <c r="CP47" s="4" t="str">
        <f t="shared" si="306"/>
        <v/>
      </c>
      <c r="CQ47" s="5" t="str">
        <f t="shared" si="307"/>
        <v/>
      </c>
      <c r="CR47" s="5" t="str">
        <f t="shared" si="308"/>
        <v/>
      </c>
      <c r="CS47" s="8" t="str">
        <f t="shared" si="309"/>
        <v/>
      </c>
      <c r="CT47" s="9" t="str">
        <f t="shared" si="160"/>
        <v/>
      </c>
      <c r="CU47" s="6" t="str">
        <f t="shared" si="310"/>
        <v/>
      </c>
      <c r="CV47" s="4" t="str">
        <f t="shared" si="311"/>
        <v/>
      </c>
      <c r="CW47" s="5" t="str">
        <f t="shared" si="312"/>
        <v/>
      </c>
      <c r="CX47" s="8" t="str">
        <f t="shared" si="313"/>
        <v/>
      </c>
      <c r="CY47" s="9" t="str">
        <f t="shared" si="314"/>
        <v/>
      </c>
      <c r="CZ47" s="5" t="str">
        <f t="shared" si="315"/>
        <v/>
      </c>
      <c r="DA47" s="6" t="str">
        <f t="shared" si="316"/>
        <v/>
      </c>
      <c r="DB47" s="4" t="str">
        <f t="shared" si="462"/>
        <v/>
      </c>
      <c r="DC47" s="5" t="str">
        <f t="shared" si="462"/>
        <v/>
      </c>
      <c r="DD47" s="10" t="str">
        <f t="shared" si="168"/>
        <v/>
      </c>
      <c r="DE47" s="9" t="str">
        <f t="shared" si="463"/>
        <v/>
      </c>
      <c r="DF47" s="5" t="str">
        <f t="shared" si="463"/>
        <v/>
      </c>
      <c r="DG47" s="10" t="str">
        <f t="shared" si="170"/>
        <v/>
      </c>
      <c r="DH47" s="70" t="str">
        <f t="shared" si="317"/>
        <v/>
      </c>
      <c r="DI47" s="4" t="str">
        <f t="shared" si="318"/>
        <v/>
      </c>
      <c r="DJ47" s="5" t="str">
        <f t="shared" si="319"/>
        <v/>
      </c>
      <c r="DK47" s="10" t="str">
        <f t="shared" si="320"/>
        <v/>
      </c>
      <c r="DL47" s="9" t="str">
        <f t="shared" si="321"/>
        <v/>
      </c>
      <c r="DM47" s="173" t="str">
        <f t="shared" si="322"/>
        <v/>
      </c>
      <c r="DN47" s="178" t="str">
        <f t="shared" si="323"/>
        <v/>
      </c>
      <c r="DO47" s="9" t="str">
        <f t="shared" si="324"/>
        <v/>
      </c>
      <c r="DP47" s="173" t="str">
        <f t="shared" si="325"/>
        <v/>
      </c>
      <c r="DQ47" s="11" t="str">
        <f t="shared" si="326"/>
        <v/>
      </c>
      <c r="DR47" s="173" t="str">
        <f t="shared" si="327"/>
        <v/>
      </c>
      <c r="DS47" s="5" t="str">
        <f t="shared" si="328"/>
        <v/>
      </c>
      <c r="DT47" s="5" t="str">
        <f t="shared" si="329"/>
        <v/>
      </c>
      <c r="DU47" s="5" t="str">
        <f t="shared" si="330"/>
        <v/>
      </c>
      <c r="DV47" s="5" t="str">
        <f t="shared" si="331"/>
        <v/>
      </c>
      <c r="DW47" s="5" t="str">
        <f t="shared" si="332"/>
        <v/>
      </c>
      <c r="DX47" s="167" t="str">
        <f t="shared" si="333"/>
        <v/>
      </c>
      <c r="DY47" s="9" t="str">
        <f t="shared" si="334"/>
        <v/>
      </c>
      <c r="DZ47" s="5" t="str">
        <f t="shared" si="335"/>
        <v/>
      </c>
      <c r="EA47" s="10" t="str">
        <f t="shared" si="336"/>
        <v/>
      </c>
      <c r="EB47" s="6" t="str">
        <f t="shared" si="337"/>
        <v/>
      </c>
      <c r="EC47" s="173" t="str">
        <f t="shared" si="338"/>
        <v/>
      </c>
      <c r="ED47" s="5" t="str">
        <f t="shared" si="339"/>
        <v/>
      </c>
      <c r="EE47" s="4" t="str">
        <f t="shared" si="340"/>
        <v/>
      </c>
      <c r="EF47" s="5" t="str">
        <f t="shared" si="341"/>
        <v/>
      </c>
      <c r="EG47" s="10" t="str">
        <f t="shared" si="342"/>
        <v/>
      </c>
      <c r="EH47" s="9" t="str">
        <f t="shared" si="343"/>
        <v/>
      </c>
      <c r="EI47" s="5" t="str">
        <f t="shared" si="344"/>
        <v/>
      </c>
      <c r="EJ47" s="6" t="str">
        <f t="shared" si="345"/>
        <v/>
      </c>
      <c r="EK47" s="236" t="str">
        <f t="shared" si="200"/>
        <v/>
      </c>
      <c r="EL47" s="238" t="str">
        <f t="shared" si="201"/>
        <v/>
      </c>
      <c r="EM47" s="4" t="str">
        <f t="shared" si="346"/>
        <v/>
      </c>
      <c r="EN47" s="5" t="str">
        <f t="shared" si="347"/>
        <v/>
      </c>
      <c r="EO47" s="10" t="str">
        <f t="shared" si="348"/>
        <v/>
      </c>
      <c r="EP47" s="9" t="str">
        <f t="shared" si="349"/>
        <v/>
      </c>
      <c r="EQ47" s="5" t="str">
        <f t="shared" si="350"/>
        <v/>
      </c>
      <c r="ER47" s="7" t="str">
        <f t="shared" si="351"/>
        <v/>
      </c>
      <c r="ES47" s="21" t="str">
        <f t="shared" si="352"/>
        <v/>
      </c>
      <c r="ET47" s="5" t="str">
        <f t="shared" si="353"/>
        <v/>
      </c>
      <c r="EU47" s="10" t="str">
        <f t="shared" si="354"/>
        <v/>
      </c>
      <c r="EV47" s="174" t="str">
        <f t="shared" si="355"/>
        <v/>
      </c>
      <c r="EW47" s="9" t="str">
        <f t="shared" si="356"/>
        <v/>
      </c>
      <c r="EX47" s="5" t="str">
        <f t="shared" si="357"/>
        <v/>
      </c>
      <c r="EY47" s="6" t="str">
        <f t="shared" si="358"/>
        <v/>
      </c>
      <c r="EZ47" s="51" t="str">
        <f t="shared" si="209"/>
        <v/>
      </c>
      <c r="FA47" s="266" t="str">
        <f t="shared" si="134"/>
        <v/>
      </c>
      <c r="FB47" s="267" t="str">
        <f t="shared" si="135"/>
        <v/>
      </c>
      <c r="FC47" s="269" t="str">
        <f t="shared" si="48"/>
        <v/>
      </c>
      <c r="FD47" s="4" t="str">
        <f t="shared" si="359"/>
        <v/>
      </c>
      <c r="FE47" s="5" t="str">
        <f t="shared" si="360"/>
        <v/>
      </c>
      <c r="FF47" s="7" t="str">
        <f t="shared" si="361"/>
        <v/>
      </c>
      <c r="FG47" s="173" t="str">
        <f t="shared" si="362"/>
        <v/>
      </c>
      <c r="FH47" s="5" t="str">
        <f t="shared" si="363"/>
        <v/>
      </c>
      <c r="FI47" s="10" t="str">
        <f t="shared" si="364"/>
        <v/>
      </c>
      <c r="FJ47" s="279" t="str">
        <f t="shared" si="365"/>
        <v/>
      </c>
      <c r="FK47" s="4" t="str">
        <f t="shared" si="366"/>
        <v/>
      </c>
      <c r="FL47" s="5" t="str">
        <f t="shared" si="367"/>
        <v/>
      </c>
      <c r="FM47" s="8" t="str">
        <f t="shared" si="368"/>
        <v/>
      </c>
      <c r="FN47" s="9" t="str">
        <f t="shared" si="369"/>
        <v/>
      </c>
      <c r="FO47" s="10" t="str">
        <f t="shared" si="370"/>
        <v/>
      </c>
      <c r="FP47" s="277" t="str">
        <f t="shared" si="371"/>
        <v/>
      </c>
      <c r="FQ47" s="173" t="str">
        <f t="shared" si="372"/>
        <v/>
      </c>
      <c r="FR47" s="10" t="str">
        <f t="shared" si="373"/>
        <v/>
      </c>
      <c r="FS47" s="9" t="str">
        <f t="shared" si="374"/>
        <v/>
      </c>
      <c r="FT47" s="6" t="str">
        <f t="shared" si="375"/>
        <v/>
      </c>
      <c r="FU47" s="4" t="str">
        <f t="shared" si="376"/>
        <v/>
      </c>
      <c r="FV47" s="5" t="str">
        <f t="shared" si="377"/>
        <v/>
      </c>
      <c r="FW47" s="8" t="str">
        <f t="shared" si="378"/>
        <v/>
      </c>
      <c r="FX47" s="9" t="str">
        <f t="shared" si="379"/>
        <v/>
      </c>
      <c r="FY47" s="10" t="str">
        <f t="shared" si="380"/>
        <v/>
      </c>
      <c r="FZ47" s="277" t="str">
        <f t="shared" si="381"/>
        <v/>
      </c>
      <c r="GA47" s="177" t="str">
        <f t="shared" si="382"/>
        <v/>
      </c>
      <c r="GB47" s="4" t="str">
        <f t="shared" si="383"/>
        <v/>
      </c>
      <c r="GC47" s="5" t="str">
        <f t="shared" si="384"/>
        <v/>
      </c>
      <c r="GD47" s="10" t="str">
        <f t="shared" si="385"/>
        <v/>
      </c>
      <c r="GE47" s="311" t="str">
        <f t="shared" si="386"/>
        <v/>
      </c>
      <c r="GF47" s="341" t="str">
        <f t="shared" si="387"/>
        <v/>
      </c>
      <c r="GG47" s="285" t="str">
        <f t="shared" si="388"/>
        <v/>
      </c>
      <c r="GH47" s="286" t="str">
        <f t="shared" si="389"/>
        <v/>
      </c>
      <c r="GI47" s="281" t="str">
        <f t="shared" si="390"/>
        <v/>
      </c>
      <c r="GJ47" s="167" t="str">
        <f t="shared" si="391"/>
        <v/>
      </c>
      <c r="GK47" s="174" t="str">
        <f t="shared" si="59"/>
        <v/>
      </c>
      <c r="GL47" s="174" t="str">
        <f t="shared" si="392"/>
        <v/>
      </c>
      <c r="GM47" s="177" t="str">
        <f t="shared" si="393"/>
        <v/>
      </c>
      <c r="GN47" s="280" t="str">
        <f t="shared" si="394"/>
        <v/>
      </c>
      <c r="GO47" s="4" t="str">
        <f t="shared" si="395"/>
        <v/>
      </c>
      <c r="GP47" s="8" t="str">
        <f t="shared" si="396"/>
        <v/>
      </c>
      <c r="GQ47" s="177" t="str">
        <f t="shared" si="397"/>
        <v/>
      </c>
      <c r="GR47" s="371" t="str">
        <f t="shared" si="398"/>
        <v/>
      </c>
      <c r="GS47" s="342" t="str">
        <f t="shared" si="399"/>
        <v/>
      </c>
      <c r="GT47" s="343" t="str">
        <f t="shared" si="400"/>
        <v/>
      </c>
      <c r="GU47" s="344" t="str">
        <f t="shared" si="63"/>
        <v/>
      </c>
      <c r="GV47" s="343" t="str">
        <f t="shared" si="401"/>
        <v/>
      </c>
      <c r="GW47" s="345" t="str">
        <f t="shared" si="64"/>
        <v/>
      </c>
      <c r="GX47" s="346" t="str">
        <f t="shared" si="65"/>
        <v/>
      </c>
      <c r="GY47" s="344" t="str">
        <f t="shared" si="402"/>
        <v/>
      </c>
      <c r="GZ47" s="345" t="str">
        <f t="shared" si="403"/>
        <v/>
      </c>
      <c r="HA47" s="342" t="str">
        <f t="shared" si="68"/>
        <v/>
      </c>
      <c r="HB47" s="5" t="str">
        <f t="shared" si="231"/>
        <v/>
      </c>
      <c r="HC47" s="343" t="str">
        <f t="shared" si="404"/>
        <v/>
      </c>
      <c r="HD47" s="345" t="str">
        <f t="shared" si="405"/>
        <v/>
      </c>
      <c r="HE47" s="344" t="str">
        <f t="shared" si="69"/>
        <v/>
      </c>
      <c r="HF47" s="5" t="str">
        <f t="shared" si="70"/>
        <v/>
      </c>
      <c r="HG47" s="343" t="str">
        <f t="shared" si="406"/>
        <v/>
      </c>
      <c r="HH47" s="349" t="str">
        <f t="shared" si="407"/>
        <v/>
      </c>
      <c r="HI47" s="317" t="str">
        <f t="shared" si="408"/>
        <v/>
      </c>
      <c r="HJ47" s="336"/>
      <c r="HK47" s="310" t="str">
        <f t="shared" si="459"/>
        <v/>
      </c>
      <c r="HL47" s="348" t="str">
        <f t="shared" si="409"/>
        <v/>
      </c>
      <c r="HM47" s="909" t="str">
        <f t="shared" si="410"/>
        <v/>
      </c>
      <c r="HN47" s="910" t="str">
        <f t="shared" si="411"/>
        <v/>
      </c>
      <c r="HO47" s="911"/>
      <c r="HP47" s="912"/>
      <c r="HQ47" s="910" t="str">
        <f t="shared" si="412"/>
        <v/>
      </c>
      <c r="HR47" s="913" t="str">
        <f t="shared" si="413"/>
        <v/>
      </c>
      <c r="HS47" s="865" t="str">
        <f t="shared" si="460"/>
        <v/>
      </c>
      <c r="HT47" s="875" t="str">
        <f t="shared" si="414"/>
        <v/>
      </c>
      <c r="HU47" s="876" t="str">
        <f t="shared" si="415"/>
        <v/>
      </c>
      <c r="HV47" s="872" t="str">
        <f t="shared" si="416"/>
        <v/>
      </c>
      <c r="HW47" s="866" t="str">
        <f t="shared" si="417"/>
        <v/>
      </c>
      <c r="HX47" s="867" t="str">
        <f t="shared" si="418"/>
        <v/>
      </c>
      <c r="HY47" s="866" t="str">
        <f t="shared" si="419"/>
        <v/>
      </c>
      <c r="HZ47" s="868" t="str">
        <f t="shared" si="420"/>
        <v/>
      </c>
      <c r="IA47" s="869" t="str">
        <f t="shared" si="421"/>
        <v/>
      </c>
      <c r="IB47" s="870" t="str">
        <f t="shared" si="422"/>
        <v/>
      </c>
      <c r="IC47" s="841" t="str">
        <f t="shared" si="423"/>
        <v/>
      </c>
      <c r="ID47" s="351" t="str">
        <f t="shared" si="424"/>
        <v/>
      </c>
      <c r="IE47" s="843" t="str">
        <f t="shared" si="425"/>
        <v/>
      </c>
      <c r="IF47" s="844"/>
      <c r="IG47" s="790" t="str">
        <f>IFERROR(IF($IW47="","",IF($IW47&lt;(((Settings!$C$19/2)*-1)*$IG$8),"Taper","Nose")),"")</f>
        <v/>
      </c>
      <c r="IH47" s="482" t="str">
        <f>IFERROR(IF((((($IY47*COS(RADIANS(180-$JA47)))*COS(RADIANS($JA47)))-(($IZ47*SIN(RADIANS(180-$JA47)))*SIN(RADIANS($JA47))))+$IW47)&lt;(((Settings!$C$19+$IH$8)/2)*-1),"Gage",""),"")</f>
        <v/>
      </c>
      <c r="II47" s="788">
        <f t="shared" si="236"/>
        <v>3.1389999999999998</v>
      </c>
      <c r="IJ47" s="674" t="str" cm="1">
        <f t="array" ref="IJ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K47" s="677" t="str" cm="1">
        <f t="array" ref="IK47">IFERROR(ROUND(VALUE(IF($IJ47&lt;1,$IJ47+LARGE((IF($M$9:$M$150="",0,$M$9:$M$150)-MOD(IF($M$9:$M$150="",0,$M$9:$M$150),1)),1),$IJ47)),4),"")</f>
        <v/>
      </c>
      <c r="IL47" s="482">
        <f t="shared" si="426"/>
        <v>1613</v>
      </c>
      <c r="IM47" s="482" t="str">
        <f t="shared" si="237"/>
        <v/>
      </c>
      <c r="IN47" s="670" t="str">
        <f t="shared" si="427"/>
        <v/>
      </c>
      <c r="IO47" s="702"/>
      <c r="IP47" s="5" t="str">
        <f t="shared" si="428"/>
        <v/>
      </c>
      <c r="IQ47" s="714"/>
      <c r="IR47" s="9" t="str">
        <f t="shared" si="429"/>
        <v/>
      </c>
      <c r="IS47" s="5" t="str">
        <f t="shared" si="430"/>
        <v/>
      </c>
      <c r="IT47" s="5" t="str">
        <f t="shared" si="431"/>
        <v/>
      </c>
      <c r="IU47" s="5" t="str">
        <f t="shared" si="432"/>
        <v/>
      </c>
      <c r="IV47" s="670" t="str">
        <f t="shared" si="433"/>
        <v/>
      </c>
      <c r="IW47" s="9" t="str">
        <f t="shared" si="434"/>
        <v/>
      </c>
      <c r="IX47" s="5" t="str">
        <f t="shared" si="435"/>
        <v/>
      </c>
      <c r="IY47" s="5" t="str">
        <f t="shared" si="436"/>
        <v/>
      </c>
      <c r="IZ47" s="5" t="str">
        <f t="shared" si="437"/>
        <v/>
      </c>
      <c r="JA47" s="705" t="str">
        <f t="shared" si="438"/>
        <v/>
      </c>
    </row>
    <row r="48" spans="1:269" ht="15" customHeight="1" x14ac:dyDescent="0.25">
      <c r="A48" s="75">
        <f t="shared" si="256"/>
        <v>0.02</v>
      </c>
      <c r="B48" s="578">
        <f t="shared" si="257"/>
        <v>4.016135352304981</v>
      </c>
      <c r="C48" s="572">
        <f t="shared" si="258"/>
        <v>-3.069947807331213</v>
      </c>
      <c r="D48" s="576">
        <f t="shared" si="259"/>
        <v>-2.8490882343532911</v>
      </c>
      <c r="E48" s="580">
        <f t="shared" si="260"/>
        <v>0.92020555240507906</v>
      </c>
      <c r="F48" s="572">
        <f t="shared" si="261"/>
        <v>0.38900501788106984</v>
      </c>
      <c r="G48" s="579">
        <f t="shared" si="262"/>
        <v>4.3552696658323037E-2</v>
      </c>
      <c r="H48" s="580">
        <f t="shared" si="263"/>
        <v>0.3125</v>
      </c>
      <c r="I48" s="572">
        <f t="shared" si="264"/>
        <v>0.52</v>
      </c>
      <c r="J48" s="483">
        <f t="shared" si="265"/>
        <v>3.145</v>
      </c>
      <c r="K48" s="806">
        <f t="shared" si="266"/>
        <v>1613</v>
      </c>
      <c r="L48" s="309"/>
      <c r="M48" s="164">
        <f t="shared" si="267"/>
        <v>3.145</v>
      </c>
      <c r="N48" s="575">
        <f t="shared" si="268"/>
        <v>4.016135352304981</v>
      </c>
      <c r="O48" s="572">
        <f t="shared" si="269"/>
        <v>-3.069947807331213</v>
      </c>
      <c r="P48" s="576">
        <f t="shared" si="270"/>
        <v>-2.8490882343532911</v>
      </c>
      <c r="Q48" s="528">
        <f t="shared" si="140"/>
        <v>322.60557827379552</v>
      </c>
      <c r="R48" s="572">
        <f t="shared" si="101"/>
        <v>5.0550887932628417</v>
      </c>
      <c r="S48" s="577">
        <f t="shared" si="102"/>
        <v>-2.8490882343532911</v>
      </c>
      <c r="T48" s="578">
        <f t="shared" si="103"/>
        <v>-3.0395170837440633</v>
      </c>
      <c r="U48" s="572">
        <f t="shared" si="104"/>
        <v>-4.039215097689099</v>
      </c>
      <c r="V48" s="579">
        <f t="shared" si="141"/>
        <v>-2.8490882343532911</v>
      </c>
      <c r="W48" s="528">
        <f t="shared" si="253"/>
        <v>233.0384691196665</v>
      </c>
      <c r="X48" s="572">
        <f t="shared" si="105"/>
        <v>5.0550887932628417</v>
      </c>
      <c r="Y48" s="573">
        <f t="shared" si="255"/>
        <v>-2.8490882343532911</v>
      </c>
      <c r="Z48" s="575">
        <f t="shared" si="271"/>
        <v>-0.92020555240507906</v>
      </c>
      <c r="AA48" s="572">
        <f t="shared" si="272"/>
        <v>-0.38900501788106984</v>
      </c>
      <c r="AB48" s="572">
        <f t="shared" si="273"/>
        <v>-4.3552696658323037E-2</v>
      </c>
      <c r="AC48" s="579">
        <f t="shared" si="106"/>
        <v>1</v>
      </c>
      <c r="AD48" s="580">
        <f t="shared" si="142"/>
        <v>-0.92020555240507906</v>
      </c>
      <c r="AE48" s="572">
        <f t="shared" si="107"/>
        <v>-0.38900501788106984</v>
      </c>
      <c r="AF48" s="576">
        <f t="shared" si="108"/>
        <v>-4.3552696658323037E-2</v>
      </c>
      <c r="AG48" s="545">
        <f t="shared" si="109"/>
        <v>-83.611812521579807</v>
      </c>
      <c r="AH48" s="546">
        <f t="shared" si="110"/>
        <v>156.95615081079271</v>
      </c>
      <c r="AI48" s="528">
        <f t="shared" si="111"/>
        <v>-87.50382473077525</v>
      </c>
      <c r="AJ48" s="529">
        <f t="shared" si="112"/>
        <v>-67.084416478953017</v>
      </c>
      <c r="AK48" s="578">
        <f t="shared" si="238"/>
        <v>0.86789372093390571</v>
      </c>
      <c r="AL48" s="572">
        <f t="shared" si="113"/>
        <v>-0.4948369951582926</v>
      </c>
      <c r="AM48" s="577">
        <f t="shared" si="114"/>
        <v>-4.3552696658323037E-2</v>
      </c>
      <c r="AN48" s="524">
        <f t="shared" si="115"/>
        <v>-84.97011741683842</v>
      </c>
      <c r="AO48" s="525">
        <f t="shared" si="116"/>
        <v>29.785208788526909</v>
      </c>
      <c r="AP48" s="528">
        <f t="shared" si="117"/>
        <v>-29.68999475274855</v>
      </c>
      <c r="AQ48" s="529">
        <f t="shared" si="274"/>
        <v>0.90187865672700995</v>
      </c>
      <c r="AS48" s="932">
        <f t="shared" si="461"/>
        <v>233.0384691196665</v>
      </c>
      <c r="AT48" s="928">
        <f t="shared" si="275"/>
        <v>-2.676477355649713</v>
      </c>
      <c r="AU48" s="418"/>
      <c r="AV48" s="164" t="str">
        <f t="shared" si="276"/>
        <v/>
      </c>
      <c r="AW48" s="829" t="str">
        <f>IFERROR(INDEX(MassProp!C$9:C$150,MATCH($M48,MassProp!$B$9:$B$150,0)),"")</f>
        <v/>
      </c>
      <c r="AX48" s="830" t="str">
        <f>IFERROR(INDEX(MassProp!D$9:D$150,MATCH($M48,MassProp!$B$9:$B$150,0)),"")</f>
        <v/>
      </c>
      <c r="AY48" s="831" t="str">
        <f>IFERROR(INDEX(MassProp!E$9:E$150,MATCH($M48,MassProp!$B$9:$B$150,0)),"")</f>
        <v/>
      </c>
      <c r="AZ48" s="297" t="str">
        <f t="shared" si="277"/>
        <v/>
      </c>
      <c r="BA48" s="296" t="str">
        <f t="shared" si="278"/>
        <v/>
      </c>
      <c r="BB48" s="190" t="str">
        <f t="shared" si="145"/>
        <v/>
      </c>
      <c r="BC48" s="9"/>
      <c r="BD48" s="5" t="str">
        <f t="shared" si="279"/>
        <v/>
      </c>
      <c r="BE48" s="6" t="str">
        <f t="shared" si="280"/>
        <v/>
      </c>
      <c r="BF48" s="4" t="str">
        <f t="shared" si="281"/>
        <v/>
      </c>
      <c r="BG48" s="5" t="str">
        <f t="shared" si="282"/>
        <v/>
      </c>
      <c r="BH48" s="10" t="str">
        <f t="shared" si="283"/>
        <v/>
      </c>
      <c r="BI48" s="9" t="str">
        <f t="shared" si="284"/>
        <v/>
      </c>
      <c r="BJ48" s="5" t="str">
        <f t="shared" si="285"/>
        <v/>
      </c>
      <c r="BK48" s="8" t="str">
        <f t="shared" si="286"/>
        <v/>
      </c>
      <c r="BL48" s="173" t="str">
        <f t="shared" si="287"/>
        <v/>
      </c>
      <c r="BM48" s="5" t="str">
        <f t="shared" si="288"/>
        <v/>
      </c>
      <c r="BN48" s="6" t="str">
        <f t="shared" si="289"/>
        <v/>
      </c>
      <c r="BO48" s="4" t="str">
        <f t="shared" si="290"/>
        <v/>
      </c>
      <c r="BP48" s="5" t="str">
        <f t="shared" si="239"/>
        <v/>
      </c>
      <c r="BQ48" s="5" t="str">
        <f t="shared" si="291"/>
        <v/>
      </c>
      <c r="BR48" s="6" t="str">
        <f t="shared" si="292"/>
        <v/>
      </c>
      <c r="BS48" s="4" t="str">
        <f t="shared" si="458"/>
        <v/>
      </c>
      <c r="BT48" s="5" t="str">
        <f t="shared" si="458"/>
        <v/>
      </c>
      <c r="BU48" s="10" t="str">
        <f t="shared" si="119"/>
        <v/>
      </c>
      <c r="BV48" s="9" t="str">
        <f t="shared" si="120"/>
        <v/>
      </c>
      <c r="BW48" s="5" t="str">
        <f t="shared" si="121"/>
        <v/>
      </c>
      <c r="BX48" s="8" t="str">
        <f t="shared" si="122"/>
        <v/>
      </c>
      <c r="BY48" s="173" t="str">
        <f t="shared" si="123"/>
        <v/>
      </c>
      <c r="BZ48" s="5" t="str">
        <f t="shared" si="124"/>
        <v/>
      </c>
      <c r="CA48" s="6" t="str">
        <f t="shared" si="125"/>
        <v/>
      </c>
      <c r="CB48" s="4" t="str">
        <f t="shared" si="293"/>
        <v/>
      </c>
      <c r="CC48" s="5" t="str">
        <f t="shared" si="294"/>
        <v/>
      </c>
      <c r="CD48" s="5" t="str">
        <f t="shared" si="295"/>
        <v/>
      </c>
      <c r="CE48" s="6" t="str">
        <f t="shared" si="296"/>
        <v/>
      </c>
      <c r="CF48" s="4" t="str">
        <f t="shared" si="297"/>
        <v/>
      </c>
      <c r="CG48" s="5" t="str">
        <f t="shared" si="298"/>
        <v/>
      </c>
      <c r="CH48" s="5" t="str">
        <f t="shared" si="299"/>
        <v/>
      </c>
      <c r="CI48" s="4" t="str">
        <f t="shared" si="126"/>
        <v/>
      </c>
      <c r="CJ48" s="5" t="str">
        <f t="shared" si="300"/>
        <v/>
      </c>
      <c r="CK48" s="8" t="str">
        <f t="shared" si="301"/>
        <v/>
      </c>
      <c r="CL48" s="173" t="str">
        <f t="shared" si="302"/>
        <v/>
      </c>
      <c r="CM48" s="5" t="str">
        <f t="shared" si="303"/>
        <v/>
      </c>
      <c r="CN48" s="6" t="str">
        <f t="shared" si="304"/>
        <v/>
      </c>
      <c r="CO48" s="167" t="str">
        <f t="shared" si="305"/>
        <v/>
      </c>
      <c r="CP48" s="4" t="str">
        <f t="shared" si="306"/>
        <v/>
      </c>
      <c r="CQ48" s="5" t="str">
        <f t="shared" si="307"/>
        <v/>
      </c>
      <c r="CR48" s="5" t="str">
        <f t="shared" si="308"/>
        <v/>
      </c>
      <c r="CS48" s="8" t="str">
        <f t="shared" si="309"/>
        <v/>
      </c>
      <c r="CT48" s="9" t="str">
        <f t="shared" si="160"/>
        <v/>
      </c>
      <c r="CU48" s="6" t="str">
        <f t="shared" si="310"/>
        <v/>
      </c>
      <c r="CV48" s="4" t="str">
        <f t="shared" si="311"/>
        <v/>
      </c>
      <c r="CW48" s="5" t="str">
        <f t="shared" si="312"/>
        <v/>
      </c>
      <c r="CX48" s="8" t="str">
        <f t="shared" si="313"/>
        <v/>
      </c>
      <c r="CY48" s="9" t="str">
        <f t="shared" si="314"/>
        <v/>
      </c>
      <c r="CZ48" s="5" t="str">
        <f t="shared" si="315"/>
        <v/>
      </c>
      <c r="DA48" s="6" t="str">
        <f t="shared" si="316"/>
        <v/>
      </c>
      <c r="DB48" s="4" t="str">
        <f t="shared" si="462"/>
        <v/>
      </c>
      <c r="DC48" s="5" t="str">
        <f t="shared" si="462"/>
        <v/>
      </c>
      <c r="DD48" s="10" t="str">
        <f t="shared" si="168"/>
        <v/>
      </c>
      <c r="DE48" s="9" t="str">
        <f t="shared" si="463"/>
        <v/>
      </c>
      <c r="DF48" s="5" t="str">
        <f t="shared" si="463"/>
        <v/>
      </c>
      <c r="DG48" s="10" t="str">
        <f t="shared" si="170"/>
        <v/>
      </c>
      <c r="DH48" s="70" t="str">
        <f t="shared" si="317"/>
        <v/>
      </c>
      <c r="DI48" s="4" t="str">
        <f t="shared" si="318"/>
        <v/>
      </c>
      <c r="DJ48" s="5" t="str">
        <f t="shared" si="319"/>
        <v/>
      </c>
      <c r="DK48" s="10" t="str">
        <f t="shared" si="320"/>
        <v/>
      </c>
      <c r="DL48" s="9" t="str">
        <f t="shared" si="321"/>
        <v/>
      </c>
      <c r="DM48" s="173" t="str">
        <f t="shared" si="322"/>
        <v/>
      </c>
      <c r="DN48" s="178" t="str">
        <f t="shared" si="323"/>
        <v/>
      </c>
      <c r="DO48" s="9" t="str">
        <f t="shared" si="324"/>
        <v/>
      </c>
      <c r="DP48" s="173" t="str">
        <f t="shared" si="325"/>
        <v/>
      </c>
      <c r="DQ48" s="11" t="str">
        <f t="shared" si="326"/>
        <v/>
      </c>
      <c r="DR48" s="173" t="str">
        <f t="shared" si="327"/>
        <v/>
      </c>
      <c r="DS48" s="5" t="str">
        <f t="shared" si="328"/>
        <v/>
      </c>
      <c r="DT48" s="5" t="str">
        <f t="shared" si="329"/>
        <v/>
      </c>
      <c r="DU48" s="5" t="str">
        <f t="shared" si="330"/>
        <v/>
      </c>
      <c r="DV48" s="5" t="str">
        <f t="shared" si="331"/>
        <v/>
      </c>
      <c r="DW48" s="5" t="str">
        <f t="shared" si="332"/>
        <v/>
      </c>
      <c r="DX48" s="167" t="str">
        <f t="shared" si="333"/>
        <v/>
      </c>
      <c r="DY48" s="9" t="str">
        <f t="shared" si="334"/>
        <v/>
      </c>
      <c r="DZ48" s="5" t="str">
        <f t="shared" si="335"/>
        <v/>
      </c>
      <c r="EA48" s="10" t="str">
        <f t="shared" si="336"/>
        <v/>
      </c>
      <c r="EB48" s="6" t="str">
        <f t="shared" si="337"/>
        <v/>
      </c>
      <c r="EC48" s="173" t="str">
        <f t="shared" si="338"/>
        <v/>
      </c>
      <c r="ED48" s="5" t="str">
        <f t="shared" si="339"/>
        <v/>
      </c>
      <c r="EE48" s="4" t="str">
        <f t="shared" si="340"/>
        <v/>
      </c>
      <c r="EF48" s="5" t="str">
        <f t="shared" si="341"/>
        <v/>
      </c>
      <c r="EG48" s="10" t="str">
        <f t="shared" si="342"/>
        <v/>
      </c>
      <c r="EH48" s="9" t="str">
        <f t="shared" si="343"/>
        <v/>
      </c>
      <c r="EI48" s="5" t="str">
        <f t="shared" si="344"/>
        <v/>
      </c>
      <c r="EJ48" s="6" t="str">
        <f t="shared" si="345"/>
        <v/>
      </c>
      <c r="EK48" s="236" t="str">
        <f t="shared" si="200"/>
        <v/>
      </c>
      <c r="EL48" s="238" t="str">
        <f t="shared" si="201"/>
        <v/>
      </c>
      <c r="EM48" s="4" t="str">
        <f t="shared" si="346"/>
        <v/>
      </c>
      <c r="EN48" s="5" t="str">
        <f t="shared" si="347"/>
        <v/>
      </c>
      <c r="EO48" s="10" t="str">
        <f t="shared" si="348"/>
        <v/>
      </c>
      <c r="EP48" s="9" t="str">
        <f t="shared" si="349"/>
        <v/>
      </c>
      <c r="EQ48" s="5" t="str">
        <f t="shared" si="350"/>
        <v/>
      </c>
      <c r="ER48" s="7" t="str">
        <f t="shared" si="351"/>
        <v/>
      </c>
      <c r="ES48" s="21" t="str">
        <f t="shared" si="352"/>
        <v/>
      </c>
      <c r="ET48" s="5" t="str">
        <f t="shared" si="353"/>
        <v/>
      </c>
      <c r="EU48" s="10" t="str">
        <f t="shared" si="354"/>
        <v/>
      </c>
      <c r="EV48" s="174" t="str">
        <f t="shared" si="355"/>
        <v/>
      </c>
      <c r="EW48" s="9" t="str">
        <f t="shared" si="356"/>
        <v/>
      </c>
      <c r="EX48" s="5" t="str">
        <f t="shared" si="357"/>
        <v/>
      </c>
      <c r="EY48" s="6" t="str">
        <f t="shared" si="358"/>
        <v/>
      </c>
      <c r="EZ48" s="51" t="str">
        <f t="shared" si="209"/>
        <v/>
      </c>
      <c r="FA48" s="266" t="str">
        <f t="shared" si="134"/>
        <v/>
      </c>
      <c r="FB48" s="267" t="str">
        <f t="shared" si="135"/>
        <v/>
      </c>
      <c r="FC48" s="269" t="str">
        <f t="shared" si="48"/>
        <v/>
      </c>
      <c r="FD48" s="4" t="str">
        <f t="shared" si="359"/>
        <v/>
      </c>
      <c r="FE48" s="5" t="str">
        <f t="shared" si="360"/>
        <v/>
      </c>
      <c r="FF48" s="7" t="str">
        <f t="shared" si="361"/>
        <v/>
      </c>
      <c r="FG48" s="173" t="str">
        <f t="shared" si="362"/>
        <v/>
      </c>
      <c r="FH48" s="5" t="str">
        <f t="shared" si="363"/>
        <v/>
      </c>
      <c r="FI48" s="10" t="str">
        <f t="shared" si="364"/>
        <v/>
      </c>
      <c r="FJ48" s="279" t="str">
        <f t="shared" si="365"/>
        <v/>
      </c>
      <c r="FK48" s="4" t="str">
        <f t="shared" si="366"/>
        <v/>
      </c>
      <c r="FL48" s="5" t="str">
        <f t="shared" si="367"/>
        <v/>
      </c>
      <c r="FM48" s="8" t="str">
        <f t="shared" si="368"/>
        <v/>
      </c>
      <c r="FN48" s="9" t="str">
        <f t="shared" si="369"/>
        <v/>
      </c>
      <c r="FO48" s="10" t="str">
        <f t="shared" si="370"/>
        <v/>
      </c>
      <c r="FP48" s="277" t="str">
        <f t="shared" si="371"/>
        <v/>
      </c>
      <c r="FQ48" s="173" t="str">
        <f t="shared" si="372"/>
        <v/>
      </c>
      <c r="FR48" s="10" t="str">
        <f t="shared" si="373"/>
        <v/>
      </c>
      <c r="FS48" s="9" t="str">
        <f t="shared" si="374"/>
        <v/>
      </c>
      <c r="FT48" s="6" t="str">
        <f t="shared" si="375"/>
        <v/>
      </c>
      <c r="FU48" s="4" t="str">
        <f t="shared" si="376"/>
        <v/>
      </c>
      <c r="FV48" s="5" t="str">
        <f t="shared" si="377"/>
        <v/>
      </c>
      <c r="FW48" s="8" t="str">
        <f t="shared" si="378"/>
        <v/>
      </c>
      <c r="FX48" s="9" t="str">
        <f t="shared" si="379"/>
        <v/>
      </c>
      <c r="FY48" s="10" t="str">
        <f t="shared" si="380"/>
        <v/>
      </c>
      <c r="FZ48" s="277" t="str">
        <f t="shared" si="381"/>
        <v/>
      </c>
      <c r="GA48" s="177" t="str">
        <f t="shared" si="382"/>
        <v/>
      </c>
      <c r="GB48" s="4" t="str">
        <f t="shared" si="383"/>
        <v/>
      </c>
      <c r="GC48" s="5" t="str">
        <f t="shared" si="384"/>
        <v/>
      </c>
      <c r="GD48" s="10" t="str">
        <f t="shared" si="385"/>
        <v/>
      </c>
      <c r="GE48" s="311" t="str">
        <f t="shared" si="386"/>
        <v/>
      </c>
      <c r="GF48" s="341" t="str">
        <f t="shared" si="387"/>
        <v/>
      </c>
      <c r="GG48" s="285" t="str">
        <f t="shared" si="388"/>
        <v/>
      </c>
      <c r="GH48" s="286" t="str">
        <f t="shared" si="389"/>
        <v/>
      </c>
      <c r="GI48" s="281" t="str">
        <f t="shared" si="390"/>
        <v/>
      </c>
      <c r="GJ48" s="167" t="str">
        <f t="shared" si="391"/>
        <v/>
      </c>
      <c r="GK48" s="174" t="str">
        <f t="shared" si="59"/>
        <v/>
      </c>
      <c r="GL48" s="174" t="str">
        <f t="shared" si="392"/>
        <v/>
      </c>
      <c r="GM48" s="177" t="str">
        <f t="shared" si="393"/>
        <v/>
      </c>
      <c r="GN48" s="280" t="str">
        <f t="shared" si="394"/>
        <v/>
      </c>
      <c r="GO48" s="4" t="str">
        <f t="shared" si="395"/>
        <v/>
      </c>
      <c r="GP48" s="8" t="str">
        <f t="shared" si="396"/>
        <v/>
      </c>
      <c r="GQ48" s="177" t="str">
        <f t="shared" si="397"/>
        <v/>
      </c>
      <c r="GR48" s="371" t="str">
        <f t="shared" si="398"/>
        <v/>
      </c>
      <c r="GS48" s="342" t="str">
        <f t="shared" si="399"/>
        <v/>
      </c>
      <c r="GT48" s="343" t="str">
        <f t="shared" si="400"/>
        <v/>
      </c>
      <c r="GU48" s="344" t="str">
        <f t="shared" si="63"/>
        <v/>
      </c>
      <c r="GV48" s="343" t="str">
        <f t="shared" si="401"/>
        <v/>
      </c>
      <c r="GW48" s="345" t="str">
        <f t="shared" si="64"/>
        <v/>
      </c>
      <c r="GX48" s="346" t="str">
        <f t="shared" si="65"/>
        <v/>
      </c>
      <c r="GY48" s="344" t="str">
        <f t="shared" si="402"/>
        <v/>
      </c>
      <c r="GZ48" s="345" t="str">
        <f t="shared" si="403"/>
        <v/>
      </c>
      <c r="HA48" s="342" t="str">
        <f t="shared" si="68"/>
        <v/>
      </c>
      <c r="HB48" s="5" t="str">
        <f t="shared" si="231"/>
        <v/>
      </c>
      <c r="HC48" s="343" t="str">
        <f t="shared" si="404"/>
        <v/>
      </c>
      <c r="HD48" s="345" t="str">
        <f t="shared" si="405"/>
        <v/>
      </c>
      <c r="HE48" s="344" t="str">
        <f t="shared" si="69"/>
        <v/>
      </c>
      <c r="HF48" s="5" t="str">
        <f t="shared" si="70"/>
        <v/>
      </c>
      <c r="HG48" s="343" t="str">
        <f t="shared" si="406"/>
        <v/>
      </c>
      <c r="HH48" s="349" t="str">
        <f t="shared" si="407"/>
        <v/>
      </c>
      <c r="HI48" s="317" t="str">
        <f t="shared" si="408"/>
        <v/>
      </c>
      <c r="HJ48" s="336"/>
      <c r="HK48" s="310" t="str">
        <f t="shared" si="459"/>
        <v/>
      </c>
      <c r="HL48" s="348" t="str">
        <f t="shared" si="409"/>
        <v/>
      </c>
      <c r="HM48" s="909" t="str">
        <f t="shared" si="410"/>
        <v/>
      </c>
      <c r="HN48" s="910" t="str">
        <f t="shared" si="411"/>
        <v/>
      </c>
      <c r="HO48" s="911"/>
      <c r="HP48" s="912"/>
      <c r="HQ48" s="910" t="str">
        <f t="shared" si="412"/>
        <v/>
      </c>
      <c r="HR48" s="913" t="str">
        <f t="shared" si="413"/>
        <v/>
      </c>
      <c r="HS48" s="865" t="str">
        <f t="shared" si="460"/>
        <v/>
      </c>
      <c r="HT48" s="875" t="str">
        <f t="shared" si="414"/>
        <v/>
      </c>
      <c r="HU48" s="876" t="str">
        <f t="shared" si="415"/>
        <v/>
      </c>
      <c r="HV48" s="872" t="str">
        <f t="shared" si="416"/>
        <v/>
      </c>
      <c r="HW48" s="866" t="str">
        <f t="shared" si="417"/>
        <v/>
      </c>
      <c r="HX48" s="867" t="str">
        <f t="shared" si="418"/>
        <v/>
      </c>
      <c r="HY48" s="866" t="str">
        <f t="shared" si="419"/>
        <v/>
      </c>
      <c r="HZ48" s="868" t="str">
        <f t="shared" si="420"/>
        <v/>
      </c>
      <c r="IA48" s="869" t="str">
        <f t="shared" si="421"/>
        <v/>
      </c>
      <c r="IB48" s="870" t="str">
        <f t="shared" si="422"/>
        <v/>
      </c>
      <c r="IC48" s="841" t="str">
        <f t="shared" si="423"/>
        <v/>
      </c>
      <c r="ID48" s="351" t="str">
        <f t="shared" si="424"/>
        <v/>
      </c>
      <c r="IE48" s="843" t="str">
        <f t="shared" si="425"/>
        <v/>
      </c>
      <c r="IF48" s="844"/>
      <c r="IG48" s="790" t="str">
        <f>IFERROR(IF($IW48="","",IF($IW48&lt;(((Settings!$C$19/2)*-1)*$IG$8),"Taper","Nose")),"")</f>
        <v/>
      </c>
      <c r="IH48" s="482" t="str">
        <f>IFERROR(IF((((($IY48*COS(RADIANS(180-$JA48)))*COS(RADIANS($JA48)))-(($IZ48*SIN(RADIANS(180-$JA48)))*SIN(RADIANS($JA48))))+$IW48)&lt;(((Settings!$C$19+$IH$8)/2)*-1),"Gage",""),"")</f>
        <v/>
      </c>
      <c r="II48" s="788">
        <f t="shared" si="236"/>
        <v>3.145</v>
      </c>
      <c r="IJ48" s="674" t="str" cm="1">
        <f t="array" ref="IJ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K48" s="677" t="str" cm="1">
        <f t="array" ref="IK48">IFERROR(ROUND(VALUE(IF($IJ48&lt;1,$IJ48+LARGE((IF($M$9:$M$150="",0,$M$9:$M$150)-MOD(IF($M$9:$M$150="",0,$M$9:$M$150),1)),1),$IJ48)),4),"")</f>
        <v/>
      </c>
      <c r="IL48" s="482">
        <f t="shared" si="426"/>
        <v>1613</v>
      </c>
      <c r="IM48" s="482" t="str">
        <f t="shared" si="237"/>
        <v/>
      </c>
      <c r="IN48" s="670" t="str">
        <f t="shared" si="427"/>
        <v/>
      </c>
      <c r="IO48" s="702"/>
      <c r="IP48" s="5" t="str">
        <f t="shared" si="428"/>
        <v/>
      </c>
      <c r="IQ48" s="714"/>
      <c r="IR48" s="9" t="str">
        <f t="shared" si="429"/>
        <v/>
      </c>
      <c r="IS48" s="5" t="str">
        <f t="shared" si="430"/>
        <v/>
      </c>
      <c r="IT48" s="5" t="str">
        <f t="shared" si="431"/>
        <v/>
      </c>
      <c r="IU48" s="5" t="str">
        <f t="shared" si="432"/>
        <v/>
      </c>
      <c r="IV48" s="670" t="str">
        <f t="shared" si="433"/>
        <v/>
      </c>
      <c r="IW48" s="9" t="str">
        <f t="shared" si="434"/>
        <v/>
      </c>
      <c r="IX48" s="5" t="str">
        <f t="shared" si="435"/>
        <v/>
      </c>
      <c r="IY48" s="5" t="str">
        <f t="shared" si="436"/>
        <v/>
      </c>
      <c r="IZ48" s="5" t="str">
        <f t="shared" si="437"/>
        <v/>
      </c>
      <c r="JA48" s="705" t="str">
        <f t="shared" si="438"/>
        <v/>
      </c>
    </row>
    <row r="49" spans="1:261" ht="15" customHeight="1" x14ac:dyDescent="0.25">
      <c r="A49" s="75">
        <f t="shared" si="256"/>
        <v>0</v>
      </c>
      <c r="B49" s="578">
        <f t="shared" si="257"/>
        <v>1.7789197706905002</v>
      </c>
      <c r="C49" s="572">
        <f t="shared" si="258"/>
        <v>-2.4973412401661488</v>
      </c>
      <c r="D49" s="576">
        <f t="shared" si="259"/>
        <v>-0.10702467933374853</v>
      </c>
      <c r="E49" s="580">
        <f t="shared" si="260"/>
        <v>-1.0125544391852953E-2</v>
      </c>
      <c r="F49" s="572">
        <f t="shared" si="261"/>
        <v>1.4214772361033511E-2</v>
      </c>
      <c r="G49" s="579">
        <f t="shared" si="262"/>
        <v>0.99984769520037031</v>
      </c>
      <c r="H49" s="580">
        <f t="shared" si="263"/>
        <v>0.255</v>
      </c>
      <c r="I49" s="572">
        <f t="shared" si="264"/>
        <v>0.41499999999999992</v>
      </c>
      <c r="J49" s="483">
        <f t="shared" si="265"/>
        <v>3.2149999999999999</v>
      </c>
      <c r="K49" s="806" t="str">
        <f t="shared" si="266"/>
        <v>CPS-32193r1</v>
      </c>
      <c r="L49" s="309"/>
      <c r="M49" s="164">
        <f t="shared" si="267"/>
        <v>3.2149999999999999</v>
      </c>
      <c r="N49" s="575">
        <f t="shared" si="268"/>
        <v>1.7789197706905002</v>
      </c>
      <c r="O49" s="572">
        <f t="shared" si="269"/>
        <v>-2.4973412401661488</v>
      </c>
      <c r="P49" s="576">
        <f t="shared" si="270"/>
        <v>-0.10702467933374853</v>
      </c>
      <c r="Q49" s="528">
        <f t="shared" si="140"/>
        <v>305.46323888994112</v>
      </c>
      <c r="R49" s="572">
        <f t="shared" si="101"/>
        <v>3.0661488581587393</v>
      </c>
      <c r="S49" s="577">
        <f t="shared" si="102"/>
        <v>-0.10702467933374853</v>
      </c>
      <c r="T49" s="578">
        <f t="shared" si="103"/>
        <v>-2.4838296916633915</v>
      </c>
      <c r="U49" s="572">
        <f t="shared" si="104"/>
        <v>-1.7977371563160958</v>
      </c>
      <c r="V49" s="579">
        <f t="shared" si="141"/>
        <v>-0.10702467933374853</v>
      </c>
      <c r="W49" s="528">
        <f t="shared" si="253"/>
        <v>215.89612973581211</v>
      </c>
      <c r="X49" s="572">
        <f t="shared" si="105"/>
        <v>3.0661488581587393</v>
      </c>
      <c r="Y49" s="573">
        <f t="shared" si="255"/>
        <v>-0.10702467933374853</v>
      </c>
      <c r="Z49" s="575">
        <f t="shared" si="271"/>
        <v>1.0125544391852953E-2</v>
      </c>
      <c r="AA49" s="572">
        <f t="shared" si="272"/>
        <v>-1.4214772361033511E-2</v>
      </c>
      <c r="AB49" s="572">
        <f t="shared" si="273"/>
        <v>-0.99984769520037031</v>
      </c>
      <c r="AC49" s="579">
        <f t="shared" si="106"/>
        <v>1</v>
      </c>
      <c r="AD49" s="580">
        <f t="shared" si="142"/>
        <v>1.0125544391852953E-2</v>
      </c>
      <c r="AE49" s="572">
        <f t="shared" si="107"/>
        <v>-1.4214772361033511E-2</v>
      </c>
      <c r="AF49" s="576">
        <f t="shared" si="108"/>
        <v>-0.99984769520037031</v>
      </c>
      <c r="AG49" s="545">
        <f t="shared" si="109"/>
        <v>-0.81451565199267384</v>
      </c>
      <c r="AH49" s="546">
        <f t="shared" si="110"/>
        <v>89.419839127128071</v>
      </c>
      <c r="AI49" s="528">
        <f t="shared" si="111"/>
        <v>-0.99999985561788196</v>
      </c>
      <c r="AJ49" s="529">
        <f t="shared" si="112"/>
        <v>35.463238889941167</v>
      </c>
      <c r="AK49" s="578">
        <f t="shared" si="238"/>
        <v>-1.7347234759768071E-17</v>
      </c>
      <c r="AL49" s="572">
        <f t="shared" si="113"/>
        <v>1.7452403917723971E-2</v>
      </c>
      <c r="AM49" s="577">
        <f t="shared" si="114"/>
        <v>-0.99984769520037031</v>
      </c>
      <c r="AN49" s="524">
        <f t="shared" si="115"/>
        <v>0.99999985561788196</v>
      </c>
      <c r="AO49" s="525">
        <f t="shared" si="116"/>
        <v>0</v>
      </c>
      <c r="AP49" s="528">
        <f t="shared" si="117"/>
        <v>90.000000000000057</v>
      </c>
      <c r="AQ49" s="529">
        <f t="shared" si="274"/>
        <v>1.486695577611084</v>
      </c>
      <c r="AS49" s="932">
        <f t="shared" si="461"/>
        <v>215.89612973581211</v>
      </c>
      <c r="AT49" s="928">
        <f t="shared" si="275"/>
        <v>8.9395004069627179E-2</v>
      </c>
      <c r="AU49" s="418"/>
      <c r="AV49" s="164" t="str">
        <f t="shared" si="276"/>
        <v/>
      </c>
      <c r="AW49" s="829" t="str">
        <f>IFERROR(INDEX(MassProp!C$9:C$150,MATCH($M49,MassProp!$B$9:$B$150,0)),"")</f>
        <v/>
      </c>
      <c r="AX49" s="830" t="str">
        <f>IFERROR(INDEX(MassProp!D$9:D$150,MATCH($M49,MassProp!$B$9:$B$150,0)),"")</f>
        <v/>
      </c>
      <c r="AY49" s="831" t="str">
        <f>IFERROR(INDEX(MassProp!E$9:E$150,MATCH($M49,MassProp!$B$9:$B$150,0)),"")</f>
        <v/>
      </c>
      <c r="AZ49" s="297" t="str">
        <f t="shared" si="277"/>
        <v/>
      </c>
      <c r="BA49" s="296" t="str">
        <f t="shared" si="278"/>
        <v/>
      </c>
      <c r="BB49" s="190" t="str">
        <f t="shared" si="145"/>
        <v/>
      </c>
      <c r="BC49" s="9"/>
      <c r="BD49" s="5" t="str">
        <f t="shared" si="279"/>
        <v/>
      </c>
      <c r="BE49" s="6" t="str">
        <f t="shared" si="280"/>
        <v/>
      </c>
      <c r="BF49" s="4" t="str">
        <f t="shared" si="281"/>
        <v/>
      </c>
      <c r="BG49" s="5" t="str">
        <f t="shared" si="282"/>
        <v/>
      </c>
      <c r="BH49" s="10" t="str">
        <f t="shared" si="283"/>
        <v/>
      </c>
      <c r="BI49" s="9" t="str">
        <f t="shared" si="284"/>
        <v/>
      </c>
      <c r="BJ49" s="5" t="str">
        <f t="shared" si="285"/>
        <v/>
      </c>
      <c r="BK49" s="8" t="str">
        <f t="shared" si="286"/>
        <v/>
      </c>
      <c r="BL49" s="173" t="str">
        <f t="shared" si="287"/>
        <v/>
      </c>
      <c r="BM49" s="5" t="str">
        <f t="shared" si="288"/>
        <v/>
      </c>
      <c r="BN49" s="6" t="str">
        <f t="shared" si="289"/>
        <v/>
      </c>
      <c r="BO49" s="4" t="str">
        <f t="shared" si="290"/>
        <v/>
      </c>
      <c r="BP49" s="5" t="str">
        <f t="shared" si="239"/>
        <v/>
      </c>
      <c r="BQ49" s="5" t="str">
        <f t="shared" si="291"/>
        <v/>
      </c>
      <c r="BR49" s="6" t="str">
        <f t="shared" si="292"/>
        <v/>
      </c>
      <c r="BS49" s="4" t="str">
        <f t="shared" si="458"/>
        <v/>
      </c>
      <c r="BT49" s="5" t="str">
        <f t="shared" si="458"/>
        <v/>
      </c>
      <c r="BU49" s="10" t="str">
        <f t="shared" si="119"/>
        <v/>
      </c>
      <c r="BV49" s="9" t="str">
        <f t="shared" si="120"/>
        <v/>
      </c>
      <c r="BW49" s="5" t="str">
        <f t="shared" si="121"/>
        <v/>
      </c>
      <c r="BX49" s="8" t="str">
        <f t="shared" si="122"/>
        <v/>
      </c>
      <c r="BY49" s="173" t="str">
        <f t="shared" si="123"/>
        <v/>
      </c>
      <c r="BZ49" s="5" t="str">
        <f t="shared" si="124"/>
        <v/>
      </c>
      <c r="CA49" s="6" t="str">
        <f t="shared" si="125"/>
        <v/>
      </c>
      <c r="CB49" s="4" t="str">
        <f t="shared" si="293"/>
        <v/>
      </c>
      <c r="CC49" s="5" t="str">
        <f t="shared" si="294"/>
        <v/>
      </c>
      <c r="CD49" s="5" t="str">
        <f t="shared" si="295"/>
        <v/>
      </c>
      <c r="CE49" s="6" t="str">
        <f t="shared" si="296"/>
        <v/>
      </c>
      <c r="CF49" s="4" t="str">
        <f t="shared" si="297"/>
        <v/>
      </c>
      <c r="CG49" s="5" t="str">
        <f t="shared" si="298"/>
        <v/>
      </c>
      <c r="CH49" s="5" t="str">
        <f t="shared" si="299"/>
        <v/>
      </c>
      <c r="CI49" s="4" t="str">
        <f t="shared" si="126"/>
        <v/>
      </c>
      <c r="CJ49" s="5" t="str">
        <f t="shared" si="300"/>
        <v/>
      </c>
      <c r="CK49" s="8" t="str">
        <f t="shared" si="301"/>
        <v/>
      </c>
      <c r="CL49" s="173" t="str">
        <f t="shared" si="302"/>
        <v/>
      </c>
      <c r="CM49" s="5" t="str">
        <f t="shared" si="303"/>
        <v/>
      </c>
      <c r="CN49" s="6" t="str">
        <f t="shared" si="304"/>
        <v/>
      </c>
      <c r="CO49" s="167" t="str">
        <f t="shared" si="305"/>
        <v/>
      </c>
      <c r="CP49" s="4" t="str">
        <f t="shared" si="306"/>
        <v/>
      </c>
      <c r="CQ49" s="5" t="str">
        <f t="shared" si="307"/>
        <v/>
      </c>
      <c r="CR49" s="5" t="str">
        <f t="shared" si="308"/>
        <v/>
      </c>
      <c r="CS49" s="8" t="str">
        <f t="shared" si="309"/>
        <v/>
      </c>
      <c r="CT49" s="9" t="str">
        <f t="shared" si="160"/>
        <v/>
      </c>
      <c r="CU49" s="6" t="str">
        <f t="shared" si="310"/>
        <v/>
      </c>
      <c r="CV49" s="4" t="str">
        <f t="shared" si="311"/>
        <v/>
      </c>
      <c r="CW49" s="5" t="str">
        <f t="shared" si="312"/>
        <v/>
      </c>
      <c r="CX49" s="8" t="str">
        <f t="shared" si="313"/>
        <v/>
      </c>
      <c r="CY49" s="9" t="str">
        <f t="shared" si="314"/>
        <v/>
      </c>
      <c r="CZ49" s="5" t="str">
        <f t="shared" si="315"/>
        <v/>
      </c>
      <c r="DA49" s="6" t="str">
        <f t="shared" si="316"/>
        <v/>
      </c>
      <c r="DB49" s="4" t="str">
        <f t="shared" si="462"/>
        <v/>
      </c>
      <c r="DC49" s="5" t="str">
        <f t="shared" si="462"/>
        <v/>
      </c>
      <c r="DD49" s="10" t="str">
        <f t="shared" si="168"/>
        <v/>
      </c>
      <c r="DE49" s="9" t="str">
        <f t="shared" si="463"/>
        <v/>
      </c>
      <c r="DF49" s="5" t="str">
        <f t="shared" si="463"/>
        <v/>
      </c>
      <c r="DG49" s="10" t="str">
        <f t="shared" si="170"/>
        <v/>
      </c>
      <c r="DH49" s="70" t="str">
        <f t="shared" si="317"/>
        <v/>
      </c>
      <c r="DI49" s="4" t="str">
        <f t="shared" si="318"/>
        <v/>
      </c>
      <c r="DJ49" s="5" t="str">
        <f t="shared" si="319"/>
        <v/>
      </c>
      <c r="DK49" s="10" t="str">
        <f t="shared" si="320"/>
        <v/>
      </c>
      <c r="DL49" s="9" t="str">
        <f t="shared" si="321"/>
        <v/>
      </c>
      <c r="DM49" s="173" t="str">
        <f t="shared" si="322"/>
        <v/>
      </c>
      <c r="DN49" s="178" t="str">
        <f t="shared" si="323"/>
        <v/>
      </c>
      <c r="DO49" s="9" t="str">
        <f t="shared" si="324"/>
        <v/>
      </c>
      <c r="DP49" s="173" t="str">
        <f t="shared" si="325"/>
        <v/>
      </c>
      <c r="DQ49" s="11" t="str">
        <f t="shared" si="326"/>
        <v/>
      </c>
      <c r="DR49" s="173" t="str">
        <f t="shared" si="327"/>
        <v/>
      </c>
      <c r="DS49" s="5" t="str">
        <f t="shared" si="328"/>
        <v/>
      </c>
      <c r="DT49" s="5" t="str">
        <f t="shared" si="329"/>
        <v/>
      </c>
      <c r="DU49" s="5" t="str">
        <f t="shared" si="330"/>
        <v/>
      </c>
      <c r="DV49" s="5" t="str">
        <f t="shared" si="331"/>
        <v/>
      </c>
      <c r="DW49" s="5" t="str">
        <f t="shared" si="332"/>
        <v/>
      </c>
      <c r="DX49" s="167" t="str">
        <f t="shared" si="333"/>
        <v/>
      </c>
      <c r="DY49" s="9" t="str">
        <f t="shared" si="334"/>
        <v/>
      </c>
      <c r="DZ49" s="5" t="str">
        <f t="shared" si="335"/>
        <v/>
      </c>
      <c r="EA49" s="10" t="str">
        <f t="shared" si="336"/>
        <v/>
      </c>
      <c r="EB49" s="6" t="str">
        <f t="shared" si="337"/>
        <v/>
      </c>
      <c r="EC49" s="173" t="str">
        <f t="shared" si="338"/>
        <v/>
      </c>
      <c r="ED49" s="5" t="str">
        <f t="shared" si="339"/>
        <v/>
      </c>
      <c r="EE49" s="4" t="str">
        <f t="shared" si="340"/>
        <v/>
      </c>
      <c r="EF49" s="5" t="str">
        <f t="shared" si="341"/>
        <v/>
      </c>
      <c r="EG49" s="10" t="str">
        <f t="shared" si="342"/>
        <v/>
      </c>
      <c r="EH49" s="9" t="str">
        <f t="shared" si="343"/>
        <v/>
      </c>
      <c r="EI49" s="5" t="str">
        <f t="shared" si="344"/>
        <v/>
      </c>
      <c r="EJ49" s="6" t="str">
        <f t="shared" si="345"/>
        <v/>
      </c>
      <c r="EK49" s="236" t="str">
        <f t="shared" si="200"/>
        <v/>
      </c>
      <c r="EL49" s="238" t="str">
        <f t="shared" si="201"/>
        <v/>
      </c>
      <c r="EM49" s="4" t="str">
        <f t="shared" si="346"/>
        <v/>
      </c>
      <c r="EN49" s="5" t="str">
        <f t="shared" si="347"/>
        <v/>
      </c>
      <c r="EO49" s="10" t="str">
        <f t="shared" si="348"/>
        <v/>
      </c>
      <c r="EP49" s="9" t="str">
        <f t="shared" si="349"/>
        <v/>
      </c>
      <c r="EQ49" s="5" t="str">
        <f t="shared" si="350"/>
        <v/>
      </c>
      <c r="ER49" s="7" t="str">
        <f t="shared" si="351"/>
        <v/>
      </c>
      <c r="ES49" s="21" t="str">
        <f t="shared" si="352"/>
        <v/>
      </c>
      <c r="ET49" s="5" t="str">
        <f t="shared" si="353"/>
        <v/>
      </c>
      <c r="EU49" s="10" t="str">
        <f t="shared" si="354"/>
        <v/>
      </c>
      <c r="EV49" s="174" t="str">
        <f t="shared" si="355"/>
        <v/>
      </c>
      <c r="EW49" s="9" t="str">
        <f t="shared" si="356"/>
        <v/>
      </c>
      <c r="EX49" s="5" t="str">
        <f t="shared" si="357"/>
        <v/>
      </c>
      <c r="EY49" s="6" t="str">
        <f t="shared" si="358"/>
        <v/>
      </c>
      <c r="EZ49" s="51" t="str">
        <f t="shared" si="209"/>
        <v/>
      </c>
      <c r="FA49" s="266" t="str">
        <f t="shared" si="134"/>
        <v/>
      </c>
      <c r="FB49" s="267" t="str">
        <f t="shared" si="135"/>
        <v/>
      </c>
      <c r="FC49" s="269" t="str">
        <f t="shared" si="48"/>
        <v/>
      </c>
      <c r="FD49" s="4" t="str">
        <f t="shared" si="359"/>
        <v/>
      </c>
      <c r="FE49" s="5" t="str">
        <f t="shared" si="360"/>
        <v/>
      </c>
      <c r="FF49" s="7" t="str">
        <f t="shared" si="361"/>
        <v/>
      </c>
      <c r="FG49" s="173" t="str">
        <f t="shared" si="362"/>
        <v/>
      </c>
      <c r="FH49" s="5" t="str">
        <f t="shared" si="363"/>
        <v/>
      </c>
      <c r="FI49" s="10" t="str">
        <f t="shared" si="364"/>
        <v/>
      </c>
      <c r="FJ49" s="279" t="str">
        <f t="shared" si="365"/>
        <v/>
      </c>
      <c r="FK49" s="4" t="str">
        <f t="shared" si="366"/>
        <v/>
      </c>
      <c r="FL49" s="5" t="str">
        <f t="shared" si="367"/>
        <v/>
      </c>
      <c r="FM49" s="8" t="str">
        <f t="shared" si="368"/>
        <v/>
      </c>
      <c r="FN49" s="9" t="str">
        <f t="shared" si="369"/>
        <v/>
      </c>
      <c r="FO49" s="10" t="str">
        <f t="shared" si="370"/>
        <v/>
      </c>
      <c r="FP49" s="277" t="str">
        <f t="shared" si="371"/>
        <v/>
      </c>
      <c r="FQ49" s="173" t="str">
        <f t="shared" si="372"/>
        <v/>
      </c>
      <c r="FR49" s="10" t="str">
        <f t="shared" si="373"/>
        <v/>
      </c>
      <c r="FS49" s="9" t="str">
        <f t="shared" si="374"/>
        <v/>
      </c>
      <c r="FT49" s="6" t="str">
        <f t="shared" si="375"/>
        <v/>
      </c>
      <c r="FU49" s="4" t="str">
        <f t="shared" si="376"/>
        <v/>
      </c>
      <c r="FV49" s="5" t="str">
        <f t="shared" si="377"/>
        <v/>
      </c>
      <c r="FW49" s="8" t="str">
        <f t="shared" si="378"/>
        <v/>
      </c>
      <c r="FX49" s="9" t="str">
        <f t="shared" si="379"/>
        <v/>
      </c>
      <c r="FY49" s="10" t="str">
        <f t="shared" si="380"/>
        <v/>
      </c>
      <c r="FZ49" s="277" t="str">
        <f t="shared" si="381"/>
        <v/>
      </c>
      <c r="GA49" s="177" t="str">
        <f t="shared" si="382"/>
        <v/>
      </c>
      <c r="GB49" s="4" t="str">
        <f t="shared" si="383"/>
        <v/>
      </c>
      <c r="GC49" s="5" t="str">
        <f t="shared" si="384"/>
        <v/>
      </c>
      <c r="GD49" s="10" t="str">
        <f t="shared" si="385"/>
        <v/>
      </c>
      <c r="GE49" s="311" t="str">
        <f t="shared" si="386"/>
        <v/>
      </c>
      <c r="GF49" s="341" t="str">
        <f t="shared" si="387"/>
        <v/>
      </c>
      <c r="GG49" s="285" t="str">
        <f t="shared" si="388"/>
        <v/>
      </c>
      <c r="GH49" s="286" t="str">
        <f t="shared" si="389"/>
        <v/>
      </c>
      <c r="GI49" s="281" t="str">
        <f t="shared" si="390"/>
        <v/>
      </c>
      <c r="GJ49" s="167" t="str">
        <f t="shared" si="391"/>
        <v/>
      </c>
      <c r="GK49" s="174" t="str">
        <f t="shared" si="59"/>
        <v/>
      </c>
      <c r="GL49" s="174" t="str">
        <f t="shared" si="392"/>
        <v/>
      </c>
      <c r="GM49" s="177" t="str">
        <f t="shared" si="393"/>
        <v/>
      </c>
      <c r="GN49" s="280" t="str">
        <f t="shared" si="394"/>
        <v/>
      </c>
      <c r="GO49" s="4" t="str">
        <f t="shared" si="395"/>
        <v/>
      </c>
      <c r="GP49" s="8" t="str">
        <f t="shared" si="396"/>
        <v/>
      </c>
      <c r="GQ49" s="177" t="str">
        <f t="shared" si="397"/>
        <v/>
      </c>
      <c r="GR49" s="371" t="str">
        <f t="shared" si="398"/>
        <v/>
      </c>
      <c r="GS49" s="342" t="str">
        <f t="shared" si="399"/>
        <v/>
      </c>
      <c r="GT49" s="343" t="str">
        <f t="shared" si="400"/>
        <v/>
      </c>
      <c r="GU49" s="344" t="str">
        <f t="shared" si="63"/>
        <v/>
      </c>
      <c r="GV49" s="343" t="str">
        <f t="shared" si="401"/>
        <v/>
      </c>
      <c r="GW49" s="345" t="str">
        <f t="shared" si="64"/>
        <v/>
      </c>
      <c r="GX49" s="346" t="str">
        <f t="shared" si="65"/>
        <v/>
      </c>
      <c r="GY49" s="344" t="str">
        <f t="shared" si="402"/>
        <v/>
      </c>
      <c r="GZ49" s="345" t="str">
        <f t="shared" si="403"/>
        <v/>
      </c>
      <c r="HA49" s="342" t="str">
        <f t="shared" si="68"/>
        <v/>
      </c>
      <c r="HB49" s="5" t="str">
        <f t="shared" si="231"/>
        <v/>
      </c>
      <c r="HC49" s="343" t="str">
        <f t="shared" si="404"/>
        <v/>
      </c>
      <c r="HD49" s="345" t="str">
        <f t="shared" si="405"/>
        <v/>
      </c>
      <c r="HE49" s="344" t="str">
        <f t="shared" si="69"/>
        <v/>
      </c>
      <c r="HF49" s="5" t="str">
        <f t="shared" si="70"/>
        <v/>
      </c>
      <c r="HG49" s="343" t="str">
        <f t="shared" si="406"/>
        <v/>
      </c>
      <c r="HH49" s="349" t="str">
        <f t="shared" si="407"/>
        <v/>
      </c>
      <c r="HI49" s="317" t="str">
        <f t="shared" si="408"/>
        <v/>
      </c>
      <c r="HJ49" s="336"/>
      <c r="HK49" s="310" t="str">
        <f t="shared" si="459"/>
        <v/>
      </c>
      <c r="HL49" s="348" t="str">
        <f t="shared" si="409"/>
        <v/>
      </c>
      <c r="HM49" s="909" t="str">
        <f t="shared" si="410"/>
        <v/>
      </c>
      <c r="HN49" s="910" t="str">
        <f t="shared" si="411"/>
        <v/>
      </c>
      <c r="HO49" s="911"/>
      <c r="HP49" s="912"/>
      <c r="HQ49" s="910" t="str">
        <f t="shared" si="412"/>
        <v/>
      </c>
      <c r="HR49" s="913" t="str">
        <f t="shared" si="413"/>
        <v/>
      </c>
      <c r="HS49" s="865" t="str">
        <f t="shared" si="460"/>
        <v/>
      </c>
      <c r="HT49" s="875" t="str">
        <f t="shared" si="414"/>
        <v/>
      </c>
      <c r="HU49" s="876" t="str">
        <f t="shared" si="415"/>
        <v/>
      </c>
      <c r="HV49" s="872" t="str">
        <f t="shared" si="416"/>
        <v/>
      </c>
      <c r="HW49" s="866" t="str">
        <f t="shared" si="417"/>
        <v/>
      </c>
      <c r="HX49" s="867" t="str">
        <f t="shared" si="418"/>
        <v/>
      </c>
      <c r="HY49" s="866" t="str">
        <f t="shared" si="419"/>
        <v/>
      </c>
      <c r="HZ49" s="868" t="str">
        <f t="shared" si="420"/>
        <v/>
      </c>
      <c r="IA49" s="869" t="str">
        <f t="shared" si="421"/>
        <v/>
      </c>
      <c r="IB49" s="870" t="str">
        <f t="shared" si="422"/>
        <v/>
      </c>
      <c r="IC49" s="841" t="str">
        <f t="shared" si="423"/>
        <v/>
      </c>
      <c r="ID49" s="351" t="str">
        <f t="shared" si="424"/>
        <v/>
      </c>
      <c r="IE49" s="843" t="str">
        <f t="shared" si="425"/>
        <v/>
      </c>
      <c r="IF49" s="844"/>
      <c r="IG49" s="790" t="str">
        <f>IFERROR(IF($IW49="","",IF($IW49&lt;(((Settings!$C$19/2)*-1)*$IG$8),"Taper","Nose")),"")</f>
        <v>Nose</v>
      </c>
      <c r="IH49" s="482" t="str">
        <f>IFERROR(IF((((($IY49*COS(RADIANS(180-$JA49)))*COS(RADIANS($JA49)))-(($IZ49*SIN(RADIANS(180-$JA49)))*SIN(RADIANS($JA49))))+$IW49)&lt;(((Settings!$C$19+$IH$8)/2)*-1),"Gage",""),"")</f>
        <v/>
      </c>
      <c r="II49" s="788">
        <f t="shared" si="236"/>
        <v>3.2149999999999999</v>
      </c>
      <c r="IJ49" s="674" cm="1">
        <f t="array" ref="IJ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3.1150000000000002</v>
      </c>
      <c r="IK49" s="677" cm="1">
        <f t="array" ref="IK49">IFERROR(ROUND(VALUE(IF($IJ49&lt;1,$IJ49+LARGE((IF($M$9:$M$150="",0,$M$9:$M$150)-MOD(IF($M$9:$M$150="",0,$M$9:$M$150),1)),1),$IJ49)),4),"")</f>
        <v>3.1150000000000002</v>
      </c>
      <c r="IL49" s="482">
        <f t="shared" si="426"/>
        <v>1613</v>
      </c>
      <c r="IM49" s="482" t="str">
        <f t="shared" si="237"/>
        <v>CPS-32193r1</v>
      </c>
      <c r="IN49" s="670">
        <f t="shared" si="427"/>
        <v>19.160802011435692</v>
      </c>
      <c r="IO49" s="702">
        <v>7.1882120909841099E-2</v>
      </c>
      <c r="IP49" s="5">
        <f t="shared" si="428"/>
        <v>1.54</v>
      </c>
      <c r="IQ49" s="714">
        <v>770</v>
      </c>
      <c r="IR49" s="9">
        <f t="shared" si="429"/>
        <v>-3.0667945084187682</v>
      </c>
      <c r="IS49" s="5">
        <f t="shared" si="430"/>
        <v>-7.0521267839836921E-2</v>
      </c>
      <c r="IT49" s="5">
        <f t="shared" si="431"/>
        <v>0.3125</v>
      </c>
      <c r="IU49" s="5">
        <f t="shared" si="432"/>
        <v>0.30105936264169764</v>
      </c>
      <c r="IV49" s="670">
        <f t="shared" si="433"/>
        <v>7.1077563806310833</v>
      </c>
      <c r="IW49" s="9">
        <f t="shared" si="434"/>
        <v>-3.0661488581587393</v>
      </c>
      <c r="IX49" s="5">
        <f t="shared" si="435"/>
        <v>-0.10702467933374853</v>
      </c>
      <c r="IY49" s="5">
        <f t="shared" si="436"/>
        <v>0.255</v>
      </c>
      <c r="IZ49" s="5">
        <f t="shared" si="437"/>
        <v>0.255</v>
      </c>
      <c r="JA49" s="705">
        <f t="shared" si="438"/>
        <v>-0.99999985561788196</v>
      </c>
    </row>
    <row r="50" spans="1:261" ht="15" customHeight="1" x14ac:dyDescent="0.25">
      <c r="A50" s="75">
        <f t="shared" si="256"/>
        <v>0.02</v>
      </c>
      <c r="B50" s="578">
        <f t="shared" si="257"/>
        <v>2.5363544358462971</v>
      </c>
      <c r="C50" s="572">
        <f t="shared" si="258"/>
        <v>-2.8554296397106618</v>
      </c>
      <c r="D50" s="576">
        <f t="shared" si="259"/>
        <v>-0.2643358501746319</v>
      </c>
      <c r="E50" s="580">
        <f t="shared" si="260"/>
        <v>0.80287674027004152</v>
      </c>
      <c r="F50" s="572">
        <f t="shared" si="261"/>
        <v>0.49021737229884088</v>
      </c>
      <c r="G50" s="579">
        <f t="shared" si="262"/>
        <v>0.33922834172541061</v>
      </c>
      <c r="H50" s="580">
        <f t="shared" si="263"/>
        <v>0.26450000000000001</v>
      </c>
      <c r="I50" s="572">
        <f t="shared" si="264"/>
        <v>0.52</v>
      </c>
      <c r="J50" s="483">
        <f t="shared" si="265"/>
        <v>3.2210000000000001</v>
      </c>
      <c r="K50" s="806">
        <f t="shared" si="266"/>
        <v>1313</v>
      </c>
      <c r="L50" s="309"/>
      <c r="M50" s="164">
        <f t="shared" si="267"/>
        <v>3.2210000000000001</v>
      </c>
      <c r="N50" s="575">
        <f t="shared" si="268"/>
        <v>2.5363544358462971</v>
      </c>
      <c r="O50" s="572">
        <f t="shared" si="269"/>
        <v>-2.8554296397106618</v>
      </c>
      <c r="P50" s="576">
        <f t="shared" si="270"/>
        <v>-0.2643358501746319</v>
      </c>
      <c r="Q50" s="528">
        <f t="shared" si="140"/>
        <v>311.61329794290583</v>
      </c>
      <c r="R50" s="572">
        <f t="shared" si="101"/>
        <v>3.8192371295293186</v>
      </c>
      <c r="S50" s="577">
        <f t="shared" si="102"/>
        <v>-0.2643358501746319</v>
      </c>
      <c r="T50" s="578">
        <f t="shared" si="103"/>
        <v>-2.8361852256380335</v>
      </c>
      <c r="U50" s="572">
        <f t="shared" si="104"/>
        <v>-2.5578556678295761</v>
      </c>
      <c r="V50" s="579">
        <f t="shared" si="141"/>
        <v>-0.2643358501746319</v>
      </c>
      <c r="W50" s="528">
        <f t="shared" si="253"/>
        <v>222.04618878877682</v>
      </c>
      <c r="X50" s="572">
        <f t="shared" si="105"/>
        <v>3.8192371295293186</v>
      </c>
      <c r="Y50" s="573">
        <f t="shared" si="255"/>
        <v>-0.2643358501746319</v>
      </c>
      <c r="Z50" s="575">
        <f t="shared" si="271"/>
        <v>-0.80287674027004152</v>
      </c>
      <c r="AA50" s="572">
        <f t="shared" si="272"/>
        <v>-0.49021737229884088</v>
      </c>
      <c r="AB50" s="572">
        <f t="shared" si="273"/>
        <v>-0.33922834172541061</v>
      </c>
      <c r="AC50" s="579">
        <f t="shared" si="106"/>
        <v>1</v>
      </c>
      <c r="AD50" s="580">
        <f t="shared" si="142"/>
        <v>-0.80287674027004152</v>
      </c>
      <c r="AE50" s="572">
        <f t="shared" si="107"/>
        <v>-0.49021737229884088</v>
      </c>
      <c r="AF50" s="576">
        <f t="shared" si="108"/>
        <v>-0.33922834172541061</v>
      </c>
      <c r="AG50" s="545">
        <f t="shared" si="109"/>
        <v>-55.316930087543582</v>
      </c>
      <c r="AH50" s="546">
        <f t="shared" si="110"/>
        <v>143.40569561303931</v>
      </c>
      <c r="AI50" s="528">
        <f t="shared" si="111"/>
        <v>-70.170132539446996</v>
      </c>
      <c r="AJ50" s="529">
        <f t="shared" si="112"/>
        <v>-58.592757258645037</v>
      </c>
      <c r="AK50" s="578">
        <f t="shared" si="238"/>
        <v>0.92581919583406491</v>
      </c>
      <c r="AL50" s="572">
        <f t="shared" si="113"/>
        <v>-0.166682178997616</v>
      </c>
      <c r="AM50" s="577">
        <f t="shared" si="114"/>
        <v>-0.33922834172541061</v>
      </c>
      <c r="AN50" s="524">
        <f t="shared" si="115"/>
        <v>-26.167511622001179</v>
      </c>
      <c r="AO50" s="525">
        <f t="shared" si="116"/>
        <v>22.20779132657719</v>
      </c>
      <c r="AP50" s="528">
        <f t="shared" si="117"/>
        <v>-10.206055201550857</v>
      </c>
      <c r="AQ50" s="529">
        <f t="shared" si="274"/>
        <v>1.1936398478672714</v>
      </c>
      <c r="AS50" s="932">
        <f t="shared" si="461"/>
        <v>222.04618878877682</v>
      </c>
      <c r="AT50" s="928">
        <f t="shared" si="275"/>
        <v>-7.6457915455929393E-2</v>
      </c>
      <c r="AU50" s="418"/>
      <c r="AV50" s="164" t="str">
        <f t="shared" si="276"/>
        <v/>
      </c>
      <c r="AW50" s="829" t="str">
        <f>IFERROR(INDEX(MassProp!C$9:C$150,MATCH($M50,MassProp!$B$9:$B$150,0)),"")</f>
        <v/>
      </c>
      <c r="AX50" s="830" t="str">
        <f>IFERROR(INDEX(MassProp!D$9:D$150,MATCH($M50,MassProp!$B$9:$B$150,0)),"")</f>
        <v/>
      </c>
      <c r="AY50" s="831" t="str">
        <f>IFERROR(INDEX(MassProp!E$9:E$150,MATCH($M50,MassProp!$B$9:$B$150,0)),"")</f>
        <v/>
      </c>
      <c r="AZ50" s="297" t="str">
        <f t="shared" si="277"/>
        <v/>
      </c>
      <c r="BA50" s="296" t="str">
        <f t="shared" si="278"/>
        <v/>
      </c>
      <c r="BB50" s="190" t="str">
        <f t="shared" si="145"/>
        <v/>
      </c>
      <c r="BC50" s="9"/>
      <c r="BD50" s="5" t="str">
        <f t="shared" si="279"/>
        <v/>
      </c>
      <c r="BE50" s="6" t="str">
        <f t="shared" si="280"/>
        <v/>
      </c>
      <c r="BF50" s="4" t="str">
        <f t="shared" si="281"/>
        <v/>
      </c>
      <c r="BG50" s="5" t="str">
        <f t="shared" si="282"/>
        <v/>
      </c>
      <c r="BH50" s="10" t="str">
        <f t="shared" si="283"/>
        <v/>
      </c>
      <c r="BI50" s="9" t="str">
        <f t="shared" si="284"/>
        <v/>
      </c>
      <c r="BJ50" s="5" t="str">
        <f t="shared" si="285"/>
        <v/>
      </c>
      <c r="BK50" s="8" t="str">
        <f t="shared" si="286"/>
        <v/>
      </c>
      <c r="BL50" s="173" t="str">
        <f t="shared" si="287"/>
        <v/>
      </c>
      <c r="BM50" s="5" t="str">
        <f t="shared" si="288"/>
        <v/>
      </c>
      <c r="BN50" s="6" t="str">
        <f t="shared" si="289"/>
        <v/>
      </c>
      <c r="BO50" s="4" t="str">
        <f t="shared" si="290"/>
        <v/>
      </c>
      <c r="BP50" s="5" t="str">
        <f t="shared" si="239"/>
        <v/>
      </c>
      <c r="BQ50" s="5" t="str">
        <f t="shared" si="291"/>
        <v/>
      </c>
      <c r="BR50" s="6" t="str">
        <f t="shared" si="292"/>
        <v/>
      </c>
      <c r="BS50" s="4" t="str">
        <f t="shared" si="458"/>
        <v/>
      </c>
      <c r="BT50" s="5" t="str">
        <f t="shared" si="458"/>
        <v/>
      </c>
      <c r="BU50" s="10" t="str">
        <f t="shared" si="119"/>
        <v/>
      </c>
      <c r="BV50" s="9" t="str">
        <f t="shared" si="120"/>
        <v/>
      </c>
      <c r="BW50" s="5" t="str">
        <f t="shared" si="121"/>
        <v/>
      </c>
      <c r="BX50" s="8" t="str">
        <f t="shared" si="122"/>
        <v/>
      </c>
      <c r="BY50" s="173" t="str">
        <f t="shared" si="123"/>
        <v/>
      </c>
      <c r="BZ50" s="5" t="str">
        <f t="shared" si="124"/>
        <v/>
      </c>
      <c r="CA50" s="6" t="str">
        <f t="shared" si="125"/>
        <v/>
      </c>
      <c r="CB50" s="4" t="str">
        <f t="shared" si="293"/>
        <v/>
      </c>
      <c r="CC50" s="5" t="str">
        <f t="shared" si="294"/>
        <v/>
      </c>
      <c r="CD50" s="5" t="str">
        <f t="shared" si="295"/>
        <v/>
      </c>
      <c r="CE50" s="6" t="str">
        <f t="shared" si="296"/>
        <v/>
      </c>
      <c r="CF50" s="4" t="str">
        <f t="shared" si="297"/>
        <v/>
      </c>
      <c r="CG50" s="5" t="str">
        <f t="shared" si="298"/>
        <v/>
      </c>
      <c r="CH50" s="5" t="str">
        <f t="shared" si="299"/>
        <v/>
      </c>
      <c r="CI50" s="4" t="str">
        <f t="shared" si="126"/>
        <v/>
      </c>
      <c r="CJ50" s="5" t="str">
        <f t="shared" si="300"/>
        <v/>
      </c>
      <c r="CK50" s="8" t="str">
        <f t="shared" si="301"/>
        <v/>
      </c>
      <c r="CL50" s="173" t="str">
        <f t="shared" si="302"/>
        <v/>
      </c>
      <c r="CM50" s="5" t="str">
        <f t="shared" si="303"/>
        <v/>
      </c>
      <c r="CN50" s="6" t="str">
        <f t="shared" si="304"/>
        <v/>
      </c>
      <c r="CO50" s="167" t="str">
        <f t="shared" si="305"/>
        <v/>
      </c>
      <c r="CP50" s="4" t="str">
        <f t="shared" si="306"/>
        <v/>
      </c>
      <c r="CQ50" s="5" t="str">
        <f t="shared" si="307"/>
        <v/>
      </c>
      <c r="CR50" s="5" t="str">
        <f t="shared" si="308"/>
        <v/>
      </c>
      <c r="CS50" s="8" t="str">
        <f t="shared" si="309"/>
        <v/>
      </c>
      <c r="CT50" s="9" t="str">
        <f t="shared" si="160"/>
        <v/>
      </c>
      <c r="CU50" s="6" t="str">
        <f t="shared" si="310"/>
        <v/>
      </c>
      <c r="CV50" s="4" t="str">
        <f t="shared" si="311"/>
        <v/>
      </c>
      <c r="CW50" s="5" t="str">
        <f t="shared" si="312"/>
        <v/>
      </c>
      <c r="CX50" s="8" t="str">
        <f t="shared" si="313"/>
        <v/>
      </c>
      <c r="CY50" s="9" t="str">
        <f t="shared" si="314"/>
        <v/>
      </c>
      <c r="CZ50" s="5" t="str">
        <f t="shared" si="315"/>
        <v/>
      </c>
      <c r="DA50" s="6" t="str">
        <f t="shared" si="316"/>
        <v/>
      </c>
      <c r="DB50" s="4" t="str">
        <f t="shared" si="462"/>
        <v/>
      </c>
      <c r="DC50" s="5" t="str">
        <f t="shared" si="462"/>
        <v/>
      </c>
      <c r="DD50" s="10" t="str">
        <f t="shared" si="168"/>
        <v/>
      </c>
      <c r="DE50" s="9" t="str">
        <f t="shared" si="463"/>
        <v/>
      </c>
      <c r="DF50" s="5" t="str">
        <f t="shared" si="463"/>
        <v/>
      </c>
      <c r="DG50" s="10" t="str">
        <f t="shared" si="170"/>
        <v/>
      </c>
      <c r="DH50" s="70" t="str">
        <f t="shared" si="317"/>
        <v/>
      </c>
      <c r="DI50" s="4" t="str">
        <f t="shared" si="318"/>
        <v/>
      </c>
      <c r="DJ50" s="5" t="str">
        <f t="shared" si="319"/>
        <v/>
      </c>
      <c r="DK50" s="10" t="str">
        <f t="shared" si="320"/>
        <v/>
      </c>
      <c r="DL50" s="9" t="str">
        <f t="shared" si="321"/>
        <v/>
      </c>
      <c r="DM50" s="173" t="str">
        <f t="shared" si="322"/>
        <v/>
      </c>
      <c r="DN50" s="178" t="str">
        <f t="shared" si="323"/>
        <v/>
      </c>
      <c r="DO50" s="9" t="str">
        <f t="shared" si="324"/>
        <v/>
      </c>
      <c r="DP50" s="173" t="str">
        <f t="shared" si="325"/>
        <v/>
      </c>
      <c r="DQ50" s="11" t="str">
        <f t="shared" si="326"/>
        <v/>
      </c>
      <c r="DR50" s="173" t="str">
        <f t="shared" si="327"/>
        <v/>
      </c>
      <c r="DS50" s="5" t="str">
        <f t="shared" si="328"/>
        <v/>
      </c>
      <c r="DT50" s="5" t="str">
        <f t="shared" si="329"/>
        <v/>
      </c>
      <c r="DU50" s="5" t="str">
        <f t="shared" si="330"/>
        <v/>
      </c>
      <c r="DV50" s="5" t="str">
        <f t="shared" si="331"/>
        <v/>
      </c>
      <c r="DW50" s="5" t="str">
        <f t="shared" si="332"/>
        <v/>
      </c>
      <c r="DX50" s="167" t="str">
        <f t="shared" si="333"/>
        <v/>
      </c>
      <c r="DY50" s="9" t="str">
        <f t="shared" si="334"/>
        <v/>
      </c>
      <c r="DZ50" s="5" t="str">
        <f t="shared" si="335"/>
        <v/>
      </c>
      <c r="EA50" s="10" t="str">
        <f t="shared" si="336"/>
        <v/>
      </c>
      <c r="EB50" s="6" t="str">
        <f t="shared" si="337"/>
        <v/>
      </c>
      <c r="EC50" s="173" t="str">
        <f t="shared" si="338"/>
        <v/>
      </c>
      <c r="ED50" s="5" t="str">
        <f t="shared" si="339"/>
        <v/>
      </c>
      <c r="EE50" s="4" t="str">
        <f t="shared" si="340"/>
        <v/>
      </c>
      <c r="EF50" s="5" t="str">
        <f t="shared" si="341"/>
        <v/>
      </c>
      <c r="EG50" s="10" t="str">
        <f t="shared" si="342"/>
        <v/>
      </c>
      <c r="EH50" s="9" t="str">
        <f t="shared" si="343"/>
        <v/>
      </c>
      <c r="EI50" s="5" t="str">
        <f t="shared" si="344"/>
        <v/>
      </c>
      <c r="EJ50" s="6" t="str">
        <f t="shared" si="345"/>
        <v/>
      </c>
      <c r="EK50" s="236" t="str">
        <f t="shared" si="200"/>
        <v/>
      </c>
      <c r="EL50" s="238" t="str">
        <f t="shared" si="201"/>
        <v/>
      </c>
      <c r="EM50" s="4" t="str">
        <f t="shared" si="346"/>
        <v/>
      </c>
      <c r="EN50" s="5" t="str">
        <f t="shared" si="347"/>
        <v/>
      </c>
      <c r="EO50" s="10" t="str">
        <f t="shared" si="348"/>
        <v/>
      </c>
      <c r="EP50" s="9" t="str">
        <f t="shared" si="349"/>
        <v/>
      </c>
      <c r="EQ50" s="5" t="str">
        <f t="shared" si="350"/>
        <v/>
      </c>
      <c r="ER50" s="7" t="str">
        <f t="shared" si="351"/>
        <v/>
      </c>
      <c r="ES50" s="21" t="str">
        <f t="shared" si="352"/>
        <v/>
      </c>
      <c r="ET50" s="5" t="str">
        <f t="shared" si="353"/>
        <v/>
      </c>
      <c r="EU50" s="10" t="str">
        <f t="shared" si="354"/>
        <v/>
      </c>
      <c r="EV50" s="174" t="str">
        <f t="shared" si="355"/>
        <v/>
      </c>
      <c r="EW50" s="9" t="str">
        <f t="shared" si="356"/>
        <v/>
      </c>
      <c r="EX50" s="5" t="str">
        <f t="shared" si="357"/>
        <v/>
      </c>
      <c r="EY50" s="6" t="str">
        <f t="shared" si="358"/>
        <v/>
      </c>
      <c r="EZ50" s="51" t="str">
        <f t="shared" si="209"/>
        <v/>
      </c>
      <c r="FA50" s="266" t="str">
        <f t="shared" si="134"/>
        <v/>
      </c>
      <c r="FB50" s="267" t="str">
        <f t="shared" si="135"/>
        <v/>
      </c>
      <c r="FC50" s="269" t="str">
        <f t="shared" si="48"/>
        <v/>
      </c>
      <c r="FD50" s="4" t="str">
        <f t="shared" si="359"/>
        <v/>
      </c>
      <c r="FE50" s="5" t="str">
        <f t="shared" si="360"/>
        <v/>
      </c>
      <c r="FF50" s="7" t="str">
        <f t="shared" si="361"/>
        <v/>
      </c>
      <c r="FG50" s="173" t="str">
        <f t="shared" si="362"/>
        <v/>
      </c>
      <c r="FH50" s="5" t="str">
        <f t="shared" si="363"/>
        <v/>
      </c>
      <c r="FI50" s="10" t="str">
        <f t="shared" si="364"/>
        <v/>
      </c>
      <c r="FJ50" s="279" t="str">
        <f t="shared" si="365"/>
        <v/>
      </c>
      <c r="FK50" s="4" t="str">
        <f t="shared" si="366"/>
        <v/>
      </c>
      <c r="FL50" s="5" t="str">
        <f t="shared" si="367"/>
        <v/>
      </c>
      <c r="FM50" s="8" t="str">
        <f t="shared" si="368"/>
        <v/>
      </c>
      <c r="FN50" s="9" t="str">
        <f t="shared" si="369"/>
        <v/>
      </c>
      <c r="FO50" s="10" t="str">
        <f t="shared" si="370"/>
        <v/>
      </c>
      <c r="FP50" s="277" t="str">
        <f t="shared" si="371"/>
        <v/>
      </c>
      <c r="FQ50" s="173" t="str">
        <f t="shared" si="372"/>
        <v/>
      </c>
      <c r="FR50" s="10" t="str">
        <f t="shared" si="373"/>
        <v/>
      </c>
      <c r="FS50" s="9" t="str">
        <f t="shared" si="374"/>
        <v/>
      </c>
      <c r="FT50" s="6" t="str">
        <f t="shared" si="375"/>
        <v/>
      </c>
      <c r="FU50" s="4" t="str">
        <f t="shared" si="376"/>
        <v/>
      </c>
      <c r="FV50" s="5" t="str">
        <f t="shared" si="377"/>
        <v/>
      </c>
      <c r="FW50" s="8" t="str">
        <f t="shared" si="378"/>
        <v/>
      </c>
      <c r="FX50" s="9" t="str">
        <f t="shared" si="379"/>
        <v/>
      </c>
      <c r="FY50" s="10" t="str">
        <f t="shared" si="380"/>
        <v/>
      </c>
      <c r="FZ50" s="277" t="str">
        <f t="shared" si="381"/>
        <v/>
      </c>
      <c r="GA50" s="177" t="str">
        <f t="shared" si="382"/>
        <v/>
      </c>
      <c r="GB50" s="4" t="str">
        <f t="shared" si="383"/>
        <v/>
      </c>
      <c r="GC50" s="5" t="str">
        <f t="shared" si="384"/>
        <v/>
      </c>
      <c r="GD50" s="10" t="str">
        <f t="shared" si="385"/>
        <v/>
      </c>
      <c r="GE50" s="311" t="str">
        <f t="shared" si="386"/>
        <v/>
      </c>
      <c r="GF50" s="341" t="str">
        <f t="shared" si="387"/>
        <v/>
      </c>
      <c r="GG50" s="285" t="str">
        <f t="shared" si="388"/>
        <v/>
      </c>
      <c r="GH50" s="286" t="str">
        <f t="shared" si="389"/>
        <v/>
      </c>
      <c r="GI50" s="281" t="str">
        <f t="shared" si="390"/>
        <v/>
      </c>
      <c r="GJ50" s="167" t="str">
        <f t="shared" si="391"/>
        <v/>
      </c>
      <c r="GK50" s="174" t="str">
        <f t="shared" si="59"/>
        <v/>
      </c>
      <c r="GL50" s="174" t="str">
        <f t="shared" si="392"/>
        <v/>
      </c>
      <c r="GM50" s="177" t="str">
        <f t="shared" si="393"/>
        <v/>
      </c>
      <c r="GN50" s="280" t="str">
        <f t="shared" si="394"/>
        <v/>
      </c>
      <c r="GO50" s="4" t="str">
        <f t="shared" si="395"/>
        <v/>
      </c>
      <c r="GP50" s="8" t="str">
        <f t="shared" si="396"/>
        <v/>
      </c>
      <c r="GQ50" s="177" t="str">
        <f t="shared" si="397"/>
        <v/>
      </c>
      <c r="GR50" s="371" t="str">
        <f t="shared" si="398"/>
        <v/>
      </c>
      <c r="GS50" s="342" t="str">
        <f t="shared" si="399"/>
        <v/>
      </c>
      <c r="GT50" s="343" t="str">
        <f t="shared" si="400"/>
        <v/>
      </c>
      <c r="GU50" s="344" t="str">
        <f t="shared" si="63"/>
        <v/>
      </c>
      <c r="GV50" s="343" t="str">
        <f t="shared" si="401"/>
        <v/>
      </c>
      <c r="GW50" s="345" t="str">
        <f t="shared" si="64"/>
        <v/>
      </c>
      <c r="GX50" s="346" t="str">
        <f t="shared" si="65"/>
        <v/>
      </c>
      <c r="GY50" s="344" t="str">
        <f t="shared" si="402"/>
        <v/>
      </c>
      <c r="GZ50" s="345" t="str">
        <f t="shared" si="403"/>
        <v/>
      </c>
      <c r="HA50" s="342" t="str">
        <f t="shared" si="68"/>
        <v/>
      </c>
      <c r="HB50" s="5" t="str">
        <f t="shared" si="231"/>
        <v/>
      </c>
      <c r="HC50" s="343" t="str">
        <f t="shared" si="404"/>
        <v/>
      </c>
      <c r="HD50" s="345" t="str">
        <f t="shared" si="405"/>
        <v/>
      </c>
      <c r="HE50" s="344" t="str">
        <f t="shared" si="69"/>
        <v/>
      </c>
      <c r="HF50" s="5" t="str">
        <f t="shared" si="70"/>
        <v/>
      </c>
      <c r="HG50" s="343" t="str">
        <f t="shared" si="406"/>
        <v/>
      </c>
      <c r="HH50" s="349" t="str">
        <f t="shared" si="407"/>
        <v/>
      </c>
      <c r="HI50" s="317" t="str">
        <f t="shared" si="408"/>
        <v/>
      </c>
      <c r="HJ50" s="336"/>
      <c r="HK50" s="310" t="str">
        <f t="shared" si="459"/>
        <v/>
      </c>
      <c r="HL50" s="348" t="str">
        <f t="shared" si="409"/>
        <v/>
      </c>
      <c r="HM50" s="909" t="str">
        <f t="shared" si="410"/>
        <v/>
      </c>
      <c r="HN50" s="910" t="str">
        <f t="shared" si="411"/>
        <v/>
      </c>
      <c r="HO50" s="911"/>
      <c r="HP50" s="912"/>
      <c r="HQ50" s="910" t="str">
        <f t="shared" si="412"/>
        <v/>
      </c>
      <c r="HR50" s="913" t="str">
        <f t="shared" si="413"/>
        <v/>
      </c>
      <c r="HS50" s="865" t="str">
        <f t="shared" si="460"/>
        <v/>
      </c>
      <c r="HT50" s="875" t="str">
        <f t="shared" si="414"/>
        <v/>
      </c>
      <c r="HU50" s="876" t="str">
        <f t="shared" si="415"/>
        <v/>
      </c>
      <c r="HV50" s="872" t="str">
        <f t="shared" si="416"/>
        <v/>
      </c>
      <c r="HW50" s="866" t="str">
        <f t="shared" si="417"/>
        <v/>
      </c>
      <c r="HX50" s="867" t="str">
        <f t="shared" si="418"/>
        <v/>
      </c>
      <c r="HY50" s="866" t="str">
        <f t="shared" si="419"/>
        <v/>
      </c>
      <c r="HZ50" s="868" t="str">
        <f t="shared" si="420"/>
        <v/>
      </c>
      <c r="IA50" s="869" t="str">
        <f t="shared" si="421"/>
        <v/>
      </c>
      <c r="IB50" s="870" t="str">
        <f t="shared" si="422"/>
        <v/>
      </c>
      <c r="IC50" s="841" t="str">
        <f t="shared" si="423"/>
        <v/>
      </c>
      <c r="ID50" s="351" t="str">
        <f t="shared" si="424"/>
        <v/>
      </c>
      <c r="IE50" s="843" t="str">
        <f t="shared" si="425"/>
        <v/>
      </c>
      <c r="IF50" s="844"/>
      <c r="IG50" s="790" t="str">
        <f>IFERROR(IF($IW50="","",IF($IW50&lt;(((Settings!$C$19/2)*-1)*$IG$8),"Taper","Nose")),"")</f>
        <v>Nose</v>
      </c>
      <c r="IH50" s="482" t="str">
        <f>IFERROR(IF((((($IY50*COS(RADIANS(180-$JA50)))*COS(RADIANS($JA50)))-(($IZ50*SIN(RADIANS(180-$JA50)))*SIN(RADIANS($JA50))))+$IW50)&lt;(((Settings!$C$19+$IH$8)/2)*-1),"Gage",""),"")</f>
        <v/>
      </c>
      <c r="II50" s="788">
        <f t="shared" si="236"/>
        <v>3.2210000000000001</v>
      </c>
      <c r="IJ50" s="674" cm="1">
        <f t="array" ref="IJ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3.121</v>
      </c>
      <c r="IK50" s="677" cm="1">
        <f t="array" ref="IK50">IFERROR(ROUND(VALUE(IF($IJ50&lt;1,$IJ50+LARGE((IF($M$9:$M$150="",0,$M$9:$M$150)-MOD(IF($M$9:$M$150="",0,$M$9:$M$150),1)),1),$IJ50)),4),"")</f>
        <v>3.121</v>
      </c>
      <c r="IL50" s="482">
        <f t="shared" si="426"/>
        <v>1613</v>
      </c>
      <c r="IM50" s="482">
        <f t="shared" si="237"/>
        <v>1313</v>
      </c>
      <c r="IN50" s="670">
        <f t="shared" si="427"/>
        <v>12.607416243270677</v>
      </c>
      <c r="IO50" s="702">
        <v>3.8994368538986503E-2</v>
      </c>
      <c r="IP50" s="5">
        <f t="shared" si="428"/>
        <v>1.44</v>
      </c>
      <c r="IQ50" s="714">
        <v>720</v>
      </c>
      <c r="IR50" s="9">
        <f t="shared" si="429"/>
        <v>-3.8085869115984403</v>
      </c>
      <c r="IS50" s="5">
        <f t="shared" si="430"/>
        <v>-0.26442079518400258</v>
      </c>
      <c r="IT50" s="5">
        <f t="shared" si="431"/>
        <v>0.3125</v>
      </c>
      <c r="IU50" s="5">
        <f t="shared" si="432"/>
        <v>0.29851808156082493</v>
      </c>
      <c r="IV50" s="670">
        <f t="shared" si="433"/>
        <v>25.946275176386688</v>
      </c>
      <c r="IW50" s="9">
        <f t="shared" si="434"/>
        <v>-3.8192371295293186</v>
      </c>
      <c r="IX50" s="5">
        <f t="shared" si="435"/>
        <v>-0.2643358501746319</v>
      </c>
      <c r="IY50" s="5">
        <f t="shared" si="436"/>
        <v>0.26450000000000001</v>
      </c>
      <c r="IZ50" s="5">
        <f t="shared" si="437"/>
        <v>0.24487917729811018</v>
      </c>
      <c r="JA50" s="705">
        <f t="shared" si="438"/>
        <v>26.167511622001179</v>
      </c>
    </row>
    <row r="51" spans="1:261" ht="15" customHeight="1" x14ac:dyDescent="0.25">
      <c r="A51" s="75">
        <f t="shared" si="256"/>
        <v>0.02</v>
      </c>
      <c r="B51" s="578">
        <f t="shared" si="257"/>
        <v>3.0186122902458665</v>
      </c>
      <c r="C51" s="572">
        <f t="shared" si="258"/>
        <v>-3.2687426007246962</v>
      </c>
      <c r="D51" s="576">
        <f t="shared" si="259"/>
        <v>-0.71100798909588769</v>
      </c>
      <c r="E51" s="580">
        <f t="shared" si="260"/>
        <v>0.87028298226539424</v>
      </c>
      <c r="F51" s="572">
        <f t="shared" si="261"/>
        <v>0.38055834455760201</v>
      </c>
      <c r="G51" s="579">
        <f t="shared" si="262"/>
        <v>0.31270253783240887</v>
      </c>
      <c r="H51" s="580">
        <f t="shared" si="263"/>
        <v>0.26450000000000001</v>
      </c>
      <c r="I51" s="572">
        <f t="shared" si="264"/>
        <v>0.52</v>
      </c>
      <c r="J51" s="483">
        <f t="shared" si="265"/>
        <v>3.2269999999999999</v>
      </c>
      <c r="K51" s="806">
        <f t="shared" si="266"/>
        <v>1313</v>
      </c>
      <c r="L51" s="309"/>
      <c r="M51" s="164">
        <f t="shared" si="267"/>
        <v>3.2269999999999999</v>
      </c>
      <c r="N51" s="575">
        <f t="shared" si="268"/>
        <v>3.0186122902458665</v>
      </c>
      <c r="O51" s="572">
        <f t="shared" si="269"/>
        <v>-3.2687426007246962</v>
      </c>
      <c r="P51" s="576">
        <f t="shared" si="270"/>
        <v>-0.71100798909588769</v>
      </c>
      <c r="Q51" s="528">
        <f t="shared" si="140"/>
        <v>312.72179910355976</v>
      </c>
      <c r="R51" s="572">
        <f t="shared" si="101"/>
        <v>4.4493480813053772</v>
      </c>
      <c r="S51" s="577">
        <f t="shared" si="102"/>
        <v>-0.71100798909588769</v>
      </c>
      <c r="T51" s="578">
        <f t="shared" si="103"/>
        <v>-3.2458427878760019</v>
      </c>
      <c r="U51" s="572">
        <f t="shared" si="104"/>
        <v>-3.0432224606507465</v>
      </c>
      <c r="V51" s="579">
        <f t="shared" si="141"/>
        <v>-0.71100798909588769</v>
      </c>
      <c r="W51" s="528">
        <f t="shared" si="253"/>
        <v>223.15468994943075</v>
      </c>
      <c r="X51" s="572">
        <f t="shared" si="105"/>
        <v>4.4493480813053772</v>
      </c>
      <c r="Y51" s="573">
        <f t="shared" si="255"/>
        <v>-0.71100798909588769</v>
      </c>
      <c r="Z51" s="575">
        <f t="shared" si="271"/>
        <v>-0.87028298226539424</v>
      </c>
      <c r="AA51" s="572">
        <f t="shared" si="272"/>
        <v>-0.38055834455760201</v>
      </c>
      <c r="AB51" s="572">
        <f t="shared" si="273"/>
        <v>-0.31270253783240887</v>
      </c>
      <c r="AC51" s="579">
        <f t="shared" si="106"/>
        <v>1</v>
      </c>
      <c r="AD51" s="580">
        <f t="shared" si="142"/>
        <v>-0.87028298226539424</v>
      </c>
      <c r="AE51" s="572">
        <f t="shared" si="107"/>
        <v>-0.38055834455760201</v>
      </c>
      <c r="AF51" s="576">
        <f t="shared" si="108"/>
        <v>-0.31270253783240887</v>
      </c>
      <c r="AG51" s="545">
        <f t="shared" si="109"/>
        <v>-50.590257122652936</v>
      </c>
      <c r="AH51" s="546">
        <f t="shared" si="110"/>
        <v>150.49154052836664</v>
      </c>
      <c r="AI51" s="528">
        <f t="shared" si="111"/>
        <v>-71.777826320127161</v>
      </c>
      <c r="AJ51" s="529">
        <f t="shared" si="112"/>
        <v>-66.381147736094348</v>
      </c>
      <c r="AK51" s="578">
        <f t="shared" si="238"/>
        <v>0.89754478226441514</v>
      </c>
      <c r="AL51" s="572">
        <f t="shared" si="113"/>
        <v>-0.31085444610475604</v>
      </c>
      <c r="AM51" s="577">
        <f t="shared" si="114"/>
        <v>-0.31270253783240887</v>
      </c>
      <c r="AN51" s="524">
        <f t="shared" si="115"/>
        <v>-44.830187859593472</v>
      </c>
      <c r="AO51" s="525">
        <f t="shared" si="116"/>
        <v>26.16280668690904</v>
      </c>
      <c r="AP51" s="528">
        <f t="shared" si="117"/>
        <v>-19.102946839654088</v>
      </c>
      <c r="AQ51" s="529">
        <f t="shared" si="274"/>
        <v>1.0246371185420255</v>
      </c>
      <c r="AS51" s="932">
        <f t="shared" si="461"/>
        <v>223.15468994943075</v>
      </c>
      <c r="AT51" s="928">
        <f t="shared" si="275"/>
        <v>-0.52466963932253785</v>
      </c>
      <c r="AU51" s="418"/>
      <c r="AV51" s="164" t="str">
        <f t="shared" si="276"/>
        <v/>
      </c>
      <c r="AW51" s="829" t="str">
        <f>IFERROR(INDEX(MassProp!C$9:C$150,MATCH($M51,MassProp!$B$9:$B$150,0)),"")</f>
        <v/>
      </c>
      <c r="AX51" s="830" t="str">
        <f>IFERROR(INDEX(MassProp!D$9:D$150,MATCH($M51,MassProp!$B$9:$B$150,0)),"")</f>
        <v/>
      </c>
      <c r="AY51" s="831" t="str">
        <f>IFERROR(INDEX(MassProp!E$9:E$150,MATCH($M51,MassProp!$B$9:$B$150,0)),"")</f>
        <v/>
      </c>
      <c r="AZ51" s="297" t="str">
        <f t="shared" si="277"/>
        <v/>
      </c>
      <c r="BA51" s="296" t="str">
        <f t="shared" si="278"/>
        <v/>
      </c>
      <c r="BB51" s="190" t="str">
        <f t="shared" si="145"/>
        <v/>
      </c>
      <c r="BC51" s="9"/>
      <c r="BD51" s="5" t="str">
        <f t="shared" si="279"/>
        <v/>
      </c>
      <c r="BE51" s="6" t="str">
        <f t="shared" si="280"/>
        <v/>
      </c>
      <c r="BF51" s="4" t="str">
        <f t="shared" si="281"/>
        <v/>
      </c>
      <c r="BG51" s="5" t="str">
        <f t="shared" si="282"/>
        <v/>
      </c>
      <c r="BH51" s="10" t="str">
        <f t="shared" si="283"/>
        <v/>
      </c>
      <c r="BI51" s="9" t="str">
        <f t="shared" si="284"/>
        <v/>
      </c>
      <c r="BJ51" s="5" t="str">
        <f t="shared" si="285"/>
        <v/>
      </c>
      <c r="BK51" s="8" t="str">
        <f t="shared" si="286"/>
        <v/>
      </c>
      <c r="BL51" s="173" t="str">
        <f t="shared" si="287"/>
        <v/>
      </c>
      <c r="BM51" s="5" t="str">
        <f t="shared" si="288"/>
        <v/>
      </c>
      <c r="BN51" s="6" t="str">
        <f t="shared" si="289"/>
        <v/>
      </c>
      <c r="BO51" s="4" t="str">
        <f t="shared" si="290"/>
        <v/>
      </c>
      <c r="BP51" s="5" t="str">
        <f t="shared" si="239"/>
        <v/>
      </c>
      <c r="BQ51" s="5" t="str">
        <f t="shared" si="291"/>
        <v/>
      </c>
      <c r="BR51" s="6" t="str">
        <f t="shared" si="292"/>
        <v/>
      </c>
      <c r="BS51" s="4" t="str">
        <f t="shared" si="458"/>
        <v/>
      </c>
      <c r="BT51" s="5" t="str">
        <f t="shared" si="458"/>
        <v/>
      </c>
      <c r="BU51" s="10" t="str">
        <f t="shared" si="119"/>
        <v/>
      </c>
      <c r="BV51" s="9" t="str">
        <f t="shared" si="120"/>
        <v/>
      </c>
      <c r="BW51" s="5" t="str">
        <f t="shared" si="121"/>
        <v/>
      </c>
      <c r="BX51" s="8" t="str">
        <f t="shared" si="122"/>
        <v/>
      </c>
      <c r="BY51" s="173" t="str">
        <f t="shared" si="123"/>
        <v/>
      </c>
      <c r="BZ51" s="5" t="str">
        <f t="shared" si="124"/>
        <v/>
      </c>
      <c r="CA51" s="6" t="str">
        <f t="shared" si="125"/>
        <v/>
      </c>
      <c r="CB51" s="4" t="str">
        <f t="shared" si="293"/>
        <v/>
      </c>
      <c r="CC51" s="5" t="str">
        <f t="shared" si="294"/>
        <v/>
      </c>
      <c r="CD51" s="5" t="str">
        <f t="shared" si="295"/>
        <v/>
      </c>
      <c r="CE51" s="6" t="str">
        <f t="shared" si="296"/>
        <v/>
      </c>
      <c r="CF51" s="4" t="str">
        <f t="shared" si="297"/>
        <v/>
      </c>
      <c r="CG51" s="5" t="str">
        <f t="shared" si="298"/>
        <v/>
      </c>
      <c r="CH51" s="5" t="str">
        <f t="shared" si="299"/>
        <v/>
      </c>
      <c r="CI51" s="4" t="str">
        <f t="shared" si="126"/>
        <v/>
      </c>
      <c r="CJ51" s="5" t="str">
        <f t="shared" si="300"/>
        <v/>
      </c>
      <c r="CK51" s="8" t="str">
        <f t="shared" si="301"/>
        <v/>
      </c>
      <c r="CL51" s="173" t="str">
        <f t="shared" si="302"/>
        <v/>
      </c>
      <c r="CM51" s="5" t="str">
        <f t="shared" si="303"/>
        <v/>
      </c>
      <c r="CN51" s="6" t="str">
        <f t="shared" si="304"/>
        <v/>
      </c>
      <c r="CO51" s="167" t="str">
        <f t="shared" si="305"/>
        <v/>
      </c>
      <c r="CP51" s="4" t="str">
        <f t="shared" si="306"/>
        <v/>
      </c>
      <c r="CQ51" s="5" t="str">
        <f t="shared" si="307"/>
        <v/>
      </c>
      <c r="CR51" s="5" t="str">
        <f t="shared" si="308"/>
        <v/>
      </c>
      <c r="CS51" s="8" t="str">
        <f t="shared" si="309"/>
        <v/>
      </c>
      <c r="CT51" s="9" t="str">
        <f t="shared" si="160"/>
        <v/>
      </c>
      <c r="CU51" s="6" t="str">
        <f t="shared" si="310"/>
        <v/>
      </c>
      <c r="CV51" s="4" t="str">
        <f t="shared" si="311"/>
        <v/>
      </c>
      <c r="CW51" s="5" t="str">
        <f t="shared" si="312"/>
        <v/>
      </c>
      <c r="CX51" s="8" t="str">
        <f t="shared" si="313"/>
        <v/>
      </c>
      <c r="CY51" s="9" t="str">
        <f t="shared" si="314"/>
        <v/>
      </c>
      <c r="CZ51" s="5" t="str">
        <f t="shared" si="315"/>
        <v/>
      </c>
      <c r="DA51" s="6" t="str">
        <f t="shared" si="316"/>
        <v/>
      </c>
      <c r="DB51" s="4" t="str">
        <f t="shared" si="462"/>
        <v/>
      </c>
      <c r="DC51" s="5" t="str">
        <f t="shared" si="462"/>
        <v/>
      </c>
      <c r="DD51" s="10" t="str">
        <f t="shared" si="168"/>
        <v/>
      </c>
      <c r="DE51" s="9" t="str">
        <f t="shared" si="463"/>
        <v/>
      </c>
      <c r="DF51" s="5" t="str">
        <f t="shared" si="463"/>
        <v/>
      </c>
      <c r="DG51" s="10" t="str">
        <f t="shared" si="170"/>
        <v/>
      </c>
      <c r="DH51" s="70" t="str">
        <f t="shared" si="317"/>
        <v/>
      </c>
      <c r="DI51" s="4" t="str">
        <f t="shared" si="318"/>
        <v/>
      </c>
      <c r="DJ51" s="5" t="str">
        <f t="shared" si="319"/>
        <v/>
      </c>
      <c r="DK51" s="10" t="str">
        <f t="shared" si="320"/>
        <v/>
      </c>
      <c r="DL51" s="9" t="str">
        <f t="shared" si="321"/>
        <v/>
      </c>
      <c r="DM51" s="173" t="str">
        <f t="shared" si="322"/>
        <v/>
      </c>
      <c r="DN51" s="178" t="str">
        <f t="shared" si="323"/>
        <v/>
      </c>
      <c r="DO51" s="9" t="str">
        <f t="shared" si="324"/>
        <v/>
      </c>
      <c r="DP51" s="173" t="str">
        <f t="shared" si="325"/>
        <v/>
      </c>
      <c r="DQ51" s="11" t="str">
        <f t="shared" si="326"/>
        <v/>
      </c>
      <c r="DR51" s="173" t="str">
        <f t="shared" si="327"/>
        <v/>
      </c>
      <c r="DS51" s="5" t="str">
        <f t="shared" si="328"/>
        <v/>
      </c>
      <c r="DT51" s="5" t="str">
        <f t="shared" si="329"/>
        <v/>
      </c>
      <c r="DU51" s="5" t="str">
        <f t="shared" si="330"/>
        <v/>
      </c>
      <c r="DV51" s="5" t="str">
        <f t="shared" si="331"/>
        <v/>
      </c>
      <c r="DW51" s="5" t="str">
        <f t="shared" si="332"/>
        <v/>
      </c>
      <c r="DX51" s="167" t="str">
        <f t="shared" si="333"/>
        <v/>
      </c>
      <c r="DY51" s="9" t="str">
        <f t="shared" si="334"/>
        <v/>
      </c>
      <c r="DZ51" s="5" t="str">
        <f t="shared" si="335"/>
        <v/>
      </c>
      <c r="EA51" s="10" t="str">
        <f t="shared" si="336"/>
        <v/>
      </c>
      <c r="EB51" s="6" t="str">
        <f t="shared" si="337"/>
        <v/>
      </c>
      <c r="EC51" s="173" t="str">
        <f t="shared" si="338"/>
        <v/>
      </c>
      <c r="ED51" s="5" t="str">
        <f t="shared" si="339"/>
        <v/>
      </c>
      <c r="EE51" s="4" t="str">
        <f t="shared" si="340"/>
        <v/>
      </c>
      <c r="EF51" s="5" t="str">
        <f t="shared" si="341"/>
        <v/>
      </c>
      <c r="EG51" s="10" t="str">
        <f t="shared" si="342"/>
        <v/>
      </c>
      <c r="EH51" s="9" t="str">
        <f t="shared" si="343"/>
        <v/>
      </c>
      <c r="EI51" s="5" t="str">
        <f t="shared" si="344"/>
        <v/>
      </c>
      <c r="EJ51" s="6" t="str">
        <f t="shared" si="345"/>
        <v/>
      </c>
      <c r="EK51" s="236" t="str">
        <f t="shared" si="200"/>
        <v/>
      </c>
      <c r="EL51" s="238" t="str">
        <f t="shared" si="201"/>
        <v/>
      </c>
      <c r="EM51" s="4" t="str">
        <f t="shared" si="346"/>
        <v/>
      </c>
      <c r="EN51" s="5" t="str">
        <f t="shared" si="347"/>
        <v/>
      </c>
      <c r="EO51" s="10" t="str">
        <f t="shared" si="348"/>
        <v/>
      </c>
      <c r="EP51" s="9" t="str">
        <f t="shared" si="349"/>
        <v/>
      </c>
      <c r="EQ51" s="5" t="str">
        <f t="shared" si="350"/>
        <v/>
      </c>
      <c r="ER51" s="7" t="str">
        <f t="shared" si="351"/>
        <v/>
      </c>
      <c r="ES51" s="21" t="str">
        <f t="shared" si="352"/>
        <v/>
      </c>
      <c r="ET51" s="5" t="str">
        <f t="shared" si="353"/>
        <v/>
      </c>
      <c r="EU51" s="10" t="str">
        <f t="shared" si="354"/>
        <v/>
      </c>
      <c r="EV51" s="174" t="str">
        <f t="shared" si="355"/>
        <v/>
      </c>
      <c r="EW51" s="9" t="str">
        <f t="shared" si="356"/>
        <v/>
      </c>
      <c r="EX51" s="5" t="str">
        <f t="shared" si="357"/>
        <v/>
      </c>
      <c r="EY51" s="6" t="str">
        <f t="shared" si="358"/>
        <v/>
      </c>
      <c r="EZ51" s="51" t="str">
        <f t="shared" si="209"/>
        <v/>
      </c>
      <c r="FA51" s="266" t="str">
        <f t="shared" si="134"/>
        <v/>
      </c>
      <c r="FB51" s="267" t="str">
        <f t="shared" si="135"/>
        <v/>
      </c>
      <c r="FC51" s="269" t="str">
        <f t="shared" si="48"/>
        <v/>
      </c>
      <c r="FD51" s="4" t="str">
        <f t="shared" si="359"/>
        <v/>
      </c>
      <c r="FE51" s="5" t="str">
        <f t="shared" si="360"/>
        <v/>
      </c>
      <c r="FF51" s="7" t="str">
        <f t="shared" si="361"/>
        <v/>
      </c>
      <c r="FG51" s="173" t="str">
        <f t="shared" si="362"/>
        <v/>
      </c>
      <c r="FH51" s="5" t="str">
        <f t="shared" si="363"/>
        <v/>
      </c>
      <c r="FI51" s="10" t="str">
        <f t="shared" si="364"/>
        <v/>
      </c>
      <c r="FJ51" s="279" t="str">
        <f t="shared" si="365"/>
        <v/>
      </c>
      <c r="FK51" s="4" t="str">
        <f t="shared" si="366"/>
        <v/>
      </c>
      <c r="FL51" s="5" t="str">
        <f t="shared" si="367"/>
        <v/>
      </c>
      <c r="FM51" s="8" t="str">
        <f t="shared" si="368"/>
        <v/>
      </c>
      <c r="FN51" s="9" t="str">
        <f t="shared" si="369"/>
        <v/>
      </c>
      <c r="FO51" s="10" t="str">
        <f t="shared" si="370"/>
        <v/>
      </c>
      <c r="FP51" s="277" t="str">
        <f t="shared" si="371"/>
        <v/>
      </c>
      <c r="FQ51" s="173" t="str">
        <f t="shared" si="372"/>
        <v/>
      </c>
      <c r="FR51" s="10" t="str">
        <f t="shared" si="373"/>
        <v/>
      </c>
      <c r="FS51" s="9" t="str">
        <f t="shared" si="374"/>
        <v/>
      </c>
      <c r="FT51" s="6" t="str">
        <f t="shared" si="375"/>
        <v/>
      </c>
      <c r="FU51" s="4" t="str">
        <f t="shared" si="376"/>
        <v/>
      </c>
      <c r="FV51" s="5" t="str">
        <f t="shared" si="377"/>
        <v/>
      </c>
      <c r="FW51" s="8" t="str">
        <f t="shared" si="378"/>
        <v/>
      </c>
      <c r="FX51" s="9" t="str">
        <f t="shared" si="379"/>
        <v/>
      </c>
      <c r="FY51" s="10" t="str">
        <f t="shared" si="380"/>
        <v/>
      </c>
      <c r="FZ51" s="277" t="str">
        <f t="shared" si="381"/>
        <v/>
      </c>
      <c r="GA51" s="177" t="str">
        <f t="shared" si="382"/>
        <v/>
      </c>
      <c r="GB51" s="4" t="str">
        <f t="shared" si="383"/>
        <v/>
      </c>
      <c r="GC51" s="5" t="str">
        <f t="shared" si="384"/>
        <v/>
      </c>
      <c r="GD51" s="10" t="str">
        <f t="shared" si="385"/>
        <v/>
      </c>
      <c r="GE51" s="311" t="str">
        <f t="shared" si="386"/>
        <v/>
      </c>
      <c r="GF51" s="341" t="str">
        <f t="shared" si="387"/>
        <v/>
      </c>
      <c r="GG51" s="285" t="str">
        <f t="shared" si="388"/>
        <v/>
      </c>
      <c r="GH51" s="286" t="str">
        <f t="shared" si="389"/>
        <v/>
      </c>
      <c r="GI51" s="281" t="str">
        <f t="shared" si="390"/>
        <v/>
      </c>
      <c r="GJ51" s="167" t="str">
        <f t="shared" si="391"/>
        <v/>
      </c>
      <c r="GK51" s="174" t="str">
        <f t="shared" si="59"/>
        <v/>
      </c>
      <c r="GL51" s="174" t="str">
        <f t="shared" si="392"/>
        <v/>
      </c>
      <c r="GM51" s="177" t="str">
        <f t="shared" si="393"/>
        <v/>
      </c>
      <c r="GN51" s="280" t="str">
        <f t="shared" si="394"/>
        <v/>
      </c>
      <c r="GO51" s="4" t="str">
        <f t="shared" si="395"/>
        <v/>
      </c>
      <c r="GP51" s="8" t="str">
        <f t="shared" si="396"/>
        <v/>
      </c>
      <c r="GQ51" s="177" t="str">
        <f t="shared" si="397"/>
        <v/>
      </c>
      <c r="GR51" s="371" t="str">
        <f t="shared" si="398"/>
        <v/>
      </c>
      <c r="GS51" s="342" t="str">
        <f t="shared" si="399"/>
        <v/>
      </c>
      <c r="GT51" s="343" t="str">
        <f t="shared" si="400"/>
        <v/>
      </c>
      <c r="GU51" s="344" t="str">
        <f t="shared" si="63"/>
        <v/>
      </c>
      <c r="GV51" s="343" t="str">
        <f t="shared" si="401"/>
        <v/>
      </c>
      <c r="GW51" s="345" t="str">
        <f t="shared" si="64"/>
        <v/>
      </c>
      <c r="GX51" s="346" t="str">
        <f t="shared" si="65"/>
        <v/>
      </c>
      <c r="GY51" s="344" t="str">
        <f t="shared" si="402"/>
        <v/>
      </c>
      <c r="GZ51" s="345" t="str">
        <f t="shared" si="403"/>
        <v/>
      </c>
      <c r="HA51" s="342" t="str">
        <f t="shared" si="68"/>
        <v/>
      </c>
      <c r="HB51" s="5" t="str">
        <f t="shared" si="231"/>
        <v/>
      </c>
      <c r="HC51" s="343" t="str">
        <f t="shared" si="404"/>
        <v/>
      </c>
      <c r="HD51" s="345" t="str">
        <f t="shared" si="405"/>
        <v/>
      </c>
      <c r="HE51" s="344" t="str">
        <f t="shared" si="69"/>
        <v/>
      </c>
      <c r="HF51" s="5" t="str">
        <f t="shared" si="70"/>
        <v/>
      </c>
      <c r="HG51" s="343" t="str">
        <f t="shared" si="406"/>
        <v/>
      </c>
      <c r="HH51" s="349" t="str">
        <f t="shared" si="407"/>
        <v/>
      </c>
      <c r="HI51" s="317" t="str">
        <f t="shared" si="408"/>
        <v/>
      </c>
      <c r="HJ51" s="336"/>
      <c r="HK51" s="310" t="str">
        <f t="shared" si="459"/>
        <v/>
      </c>
      <c r="HL51" s="348" t="str">
        <f t="shared" si="409"/>
        <v/>
      </c>
      <c r="HM51" s="909" t="str">
        <f t="shared" si="410"/>
        <v/>
      </c>
      <c r="HN51" s="910" t="str">
        <f t="shared" si="411"/>
        <v/>
      </c>
      <c r="HO51" s="911"/>
      <c r="HP51" s="912"/>
      <c r="HQ51" s="910" t="str">
        <f t="shared" si="412"/>
        <v/>
      </c>
      <c r="HR51" s="913" t="str">
        <f t="shared" si="413"/>
        <v/>
      </c>
      <c r="HS51" s="865" t="str">
        <f t="shared" si="460"/>
        <v/>
      </c>
      <c r="HT51" s="875" t="str">
        <f t="shared" si="414"/>
        <v/>
      </c>
      <c r="HU51" s="876" t="str">
        <f t="shared" si="415"/>
        <v/>
      </c>
      <c r="HV51" s="872" t="str">
        <f t="shared" si="416"/>
        <v/>
      </c>
      <c r="HW51" s="866" t="str">
        <f t="shared" si="417"/>
        <v/>
      </c>
      <c r="HX51" s="867" t="str">
        <f t="shared" si="418"/>
        <v/>
      </c>
      <c r="HY51" s="866" t="str">
        <f t="shared" si="419"/>
        <v/>
      </c>
      <c r="HZ51" s="868" t="str">
        <f t="shared" si="420"/>
        <v/>
      </c>
      <c r="IA51" s="869" t="str">
        <f t="shared" si="421"/>
        <v/>
      </c>
      <c r="IB51" s="870" t="str">
        <f t="shared" si="422"/>
        <v/>
      </c>
      <c r="IC51" s="841" t="str">
        <f t="shared" si="423"/>
        <v/>
      </c>
      <c r="ID51" s="351" t="str">
        <f t="shared" si="424"/>
        <v/>
      </c>
      <c r="IE51" s="843" t="str">
        <f t="shared" si="425"/>
        <v/>
      </c>
      <c r="IF51" s="844"/>
      <c r="IG51" s="790" t="str">
        <f>IFERROR(IF($IW51="","",IF($IW51&lt;(((Settings!$C$19/2)*-1)*$IG$8),"Taper","Nose")),"")</f>
        <v>Taper</v>
      </c>
      <c r="IH51" s="482" t="str">
        <f>IFERROR(IF((((($IY51*COS(RADIANS(180-$JA51)))*COS(RADIANS($JA51)))-(($IZ51*SIN(RADIANS(180-$JA51)))*SIN(RADIANS($JA51))))+$IW51)&lt;(((Settings!$C$19+$IH$8)/2)*-1),"Gage",""),"")</f>
        <v/>
      </c>
      <c r="II51" s="788">
        <f t="shared" si="236"/>
        <v>3.2269999999999999</v>
      </c>
      <c r="IJ51" s="674" cm="1">
        <f t="array" ref="IJ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3.1269999999999998</v>
      </c>
      <c r="IK51" s="677" cm="1">
        <f t="array" ref="IK51">IFERROR(ROUND(VALUE(IF($IJ51&lt;1,$IJ51+LARGE((IF($M$9:$M$150="",0,$M$9:$M$150)-MOD(IF($M$9:$M$150="",0,$M$9:$M$150),1)),1),$IJ51)),4),"")</f>
        <v>3.1269999999999998</v>
      </c>
      <c r="IL51" s="482">
        <f t="shared" si="426"/>
        <v>1613</v>
      </c>
      <c r="IM51" s="482">
        <f t="shared" si="237"/>
        <v>1313</v>
      </c>
      <c r="IN51" s="670">
        <f t="shared" si="427"/>
        <v>10.803298007444198</v>
      </c>
      <c r="IO51" s="702">
        <v>3.2796327264046403E-2</v>
      </c>
      <c r="IP51" s="5">
        <f t="shared" si="428"/>
        <v>1.64</v>
      </c>
      <c r="IQ51" s="714">
        <v>820</v>
      </c>
      <c r="IR51" s="9">
        <f t="shared" si="429"/>
        <v>-4.4323083330046469</v>
      </c>
      <c r="IS51" s="5">
        <f t="shared" si="430"/>
        <v>-0.70993288521304942</v>
      </c>
      <c r="IT51" s="5">
        <f t="shared" si="431"/>
        <v>0.3125</v>
      </c>
      <c r="IU51" s="5">
        <f t="shared" si="432"/>
        <v>0.29143808827184325</v>
      </c>
      <c r="IV51" s="670">
        <f t="shared" si="433"/>
        <v>44.722719194276351</v>
      </c>
      <c r="IW51" s="9">
        <f t="shared" si="434"/>
        <v>-4.4493480813053772</v>
      </c>
      <c r="IX51" s="5">
        <f t="shared" si="435"/>
        <v>-0.71100798909588769</v>
      </c>
      <c r="IY51" s="5">
        <f t="shared" si="436"/>
        <v>0.26450000000000001</v>
      </c>
      <c r="IZ51" s="5">
        <f t="shared" si="437"/>
        <v>0.23740059490893783</v>
      </c>
      <c r="JA51" s="705">
        <f t="shared" si="438"/>
        <v>44.830187859593472</v>
      </c>
    </row>
    <row r="52" spans="1:261" ht="15" customHeight="1" x14ac:dyDescent="0.25">
      <c r="A52" s="75">
        <f t="shared" si="256"/>
        <v>0.02</v>
      </c>
      <c r="B52" s="578">
        <f t="shared" si="257"/>
        <v>3.3323573830798838</v>
      </c>
      <c r="C52" s="572">
        <f t="shared" si="258"/>
        <v>-3.5623832908706627</v>
      </c>
      <c r="D52" s="576">
        <f t="shared" si="259"/>
        <v>-1.3535824057410517</v>
      </c>
      <c r="E52" s="580">
        <f t="shared" si="260"/>
        <v>0.93824137035055388</v>
      </c>
      <c r="F52" s="572">
        <f t="shared" si="261"/>
        <v>0.26293358812706369</v>
      </c>
      <c r="G52" s="579">
        <f t="shared" si="262"/>
        <v>0.22487565274467233</v>
      </c>
      <c r="H52" s="580">
        <f t="shared" si="263"/>
        <v>0.26450000000000001</v>
      </c>
      <c r="I52" s="572">
        <f t="shared" si="264"/>
        <v>0.52</v>
      </c>
      <c r="J52" s="483">
        <f t="shared" si="265"/>
        <v>3.2330000000000001</v>
      </c>
      <c r="K52" s="806">
        <f t="shared" si="266"/>
        <v>1313</v>
      </c>
      <c r="L52" s="309"/>
      <c r="M52" s="164">
        <f t="shared" si="267"/>
        <v>3.2330000000000001</v>
      </c>
      <c r="N52" s="575">
        <f t="shared" si="268"/>
        <v>3.3323573830798838</v>
      </c>
      <c r="O52" s="572">
        <f t="shared" si="269"/>
        <v>-3.5623832908706627</v>
      </c>
      <c r="P52" s="576">
        <f t="shared" si="270"/>
        <v>-1.3535824057410517</v>
      </c>
      <c r="Q52" s="528">
        <f t="shared" si="140"/>
        <v>313.08917728330249</v>
      </c>
      <c r="R52" s="572">
        <f t="shared" si="101"/>
        <v>4.8780303852724725</v>
      </c>
      <c r="S52" s="577">
        <f t="shared" si="102"/>
        <v>-1.3535824057410517</v>
      </c>
      <c r="T52" s="578">
        <f t="shared" si="103"/>
        <v>-3.5371046591383322</v>
      </c>
      <c r="U52" s="572">
        <f t="shared" si="104"/>
        <v>-3.3591771417928249</v>
      </c>
      <c r="V52" s="579">
        <f t="shared" si="141"/>
        <v>-1.3535824057410517</v>
      </c>
      <c r="W52" s="528">
        <f t="shared" si="253"/>
        <v>223.52206812917348</v>
      </c>
      <c r="X52" s="572">
        <f t="shared" si="105"/>
        <v>4.8780303852724725</v>
      </c>
      <c r="Y52" s="573">
        <f t="shared" si="255"/>
        <v>-1.3535824057410517</v>
      </c>
      <c r="Z52" s="575">
        <f t="shared" si="271"/>
        <v>-0.93824137035055388</v>
      </c>
      <c r="AA52" s="572">
        <f t="shared" si="272"/>
        <v>-0.26293358812706369</v>
      </c>
      <c r="AB52" s="572">
        <f t="shared" si="273"/>
        <v>-0.22487565274467233</v>
      </c>
      <c r="AC52" s="579">
        <f t="shared" si="106"/>
        <v>1</v>
      </c>
      <c r="AD52" s="580">
        <f t="shared" si="142"/>
        <v>-0.93824137035055388</v>
      </c>
      <c r="AE52" s="572">
        <f t="shared" si="107"/>
        <v>-0.26293358812706369</v>
      </c>
      <c r="AF52" s="576">
        <f t="shared" si="108"/>
        <v>-0.22487565274467233</v>
      </c>
      <c r="AG52" s="545">
        <f t="shared" si="109"/>
        <v>-49.46106952648033</v>
      </c>
      <c r="AH52" s="546">
        <f t="shared" si="110"/>
        <v>159.75828425930897</v>
      </c>
      <c r="AI52" s="528">
        <f t="shared" si="111"/>
        <v>-77.004433792633534</v>
      </c>
      <c r="AJ52" s="529">
        <f t="shared" si="112"/>
        <v>-74.344956254431636</v>
      </c>
      <c r="AK52" s="578">
        <f t="shared" si="238"/>
        <v>0.864808894370935</v>
      </c>
      <c r="AL52" s="572">
        <f t="shared" si="113"/>
        <v>-0.44892818692924441</v>
      </c>
      <c r="AM52" s="577">
        <f t="shared" si="114"/>
        <v>-0.22487565274467233</v>
      </c>
      <c r="AN52" s="524">
        <f t="shared" si="115"/>
        <v>-63.392943063786667</v>
      </c>
      <c r="AO52" s="525">
        <f t="shared" si="116"/>
        <v>30.139109350595657</v>
      </c>
      <c r="AP52" s="528">
        <f t="shared" si="117"/>
        <v>-27.434133537734105</v>
      </c>
      <c r="AQ52" s="529">
        <f t="shared" si="274"/>
        <v>0.93460854108877989</v>
      </c>
      <c r="AS52" s="932">
        <f t="shared" si="461"/>
        <v>223.52206812917348</v>
      </c>
      <c r="AT52" s="928">
        <f t="shared" si="275"/>
        <v>-1.1677543034395668</v>
      </c>
      <c r="AU52" s="418"/>
      <c r="AV52" s="164" t="str">
        <f t="shared" si="276"/>
        <v/>
      </c>
      <c r="AW52" s="829" t="str">
        <f>IFERROR(INDEX(MassProp!C$9:C$150,MATCH($M52,MassProp!$B$9:$B$150,0)),"")</f>
        <v/>
      </c>
      <c r="AX52" s="830" t="str">
        <f>IFERROR(INDEX(MassProp!D$9:D$150,MATCH($M52,MassProp!$B$9:$B$150,0)),"")</f>
        <v/>
      </c>
      <c r="AY52" s="831" t="str">
        <f>IFERROR(INDEX(MassProp!E$9:E$150,MATCH($M52,MassProp!$B$9:$B$150,0)),"")</f>
        <v/>
      </c>
      <c r="AZ52" s="297" t="str">
        <f t="shared" si="277"/>
        <v/>
      </c>
      <c r="BA52" s="296" t="str">
        <f t="shared" si="278"/>
        <v/>
      </c>
      <c r="BB52" s="190" t="str">
        <f t="shared" si="145"/>
        <v/>
      </c>
      <c r="BC52" s="9"/>
      <c r="BD52" s="5" t="str">
        <f t="shared" si="279"/>
        <v/>
      </c>
      <c r="BE52" s="6" t="str">
        <f t="shared" si="280"/>
        <v/>
      </c>
      <c r="BF52" s="4" t="str">
        <f t="shared" si="281"/>
        <v/>
      </c>
      <c r="BG52" s="5" t="str">
        <f t="shared" si="282"/>
        <v/>
      </c>
      <c r="BH52" s="10" t="str">
        <f t="shared" si="283"/>
        <v/>
      </c>
      <c r="BI52" s="9" t="str">
        <f t="shared" si="284"/>
        <v/>
      </c>
      <c r="BJ52" s="5" t="str">
        <f t="shared" si="285"/>
        <v/>
      </c>
      <c r="BK52" s="8" t="str">
        <f t="shared" si="286"/>
        <v/>
      </c>
      <c r="BL52" s="173" t="str">
        <f t="shared" si="287"/>
        <v/>
      </c>
      <c r="BM52" s="5" t="str">
        <f t="shared" si="288"/>
        <v/>
      </c>
      <c r="BN52" s="6" t="str">
        <f t="shared" si="289"/>
        <v/>
      </c>
      <c r="BO52" s="4" t="str">
        <f t="shared" si="290"/>
        <v/>
      </c>
      <c r="BP52" s="5" t="str">
        <f t="shared" si="239"/>
        <v/>
      </c>
      <c r="BQ52" s="5" t="str">
        <f t="shared" si="291"/>
        <v/>
      </c>
      <c r="BR52" s="6" t="str">
        <f t="shared" si="292"/>
        <v/>
      </c>
      <c r="BS52" s="4" t="str">
        <f t="shared" si="458"/>
        <v/>
      </c>
      <c r="BT52" s="5" t="str">
        <f t="shared" si="458"/>
        <v/>
      </c>
      <c r="BU52" s="10" t="str">
        <f t="shared" si="119"/>
        <v/>
      </c>
      <c r="BV52" s="9" t="str">
        <f t="shared" si="120"/>
        <v/>
      </c>
      <c r="BW52" s="5" t="str">
        <f t="shared" si="121"/>
        <v/>
      </c>
      <c r="BX52" s="8" t="str">
        <f t="shared" si="122"/>
        <v/>
      </c>
      <c r="BY52" s="173" t="str">
        <f t="shared" si="123"/>
        <v/>
      </c>
      <c r="BZ52" s="5" t="str">
        <f t="shared" si="124"/>
        <v/>
      </c>
      <c r="CA52" s="6" t="str">
        <f t="shared" si="125"/>
        <v/>
      </c>
      <c r="CB52" s="4" t="str">
        <f t="shared" si="293"/>
        <v/>
      </c>
      <c r="CC52" s="5" t="str">
        <f t="shared" si="294"/>
        <v/>
      </c>
      <c r="CD52" s="5" t="str">
        <f t="shared" si="295"/>
        <v/>
      </c>
      <c r="CE52" s="6" t="str">
        <f t="shared" si="296"/>
        <v/>
      </c>
      <c r="CF52" s="4" t="str">
        <f t="shared" si="297"/>
        <v/>
      </c>
      <c r="CG52" s="5" t="str">
        <f t="shared" si="298"/>
        <v/>
      </c>
      <c r="CH52" s="5" t="str">
        <f t="shared" si="299"/>
        <v/>
      </c>
      <c r="CI52" s="4" t="str">
        <f t="shared" si="126"/>
        <v/>
      </c>
      <c r="CJ52" s="5" t="str">
        <f t="shared" si="300"/>
        <v/>
      </c>
      <c r="CK52" s="8" t="str">
        <f t="shared" si="301"/>
        <v/>
      </c>
      <c r="CL52" s="173" t="str">
        <f t="shared" si="302"/>
        <v/>
      </c>
      <c r="CM52" s="5" t="str">
        <f t="shared" si="303"/>
        <v/>
      </c>
      <c r="CN52" s="6" t="str">
        <f t="shared" si="304"/>
        <v/>
      </c>
      <c r="CO52" s="167" t="str">
        <f t="shared" si="305"/>
        <v/>
      </c>
      <c r="CP52" s="4" t="str">
        <f t="shared" si="306"/>
        <v/>
      </c>
      <c r="CQ52" s="5" t="str">
        <f t="shared" si="307"/>
        <v/>
      </c>
      <c r="CR52" s="5" t="str">
        <f t="shared" si="308"/>
        <v/>
      </c>
      <c r="CS52" s="8" t="str">
        <f t="shared" si="309"/>
        <v/>
      </c>
      <c r="CT52" s="9" t="str">
        <f t="shared" si="160"/>
        <v/>
      </c>
      <c r="CU52" s="6" t="str">
        <f t="shared" si="310"/>
        <v/>
      </c>
      <c r="CV52" s="4" t="str">
        <f t="shared" si="311"/>
        <v/>
      </c>
      <c r="CW52" s="5" t="str">
        <f t="shared" si="312"/>
        <v/>
      </c>
      <c r="CX52" s="8" t="str">
        <f t="shared" si="313"/>
        <v/>
      </c>
      <c r="CY52" s="9" t="str">
        <f t="shared" si="314"/>
        <v/>
      </c>
      <c r="CZ52" s="5" t="str">
        <f t="shared" si="315"/>
        <v/>
      </c>
      <c r="DA52" s="6" t="str">
        <f t="shared" si="316"/>
        <v/>
      </c>
      <c r="DB52" s="4" t="str">
        <f t="shared" si="462"/>
        <v/>
      </c>
      <c r="DC52" s="5" t="str">
        <f t="shared" si="462"/>
        <v/>
      </c>
      <c r="DD52" s="10" t="str">
        <f t="shared" si="168"/>
        <v/>
      </c>
      <c r="DE52" s="9" t="str">
        <f t="shared" si="463"/>
        <v/>
      </c>
      <c r="DF52" s="5" t="str">
        <f t="shared" si="463"/>
        <v/>
      </c>
      <c r="DG52" s="10" t="str">
        <f t="shared" si="170"/>
        <v/>
      </c>
      <c r="DH52" s="70" t="str">
        <f t="shared" si="317"/>
        <v/>
      </c>
      <c r="DI52" s="4" t="str">
        <f t="shared" si="318"/>
        <v/>
      </c>
      <c r="DJ52" s="5" t="str">
        <f t="shared" si="319"/>
        <v/>
      </c>
      <c r="DK52" s="10" t="str">
        <f t="shared" si="320"/>
        <v/>
      </c>
      <c r="DL52" s="9" t="str">
        <f t="shared" si="321"/>
        <v/>
      </c>
      <c r="DM52" s="173" t="str">
        <f t="shared" si="322"/>
        <v/>
      </c>
      <c r="DN52" s="178" t="str">
        <f t="shared" si="323"/>
        <v/>
      </c>
      <c r="DO52" s="9" t="str">
        <f t="shared" si="324"/>
        <v/>
      </c>
      <c r="DP52" s="173" t="str">
        <f t="shared" si="325"/>
        <v/>
      </c>
      <c r="DQ52" s="11" t="str">
        <f t="shared" si="326"/>
        <v/>
      </c>
      <c r="DR52" s="173" t="str">
        <f t="shared" si="327"/>
        <v/>
      </c>
      <c r="DS52" s="5" t="str">
        <f t="shared" si="328"/>
        <v/>
      </c>
      <c r="DT52" s="5" t="str">
        <f t="shared" si="329"/>
        <v/>
      </c>
      <c r="DU52" s="5" t="str">
        <f t="shared" si="330"/>
        <v/>
      </c>
      <c r="DV52" s="5" t="str">
        <f t="shared" si="331"/>
        <v/>
      </c>
      <c r="DW52" s="5" t="str">
        <f t="shared" si="332"/>
        <v/>
      </c>
      <c r="DX52" s="167" t="str">
        <f t="shared" si="333"/>
        <v/>
      </c>
      <c r="DY52" s="9" t="str">
        <f t="shared" si="334"/>
        <v/>
      </c>
      <c r="DZ52" s="5" t="str">
        <f t="shared" si="335"/>
        <v/>
      </c>
      <c r="EA52" s="10" t="str">
        <f t="shared" si="336"/>
        <v/>
      </c>
      <c r="EB52" s="6" t="str">
        <f t="shared" si="337"/>
        <v/>
      </c>
      <c r="EC52" s="173" t="str">
        <f t="shared" si="338"/>
        <v/>
      </c>
      <c r="ED52" s="5" t="str">
        <f t="shared" si="339"/>
        <v/>
      </c>
      <c r="EE52" s="4" t="str">
        <f t="shared" si="340"/>
        <v/>
      </c>
      <c r="EF52" s="5" t="str">
        <f t="shared" si="341"/>
        <v/>
      </c>
      <c r="EG52" s="10" t="str">
        <f t="shared" si="342"/>
        <v/>
      </c>
      <c r="EH52" s="9" t="str">
        <f t="shared" si="343"/>
        <v/>
      </c>
      <c r="EI52" s="5" t="str">
        <f t="shared" si="344"/>
        <v/>
      </c>
      <c r="EJ52" s="6" t="str">
        <f t="shared" si="345"/>
        <v/>
      </c>
      <c r="EK52" s="236" t="str">
        <f t="shared" si="200"/>
        <v/>
      </c>
      <c r="EL52" s="238" t="str">
        <f t="shared" si="201"/>
        <v/>
      </c>
      <c r="EM52" s="4" t="str">
        <f t="shared" si="346"/>
        <v/>
      </c>
      <c r="EN52" s="5" t="str">
        <f t="shared" si="347"/>
        <v/>
      </c>
      <c r="EO52" s="10" t="str">
        <f t="shared" si="348"/>
        <v/>
      </c>
      <c r="EP52" s="9" t="str">
        <f t="shared" si="349"/>
        <v/>
      </c>
      <c r="EQ52" s="5" t="str">
        <f t="shared" si="350"/>
        <v/>
      </c>
      <c r="ER52" s="7" t="str">
        <f t="shared" si="351"/>
        <v/>
      </c>
      <c r="ES52" s="21" t="str">
        <f t="shared" si="352"/>
        <v/>
      </c>
      <c r="ET52" s="5" t="str">
        <f t="shared" si="353"/>
        <v/>
      </c>
      <c r="EU52" s="10" t="str">
        <f t="shared" si="354"/>
        <v/>
      </c>
      <c r="EV52" s="174" t="str">
        <f t="shared" si="355"/>
        <v/>
      </c>
      <c r="EW52" s="9" t="str">
        <f t="shared" si="356"/>
        <v/>
      </c>
      <c r="EX52" s="5" t="str">
        <f t="shared" si="357"/>
        <v/>
      </c>
      <c r="EY52" s="6" t="str">
        <f t="shared" si="358"/>
        <v/>
      </c>
      <c r="EZ52" s="51" t="str">
        <f t="shared" si="209"/>
        <v/>
      </c>
      <c r="FA52" s="266" t="str">
        <f t="shared" si="134"/>
        <v/>
      </c>
      <c r="FB52" s="267" t="str">
        <f t="shared" si="135"/>
        <v/>
      </c>
      <c r="FC52" s="269" t="str">
        <f t="shared" si="48"/>
        <v/>
      </c>
      <c r="FD52" s="4" t="str">
        <f t="shared" si="359"/>
        <v/>
      </c>
      <c r="FE52" s="5" t="str">
        <f t="shared" si="360"/>
        <v/>
      </c>
      <c r="FF52" s="7" t="str">
        <f t="shared" si="361"/>
        <v/>
      </c>
      <c r="FG52" s="173" t="str">
        <f t="shared" si="362"/>
        <v/>
      </c>
      <c r="FH52" s="5" t="str">
        <f t="shared" si="363"/>
        <v/>
      </c>
      <c r="FI52" s="10" t="str">
        <f t="shared" si="364"/>
        <v/>
      </c>
      <c r="FJ52" s="279" t="str">
        <f t="shared" si="365"/>
        <v/>
      </c>
      <c r="FK52" s="4" t="str">
        <f t="shared" si="366"/>
        <v/>
      </c>
      <c r="FL52" s="5" t="str">
        <f t="shared" si="367"/>
        <v/>
      </c>
      <c r="FM52" s="8" t="str">
        <f t="shared" si="368"/>
        <v/>
      </c>
      <c r="FN52" s="9" t="str">
        <f t="shared" si="369"/>
        <v/>
      </c>
      <c r="FO52" s="10" t="str">
        <f t="shared" si="370"/>
        <v/>
      </c>
      <c r="FP52" s="277" t="str">
        <f t="shared" si="371"/>
        <v/>
      </c>
      <c r="FQ52" s="173" t="str">
        <f t="shared" si="372"/>
        <v/>
      </c>
      <c r="FR52" s="10" t="str">
        <f t="shared" si="373"/>
        <v/>
      </c>
      <c r="FS52" s="9" t="str">
        <f t="shared" si="374"/>
        <v/>
      </c>
      <c r="FT52" s="6" t="str">
        <f t="shared" si="375"/>
        <v/>
      </c>
      <c r="FU52" s="4" t="str">
        <f t="shared" si="376"/>
        <v/>
      </c>
      <c r="FV52" s="5" t="str">
        <f t="shared" si="377"/>
        <v/>
      </c>
      <c r="FW52" s="8" t="str">
        <f t="shared" si="378"/>
        <v/>
      </c>
      <c r="FX52" s="9" t="str">
        <f t="shared" si="379"/>
        <v/>
      </c>
      <c r="FY52" s="10" t="str">
        <f t="shared" si="380"/>
        <v/>
      </c>
      <c r="FZ52" s="277" t="str">
        <f t="shared" si="381"/>
        <v/>
      </c>
      <c r="GA52" s="177" t="str">
        <f t="shared" si="382"/>
        <v/>
      </c>
      <c r="GB52" s="4" t="str">
        <f t="shared" si="383"/>
        <v/>
      </c>
      <c r="GC52" s="5" t="str">
        <f t="shared" si="384"/>
        <v/>
      </c>
      <c r="GD52" s="10" t="str">
        <f t="shared" si="385"/>
        <v/>
      </c>
      <c r="GE52" s="311" t="str">
        <f t="shared" si="386"/>
        <v/>
      </c>
      <c r="GF52" s="341" t="str">
        <f t="shared" si="387"/>
        <v/>
      </c>
      <c r="GG52" s="285" t="str">
        <f t="shared" si="388"/>
        <v/>
      </c>
      <c r="GH52" s="286" t="str">
        <f t="shared" si="389"/>
        <v/>
      </c>
      <c r="GI52" s="281" t="str">
        <f t="shared" si="390"/>
        <v/>
      </c>
      <c r="GJ52" s="167" t="str">
        <f t="shared" si="391"/>
        <v/>
      </c>
      <c r="GK52" s="174" t="str">
        <f t="shared" si="59"/>
        <v/>
      </c>
      <c r="GL52" s="174" t="str">
        <f t="shared" si="392"/>
        <v/>
      </c>
      <c r="GM52" s="177" t="str">
        <f t="shared" si="393"/>
        <v/>
      </c>
      <c r="GN52" s="280" t="str">
        <f t="shared" si="394"/>
        <v/>
      </c>
      <c r="GO52" s="4" t="str">
        <f t="shared" si="395"/>
        <v/>
      </c>
      <c r="GP52" s="8" t="str">
        <f t="shared" si="396"/>
        <v/>
      </c>
      <c r="GQ52" s="177" t="str">
        <f t="shared" si="397"/>
        <v/>
      </c>
      <c r="GR52" s="371" t="str">
        <f t="shared" si="398"/>
        <v/>
      </c>
      <c r="GS52" s="342" t="str">
        <f t="shared" si="399"/>
        <v/>
      </c>
      <c r="GT52" s="343" t="str">
        <f t="shared" si="400"/>
        <v/>
      </c>
      <c r="GU52" s="344" t="str">
        <f t="shared" si="63"/>
        <v/>
      </c>
      <c r="GV52" s="343" t="str">
        <f t="shared" si="401"/>
        <v/>
      </c>
      <c r="GW52" s="345" t="str">
        <f t="shared" si="64"/>
        <v/>
      </c>
      <c r="GX52" s="346" t="str">
        <f t="shared" si="65"/>
        <v/>
      </c>
      <c r="GY52" s="344" t="str">
        <f t="shared" si="402"/>
        <v/>
      </c>
      <c r="GZ52" s="345" t="str">
        <f t="shared" si="403"/>
        <v/>
      </c>
      <c r="HA52" s="342" t="str">
        <f t="shared" si="68"/>
        <v/>
      </c>
      <c r="HB52" s="5" t="str">
        <f t="shared" si="231"/>
        <v/>
      </c>
      <c r="HC52" s="343" t="str">
        <f t="shared" si="404"/>
        <v/>
      </c>
      <c r="HD52" s="345" t="str">
        <f t="shared" si="405"/>
        <v/>
      </c>
      <c r="HE52" s="344" t="str">
        <f t="shared" si="69"/>
        <v/>
      </c>
      <c r="HF52" s="5" t="str">
        <f t="shared" si="70"/>
        <v/>
      </c>
      <c r="HG52" s="343" t="str">
        <f t="shared" si="406"/>
        <v/>
      </c>
      <c r="HH52" s="349" t="str">
        <f t="shared" si="407"/>
        <v/>
      </c>
      <c r="HI52" s="317" t="str">
        <f t="shared" si="408"/>
        <v/>
      </c>
      <c r="HJ52" s="336"/>
      <c r="HK52" s="310" t="str">
        <f t="shared" si="459"/>
        <v/>
      </c>
      <c r="HL52" s="348" t="str">
        <f t="shared" si="409"/>
        <v/>
      </c>
      <c r="HM52" s="909" t="str">
        <f t="shared" si="410"/>
        <v/>
      </c>
      <c r="HN52" s="910" t="str">
        <f t="shared" si="411"/>
        <v/>
      </c>
      <c r="HO52" s="911"/>
      <c r="HP52" s="912"/>
      <c r="HQ52" s="910" t="str">
        <f t="shared" si="412"/>
        <v/>
      </c>
      <c r="HR52" s="913" t="str">
        <f t="shared" si="413"/>
        <v/>
      </c>
      <c r="HS52" s="865" t="str">
        <f t="shared" si="460"/>
        <v/>
      </c>
      <c r="HT52" s="875" t="str">
        <f t="shared" si="414"/>
        <v/>
      </c>
      <c r="HU52" s="876" t="str">
        <f t="shared" si="415"/>
        <v/>
      </c>
      <c r="HV52" s="872" t="str">
        <f t="shared" si="416"/>
        <v/>
      </c>
      <c r="HW52" s="866" t="str">
        <f t="shared" si="417"/>
        <v/>
      </c>
      <c r="HX52" s="867" t="str">
        <f t="shared" si="418"/>
        <v/>
      </c>
      <c r="HY52" s="866" t="str">
        <f t="shared" si="419"/>
        <v/>
      </c>
      <c r="HZ52" s="868" t="str">
        <f t="shared" si="420"/>
        <v/>
      </c>
      <c r="IA52" s="869" t="str">
        <f t="shared" si="421"/>
        <v/>
      </c>
      <c r="IB52" s="870" t="str">
        <f t="shared" si="422"/>
        <v/>
      </c>
      <c r="IC52" s="841" t="str">
        <f t="shared" si="423"/>
        <v/>
      </c>
      <c r="ID52" s="351" t="str">
        <f t="shared" si="424"/>
        <v/>
      </c>
      <c r="IE52" s="843" t="str">
        <f t="shared" si="425"/>
        <v/>
      </c>
      <c r="IF52" s="844"/>
      <c r="IG52" s="790" t="str">
        <f>IFERROR(IF($IW52="","",IF($IW52&lt;(((Settings!$C$19/2)*-1)*$IG$8),"Taper","Nose")),"")</f>
        <v>Taper</v>
      </c>
      <c r="IH52" s="482" t="str">
        <f>IFERROR(IF((((($IY52*COS(RADIANS(180-$JA52)))*COS(RADIANS($JA52)))-(($IZ52*SIN(RADIANS(180-$JA52)))*SIN(RADIANS($JA52))))+$IW52)&lt;(((Settings!$C$19+$IH$8)/2)*-1),"Gage",""),"")</f>
        <v/>
      </c>
      <c r="II52" s="788">
        <f t="shared" si="236"/>
        <v>3.2330000000000001</v>
      </c>
      <c r="IJ52" s="674" cm="1">
        <f t="array" ref="IJ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>3.133</v>
      </c>
      <c r="IK52" s="677" cm="1">
        <f t="array" ref="IK52">IFERROR(ROUND(VALUE(IF($IJ52&lt;1,$IJ52+LARGE((IF($M$9:$M$150="",0,$M$9:$M$150)-MOD(IF($M$9:$M$150="",0,$M$9:$M$150),1)),1),$IJ52)),4),"")</f>
        <v>3.133</v>
      </c>
      <c r="IL52" s="482">
        <f t="shared" si="426"/>
        <v>1613</v>
      </c>
      <c r="IM52" s="482">
        <f t="shared" si="237"/>
        <v>1313</v>
      </c>
      <c r="IN52" s="670">
        <f t="shared" si="427"/>
        <v>9.8444633375917192</v>
      </c>
      <c r="IO52" s="702">
        <v>2.8102034550877099E-2</v>
      </c>
      <c r="IP52" s="5">
        <f t="shared" si="428"/>
        <v>1.84</v>
      </c>
      <c r="IQ52" s="714">
        <v>920</v>
      </c>
      <c r="IR52" s="9">
        <f t="shared" si="429"/>
        <v>-4.8564048247187852</v>
      </c>
      <c r="IS52" s="5">
        <f t="shared" si="430"/>
        <v>-1.3479182577182431</v>
      </c>
      <c r="IT52" s="5">
        <f t="shared" si="431"/>
        <v>0.3125</v>
      </c>
      <c r="IU52" s="5">
        <f t="shared" si="432"/>
        <v>0.28292139074885775</v>
      </c>
      <c r="IV52" s="670">
        <f t="shared" si="433"/>
        <v>63.345987496311885</v>
      </c>
      <c r="IW52" s="9">
        <f t="shared" si="434"/>
        <v>-4.8780303852724725</v>
      </c>
      <c r="IX52" s="5">
        <f t="shared" si="435"/>
        <v>-1.3535824057410517</v>
      </c>
      <c r="IY52" s="5">
        <f t="shared" si="436"/>
        <v>0.26450000000000001</v>
      </c>
      <c r="IZ52" s="5">
        <f t="shared" si="437"/>
        <v>0.22874195256111235</v>
      </c>
      <c r="JA52" s="705">
        <f t="shared" si="438"/>
        <v>63.392943063786667</v>
      </c>
    </row>
    <row r="53" spans="1:261" ht="15" customHeight="1" x14ac:dyDescent="0.25">
      <c r="A53" s="75">
        <f t="shared" si="256"/>
        <v>0</v>
      </c>
      <c r="B53" s="578">
        <f t="shared" si="257"/>
        <v>3.23675957429997</v>
      </c>
      <c r="C53" s="572">
        <f t="shared" si="258"/>
        <v>-3.8023425989005091</v>
      </c>
      <c r="D53" s="576">
        <f t="shared" si="259"/>
        <v>-2.1201362656089726</v>
      </c>
      <c r="E53" s="580">
        <f t="shared" si="260"/>
        <v>0.64337101194123913</v>
      </c>
      <c r="F53" s="572">
        <f t="shared" si="261"/>
        <v>-0.75579200414691927</v>
      </c>
      <c r="G53" s="579">
        <f t="shared" si="262"/>
        <v>0.12186955100142645</v>
      </c>
      <c r="H53" s="580">
        <f t="shared" si="263"/>
        <v>0.255</v>
      </c>
      <c r="I53" s="572">
        <f t="shared" si="264"/>
        <v>0.41499999999999992</v>
      </c>
      <c r="J53" s="483">
        <f t="shared" si="265"/>
        <v>3.2389999999999999</v>
      </c>
      <c r="K53" s="806" t="str">
        <f t="shared" si="266"/>
        <v>CPS-32193r1</v>
      </c>
      <c r="L53" s="309"/>
      <c r="M53" s="164">
        <f t="shared" si="267"/>
        <v>3.2389999999999999</v>
      </c>
      <c r="N53" s="575">
        <f t="shared" si="268"/>
        <v>3.23675957429997</v>
      </c>
      <c r="O53" s="572">
        <f t="shared" si="269"/>
        <v>-3.8023425989005091</v>
      </c>
      <c r="P53" s="576">
        <f t="shared" si="270"/>
        <v>-2.1201362656089726</v>
      </c>
      <c r="Q53" s="528">
        <f t="shared" si="140"/>
        <v>310.40622475139327</v>
      </c>
      <c r="R53" s="572">
        <f t="shared" ref="R53:R58" si="464">IF(M53="","",SQRT(N53^2+O53^2))</f>
        <v>4.9934378719711736</v>
      </c>
      <c r="S53" s="577">
        <f t="shared" ref="S53:S58" si="465">IF(M53="","",P53)</f>
        <v>-2.1201362656089726</v>
      </c>
      <c r="T53" s="578">
        <f t="shared" ref="T53:T58" si="466">IF(M53="","",X53*COS(RADIANS(W53)))</f>
        <v>-3.7777793883258481</v>
      </c>
      <c r="U53" s="572">
        <f t="shared" ref="U53:U58" si="467">IF(M53="","",X53*SIN(RADIANS(W53)))</f>
        <v>-3.2653950257781039</v>
      </c>
      <c r="V53" s="579">
        <f t="shared" ref="V53:V58" si="468">IF(M53="","",Y53)</f>
        <v>-2.1201362656089726</v>
      </c>
      <c r="W53" s="528">
        <f t="shared" si="253"/>
        <v>220.83911559726425</v>
      </c>
      <c r="X53" s="572">
        <f t="shared" ref="X53:X58" si="469">IF(M53="","",R53)</f>
        <v>4.9934378719711736</v>
      </c>
      <c r="Y53" s="573">
        <f t="shared" si="255"/>
        <v>-2.1201362656089726</v>
      </c>
      <c r="Z53" s="575">
        <f t="shared" si="271"/>
        <v>-0.64337101194123913</v>
      </c>
      <c r="AA53" s="572">
        <f t="shared" si="272"/>
        <v>0.75579200414691927</v>
      </c>
      <c r="AB53" s="572">
        <f t="shared" si="273"/>
        <v>-0.12186955100142645</v>
      </c>
      <c r="AC53" s="579">
        <f t="shared" ref="AC53:AC58" si="470">IF(M53="","",SQRT(Z53^2+AA53^2+AB53^2))</f>
        <v>1</v>
      </c>
      <c r="AD53" s="580">
        <f t="shared" ref="AD53:AD58" si="471">IF(M53="","",Z53*(1/SQRT(Z53^2+AA53^2+AB53^2)))</f>
        <v>-0.64337101194123913</v>
      </c>
      <c r="AE53" s="572">
        <f t="shared" ref="AE53:AE58" si="472">IF(M53="","",AA53*(1/SQRT(Z53^2+AA53^2+AB53^2)))</f>
        <v>0.75579200414691927</v>
      </c>
      <c r="AF53" s="576">
        <f t="shared" ref="AF53:AF58" si="473">IF(M53="","",AB53*(1/SQRT(Z53^2+AA53^2+AB53^2)))</f>
        <v>-0.12186955100142645</v>
      </c>
      <c r="AG53" s="545">
        <f t="shared" ref="AG53:AG58" si="474">IF(M53="","",DEGREES(ATAN2(-AF53,AE53)))</f>
        <v>80.840045805340097</v>
      </c>
      <c r="AH53" s="546">
        <f t="shared" ref="AH53:AH58" si="475">IF(M53="","",DEGREES(ACOS(AD53)))</f>
        <v>130.04364913516636</v>
      </c>
      <c r="AI53" s="528">
        <f t="shared" ref="AI53:AI58" si="476">IF(M53="","",DEGREES(-ACOS(-AF53)))</f>
        <v>-82.999988016284419</v>
      </c>
      <c r="AJ53" s="529">
        <f t="shared" ref="AJ53:AJ58" si="477">IF(M53="","",DEGREES(ATAN2(-AE53,AD53)))</f>
        <v>-139.59377524860676</v>
      </c>
      <c r="AK53" s="578">
        <f t="shared" ref="AK53:AK58" si="478">IF(M53="","",(COS(RADIANS((90-$Q$8)-W53))*AD53)+(-SIN(RADIANS((90-$Q$8)-W53))*AE53))</f>
        <v>-6.6613381477509392E-16</v>
      </c>
      <c r="AL53" s="572">
        <f t="shared" ref="AL53:AL58" si="479">IF(M53="","",(SIN(RADIANS((90-$Q$8)-W53))*AD53)+(COS(RADIANS((90-$Q$8)-W53))*AE53))</f>
        <v>-0.99254612615168214</v>
      </c>
      <c r="AM53" s="577">
        <f t="shared" ref="AM53:AM58" si="480">IF(M53="","",AF53)</f>
        <v>-0.12186955100142645</v>
      </c>
      <c r="AN53" s="524">
        <f t="shared" ref="AN53:AN58" si="481">IF(M53="","",DEGREES(ATAN2(-AM53,AL53)))</f>
        <v>-82.999988016284419</v>
      </c>
      <c r="AO53" s="525">
        <f t="shared" si="116"/>
        <v>0</v>
      </c>
      <c r="AP53" s="528">
        <f t="shared" ref="AP53:AP58" si="482">IF(M53="","",DEGREES(ATAN2(AK53,AL53)))</f>
        <v>-90.000000000000043</v>
      </c>
      <c r="AQ53" s="529">
        <f t="shared" si="274"/>
        <v>0.9130117271458873</v>
      </c>
      <c r="AS53" s="932">
        <f t="shared" si="461"/>
        <v>220.83911559726425</v>
      </c>
      <c r="AT53" s="928">
        <f t="shared" si="275"/>
        <v>-1.9305818403465027</v>
      </c>
      <c r="AU53" s="418"/>
      <c r="AV53" s="164" t="str">
        <f t="shared" si="276"/>
        <v/>
      </c>
      <c r="AW53" s="829" t="str">
        <f>IFERROR(INDEX(MassProp!C$9:C$150,MATCH($M53,MassProp!$B$9:$B$150,0)),"")</f>
        <v/>
      </c>
      <c r="AX53" s="830" t="str">
        <f>IFERROR(INDEX(MassProp!D$9:D$150,MATCH($M53,MassProp!$B$9:$B$150,0)),"")</f>
        <v/>
      </c>
      <c r="AY53" s="831" t="str">
        <f>IFERROR(INDEX(MassProp!E$9:E$150,MATCH($M53,MassProp!$B$9:$B$150,0)),"")</f>
        <v/>
      </c>
      <c r="AZ53" s="297" t="str">
        <f t="shared" si="277"/>
        <v/>
      </c>
      <c r="BA53" s="296" t="str">
        <f t="shared" si="278"/>
        <v/>
      </c>
      <c r="BB53" s="190" t="str">
        <f t="shared" si="145"/>
        <v/>
      </c>
      <c r="BC53" s="9"/>
      <c r="BD53" s="5" t="str">
        <f t="shared" si="279"/>
        <v/>
      </c>
      <c r="BE53" s="6" t="str">
        <f t="shared" si="280"/>
        <v/>
      </c>
      <c r="BF53" s="4" t="str">
        <f t="shared" si="281"/>
        <v/>
      </c>
      <c r="BG53" s="5" t="str">
        <f t="shared" si="282"/>
        <v/>
      </c>
      <c r="BH53" s="10" t="str">
        <f t="shared" si="283"/>
        <v/>
      </c>
      <c r="BI53" s="9" t="str">
        <f t="shared" si="284"/>
        <v/>
      </c>
      <c r="BJ53" s="5" t="str">
        <f t="shared" si="285"/>
        <v/>
      </c>
      <c r="BK53" s="8" t="str">
        <f t="shared" si="286"/>
        <v/>
      </c>
      <c r="BL53" s="173" t="str">
        <f t="shared" si="287"/>
        <v/>
      </c>
      <c r="BM53" s="5" t="str">
        <f t="shared" si="288"/>
        <v/>
      </c>
      <c r="BN53" s="6" t="str">
        <f t="shared" si="289"/>
        <v/>
      </c>
      <c r="BO53" s="4" t="str">
        <f t="shared" si="290"/>
        <v/>
      </c>
      <c r="BP53" s="5" t="str">
        <f t="shared" si="239"/>
        <v/>
      </c>
      <c r="BQ53" s="5" t="str">
        <f t="shared" si="291"/>
        <v/>
      </c>
      <c r="BR53" s="6" t="str">
        <f t="shared" si="292"/>
        <v/>
      </c>
      <c r="BS53" s="4" t="str">
        <f t="shared" si="458"/>
        <v/>
      </c>
      <c r="BT53" s="5" t="str">
        <f t="shared" si="458"/>
        <v/>
      </c>
      <c r="BU53" s="10" t="str">
        <f t="shared" si="119"/>
        <v/>
      </c>
      <c r="BV53" s="9" t="str">
        <f t="shared" si="120"/>
        <v/>
      </c>
      <c r="BW53" s="5" t="str">
        <f t="shared" si="121"/>
        <v/>
      </c>
      <c r="BX53" s="8" t="str">
        <f t="shared" si="122"/>
        <v/>
      </c>
      <c r="BY53" s="173" t="str">
        <f t="shared" si="123"/>
        <v/>
      </c>
      <c r="BZ53" s="5" t="str">
        <f t="shared" si="124"/>
        <v/>
      </c>
      <c r="CA53" s="6" t="str">
        <f t="shared" si="125"/>
        <v/>
      </c>
      <c r="CB53" s="4" t="str">
        <f t="shared" si="293"/>
        <v/>
      </c>
      <c r="CC53" s="5" t="str">
        <f t="shared" si="294"/>
        <v/>
      </c>
      <c r="CD53" s="5" t="str">
        <f t="shared" si="295"/>
        <v/>
      </c>
      <c r="CE53" s="6" t="str">
        <f t="shared" si="296"/>
        <v/>
      </c>
      <c r="CF53" s="4" t="str">
        <f t="shared" si="297"/>
        <v/>
      </c>
      <c r="CG53" s="5" t="str">
        <f t="shared" si="298"/>
        <v/>
      </c>
      <c r="CH53" s="5" t="str">
        <f t="shared" si="299"/>
        <v/>
      </c>
      <c r="CI53" s="4" t="str">
        <f t="shared" si="126"/>
        <v/>
      </c>
      <c r="CJ53" s="5" t="str">
        <f t="shared" si="300"/>
        <v/>
      </c>
      <c r="CK53" s="8" t="str">
        <f t="shared" si="301"/>
        <v/>
      </c>
      <c r="CL53" s="173" t="str">
        <f t="shared" si="302"/>
        <v/>
      </c>
      <c r="CM53" s="5" t="str">
        <f t="shared" si="303"/>
        <v/>
      </c>
      <c r="CN53" s="6" t="str">
        <f t="shared" si="304"/>
        <v/>
      </c>
      <c r="CO53" s="167" t="str">
        <f t="shared" si="305"/>
        <v/>
      </c>
      <c r="CP53" s="4" t="str">
        <f t="shared" si="306"/>
        <v/>
      </c>
      <c r="CQ53" s="5" t="str">
        <f t="shared" si="307"/>
        <v/>
      </c>
      <c r="CR53" s="5" t="str">
        <f t="shared" si="308"/>
        <v/>
      </c>
      <c r="CS53" s="8" t="str">
        <f t="shared" si="309"/>
        <v/>
      </c>
      <c r="CT53" s="9" t="str">
        <f t="shared" si="160"/>
        <v/>
      </c>
      <c r="CU53" s="6" t="str">
        <f t="shared" si="310"/>
        <v/>
      </c>
      <c r="CV53" s="4" t="str">
        <f t="shared" si="311"/>
        <v/>
      </c>
      <c r="CW53" s="5" t="str">
        <f t="shared" si="312"/>
        <v/>
      </c>
      <c r="CX53" s="8" t="str">
        <f t="shared" si="313"/>
        <v/>
      </c>
      <c r="CY53" s="9" t="str">
        <f t="shared" si="314"/>
        <v/>
      </c>
      <c r="CZ53" s="5" t="str">
        <f t="shared" si="315"/>
        <v/>
      </c>
      <c r="DA53" s="6" t="str">
        <f t="shared" si="316"/>
        <v/>
      </c>
      <c r="DB53" s="4" t="str">
        <f t="shared" si="462"/>
        <v/>
      </c>
      <c r="DC53" s="5" t="str">
        <f t="shared" si="462"/>
        <v/>
      </c>
      <c r="DD53" s="10" t="str">
        <f t="shared" si="168"/>
        <v/>
      </c>
      <c r="DE53" s="9" t="str">
        <f t="shared" si="463"/>
        <v/>
      </c>
      <c r="DF53" s="5" t="str">
        <f t="shared" si="463"/>
        <v/>
      </c>
      <c r="DG53" s="10" t="str">
        <f t="shared" si="170"/>
        <v/>
      </c>
      <c r="DH53" s="70" t="str">
        <f t="shared" si="317"/>
        <v/>
      </c>
      <c r="DI53" s="4" t="str">
        <f t="shared" si="318"/>
        <v/>
      </c>
      <c r="DJ53" s="5" t="str">
        <f t="shared" si="319"/>
        <v/>
      </c>
      <c r="DK53" s="10" t="str">
        <f t="shared" si="320"/>
        <v/>
      </c>
      <c r="DL53" s="9" t="str">
        <f t="shared" si="321"/>
        <v/>
      </c>
      <c r="DM53" s="173" t="str">
        <f t="shared" si="322"/>
        <v/>
      </c>
      <c r="DN53" s="178" t="str">
        <f t="shared" si="323"/>
        <v/>
      </c>
      <c r="DO53" s="9" t="str">
        <f t="shared" si="324"/>
        <v/>
      </c>
      <c r="DP53" s="173" t="str">
        <f t="shared" si="325"/>
        <v/>
      </c>
      <c r="DQ53" s="11" t="str">
        <f t="shared" si="326"/>
        <v/>
      </c>
      <c r="DR53" s="173" t="str">
        <f t="shared" si="327"/>
        <v/>
      </c>
      <c r="DS53" s="5" t="str">
        <f t="shared" si="328"/>
        <v/>
      </c>
      <c r="DT53" s="5" t="str">
        <f t="shared" si="329"/>
        <v/>
      </c>
      <c r="DU53" s="5" t="str">
        <f t="shared" si="330"/>
        <v/>
      </c>
      <c r="DV53" s="5" t="str">
        <f t="shared" si="331"/>
        <v/>
      </c>
      <c r="DW53" s="5" t="str">
        <f t="shared" si="332"/>
        <v/>
      </c>
      <c r="DX53" s="167" t="str">
        <f t="shared" si="333"/>
        <v/>
      </c>
      <c r="DY53" s="9" t="str">
        <f t="shared" si="334"/>
        <v/>
      </c>
      <c r="DZ53" s="5" t="str">
        <f t="shared" si="335"/>
        <v/>
      </c>
      <c r="EA53" s="10" t="str">
        <f t="shared" si="336"/>
        <v/>
      </c>
      <c r="EB53" s="6" t="str">
        <f t="shared" si="337"/>
        <v/>
      </c>
      <c r="EC53" s="173" t="str">
        <f t="shared" si="338"/>
        <v/>
      </c>
      <c r="ED53" s="5" t="str">
        <f t="shared" si="339"/>
        <v/>
      </c>
      <c r="EE53" s="4" t="str">
        <f t="shared" si="340"/>
        <v/>
      </c>
      <c r="EF53" s="5" t="str">
        <f t="shared" si="341"/>
        <v/>
      </c>
      <c r="EG53" s="10" t="str">
        <f t="shared" si="342"/>
        <v/>
      </c>
      <c r="EH53" s="9" t="str">
        <f t="shared" si="343"/>
        <v/>
      </c>
      <c r="EI53" s="5" t="str">
        <f t="shared" si="344"/>
        <v/>
      </c>
      <c r="EJ53" s="6" t="str">
        <f t="shared" si="345"/>
        <v/>
      </c>
      <c r="EK53" s="236" t="str">
        <f t="shared" si="200"/>
        <v/>
      </c>
      <c r="EL53" s="238" t="str">
        <f t="shared" si="201"/>
        <v/>
      </c>
      <c r="EM53" s="4" t="str">
        <f t="shared" si="346"/>
        <v/>
      </c>
      <c r="EN53" s="5" t="str">
        <f t="shared" si="347"/>
        <v/>
      </c>
      <c r="EO53" s="10" t="str">
        <f t="shared" si="348"/>
        <v/>
      </c>
      <c r="EP53" s="9" t="str">
        <f t="shared" si="349"/>
        <v/>
      </c>
      <c r="EQ53" s="5" t="str">
        <f t="shared" si="350"/>
        <v/>
      </c>
      <c r="ER53" s="7" t="str">
        <f t="shared" si="351"/>
        <v/>
      </c>
      <c r="ES53" s="21" t="str">
        <f t="shared" si="352"/>
        <v/>
      </c>
      <c r="ET53" s="5" t="str">
        <f t="shared" si="353"/>
        <v/>
      </c>
      <c r="EU53" s="10" t="str">
        <f t="shared" si="354"/>
        <v/>
      </c>
      <c r="EV53" s="174" t="str">
        <f t="shared" si="355"/>
        <v/>
      </c>
      <c r="EW53" s="9" t="str">
        <f t="shared" si="356"/>
        <v/>
      </c>
      <c r="EX53" s="5" t="str">
        <f t="shared" si="357"/>
        <v/>
      </c>
      <c r="EY53" s="6" t="str">
        <f t="shared" si="358"/>
        <v/>
      </c>
      <c r="EZ53" s="51" t="str">
        <f t="shared" si="209"/>
        <v/>
      </c>
      <c r="FA53" s="266" t="str">
        <f t="shared" si="134"/>
        <v/>
      </c>
      <c r="FB53" s="267" t="str">
        <f t="shared" si="135"/>
        <v/>
      </c>
      <c r="FC53" s="269" t="str">
        <f t="shared" si="48"/>
        <v/>
      </c>
      <c r="FD53" s="4" t="str">
        <f t="shared" si="359"/>
        <v/>
      </c>
      <c r="FE53" s="5" t="str">
        <f t="shared" si="360"/>
        <v/>
      </c>
      <c r="FF53" s="7" t="str">
        <f t="shared" si="361"/>
        <v/>
      </c>
      <c r="FG53" s="173" t="str">
        <f t="shared" si="362"/>
        <v/>
      </c>
      <c r="FH53" s="5" t="str">
        <f t="shared" si="363"/>
        <v/>
      </c>
      <c r="FI53" s="10" t="str">
        <f t="shared" si="364"/>
        <v/>
      </c>
      <c r="FJ53" s="279" t="str">
        <f t="shared" si="365"/>
        <v/>
      </c>
      <c r="FK53" s="4" t="str">
        <f t="shared" si="366"/>
        <v/>
      </c>
      <c r="FL53" s="5" t="str">
        <f t="shared" si="367"/>
        <v/>
      </c>
      <c r="FM53" s="8" t="str">
        <f t="shared" si="368"/>
        <v/>
      </c>
      <c r="FN53" s="9" t="str">
        <f t="shared" si="369"/>
        <v/>
      </c>
      <c r="FO53" s="10" t="str">
        <f t="shared" si="370"/>
        <v/>
      </c>
      <c r="FP53" s="277" t="str">
        <f t="shared" si="371"/>
        <v/>
      </c>
      <c r="FQ53" s="173" t="str">
        <f t="shared" si="372"/>
        <v/>
      </c>
      <c r="FR53" s="10" t="str">
        <f t="shared" si="373"/>
        <v/>
      </c>
      <c r="FS53" s="9" t="str">
        <f t="shared" si="374"/>
        <v/>
      </c>
      <c r="FT53" s="6" t="str">
        <f t="shared" si="375"/>
        <v/>
      </c>
      <c r="FU53" s="4" t="str">
        <f t="shared" si="376"/>
        <v/>
      </c>
      <c r="FV53" s="5" t="str">
        <f t="shared" si="377"/>
        <v/>
      </c>
      <c r="FW53" s="8" t="str">
        <f t="shared" si="378"/>
        <v/>
      </c>
      <c r="FX53" s="9" t="str">
        <f t="shared" si="379"/>
        <v/>
      </c>
      <c r="FY53" s="10" t="str">
        <f t="shared" si="380"/>
        <v/>
      </c>
      <c r="FZ53" s="277" t="str">
        <f t="shared" si="381"/>
        <v/>
      </c>
      <c r="GA53" s="177" t="str">
        <f t="shared" si="382"/>
        <v/>
      </c>
      <c r="GB53" s="4" t="str">
        <f t="shared" si="383"/>
        <v/>
      </c>
      <c r="GC53" s="5" t="str">
        <f t="shared" si="384"/>
        <v/>
      </c>
      <c r="GD53" s="10" t="str">
        <f t="shared" si="385"/>
        <v/>
      </c>
      <c r="GE53" s="311" t="str">
        <f t="shared" si="386"/>
        <v/>
      </c>
      <c r="GF53" s="341" t="str">
        <f t="shared" si="387"/>
        <v/>
      </c>
      <c r="GG53" s="285" t="str">
        <f t="shared" si="388"/>
        <v/>
      </c>
      <c r="GH53" s="286" t="str">
        <f t="shared" si="389"/>
        <v/>
      </c>
      <c r="GI53" s="281" t="str">
        <f t="shared" si="390"/>
        <v/>
      </c>
      <c r="GJ53" s="167" t="str">
        <f t="shared" si="391"/>
        <v/>
      </c>
      <c r="GK53" s="174" t="str">
        <f t="shared" si="59"/>
        <v/>
      </c>
      <c r="GL53" s="174" t="str">
        <f t="shared" si="392"/>
        <v/>
      </c>
      <c r="GM53" s="177" t="str">
        <f t="shared" si="393"/>
        <v/>
      </c>
      <c r="GN53" s="280" t="str">
        <f t="shared" si="394"/>
        <v/>
      </c>
      <c r="GO53" s="4" t="str">
        <f t="shared" si="395"/>
        <v/>
      </c>
      <c r="GP53" s="8" t="str">
        <f t="shared" si="396"/>
        <v/>
      </c>
      <c r="GQ53" s="177" t="str">
        <f t="shared" si="397"/>
        <v/>
      </c>
      <c r="GR53" s="371" t="str">
        <f t="shared" si="398"/>
        <v/>
      </c>
      <c r="GS53" s="342" t="str">
        <f t="shared" si="399"/>
        <v/>
      </c>
      <c r="GT53" s="343" t="str">
        <f t="shared" si="400"/>
        <v/>
      </c>
      <c r="GU53" s="344" t="str">
        <f t="shared" si="63"/>
        <v/>
      </c>
      <c r="GV53" s="343" t="str">
        <f t="shared" si="401"/>
        <v/>
      </c>
      <c r="GW53" s="345" t="str">
        <f t="shared" si="64"/>
        <v/>
      </c>
      <c r="GX53" s="346" t="str">
        <f t="shared" si="65"/>
        <v/>
      </c>
      <c r="GY53" s="344" t="str">
        <f t="shared" si="402"/>
        <v/>
      </c>
      <c r="GZ53" s="345" t="str">
        <f t="shared" si="403"/>
        <v/>
      </c>
      <c r="HA53" s="342" t="str">
        <f t="shared" si="68"/>
        <v/>
      </c>
      <c r="HB53" s="5" t="str">
        <f t="shared" si="231"/>
        <v/>
      </c>
      <c r="HC53" s="343" t="str">
        <f t="shared" si="404"/>
        <v/>
      </c>
      <c r="HD53" s="345" t="str">
        <f t="shared" si="405"/>
        <v/>
      </c>
      <c r="HE53" s="344" t="str">
        <f t="shared" si="69"/>
        <v/>
      </c>
      <c r="HF53" s="5" t="str">
        <f t="shared" si="70"/>
        <v/>
      </c>
      <c r="HG53" s="343" t="str">
        <f t="shared" si="406"/>
        <v/>
      </c>
      <c r="HH53" s="349" t="str">
        <f t="shared" si="407"/>
        <v/>
      </c>
      <c r="HI53" s="317" t="str">
        <f t="shared" si="408"/>
        <v/>
      </c>
      <c r="HJ53" s="336"/>
      <c r="HK53" s="310" t="str">
        <f t="shared" si="459"/>
        <v/>
      </c>
      <c r="HL53" s="348" t="str">
        <f t="shared" si="409"/>
        <v/>
      </c>
      <c r="HM53" s="909" t="str">
        <f t="shared" si="410"/>
        <v/>
      </c>
      <c r="HN53" s="910" t="str">
        <f t="shared" si="411"/>
        <v/>
      </c>
      <c r="HO53" s="911"/>
      <c r="HP53" s="912"/>
      <c r="HQ53" s="910" t="str">
        <f t="shared" si="412"/>
        <v/>
      </c>
      <c r="HR53" s="913" t="str">
        <f t="shared" si="413"/>
        <v/>
      </c>
      <c r="HS53" s="865" t="str">
        <f t="shared" si="460"/>
        <v/>
      </c>
      <c r="HT53" s="875" t="str">
        <f t="shared" si="414"/>
        <v/>
      </c>
      <c r="HU53" s="876" t="str">
        <f t="shared" si="415"/>
        <v/>
      </c>
      <c r="HV53" s="872" t="str">
        <f t="shared" si="416"/>
        <v/>
      </c>
      <c r="HW53" s="866" t="str">
        <f t="shared" si="417"/>
        <v/>
      </c>
      <c r="HX53" s="867" t="str">
        <f t="shared" si="418"/>
        <v/>
      </c>
      <c r="HY53" s="866" t="str">
        <f t="shared" si="419"/>
        <v/>
      </c>
      <c r="HZ53" s="868" t="str">
        <f t="shared" si="420"/>
        <v/>
      </c>
      <c r="IA53" s="869" t="str">
        <f t="shared" si="421"/>
        <v/>
      </c>
      <c r="IB53" s="870" t="str">
        <f t="shared" si="422"/>
        <v/>
      </c>
      <c r="IC53" s="841" t="str">
        <f t="shared" si="423"/>
        <v/>
      </c>
      <c r="ID53" s="351" t="str">
        <f t="shared" si="424"/>
        <v/>
      </c>
      <c r="IE53" s="843" t="str">
        <f t="shared" si="425"/>
        <v/>
      </c>
      <c r="IF53" s="844"/>
      <c r="IG53" s="790" t="str">
        <f>IFERROR(IF($IW53="","",IF($IW53&lt;(((Settings!$C$19/2)*-1)*$IG$8),"Taper","Nose")),"")</f>
        <v>Taper</v>
      </c>
      <c r="IH53" s="482" t="str">
        <f>IFERROR(IF((((($IY53*COS(RADIANS(180-$JA53)))*COS(RADIANS($JA53)))-(($IZ53*SIN(RADIANS(180-$JA53)))*SIN(RADIANS($JA53))))+$IW53)&lt;(((Settings!$C$19+$IH$8)/2)*-1),"Gage",""),"")</f>
        <v/>
      </c>
      <c r="II53" s="788">
        <f t="shared" si="236"/>
        <v>3.2389999999999999</v>
      </c>
      <c r="IJ53" s="674" cm="1">
        <f t="array" ref="IJ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>3.1389999999999998</v>
      </c>
      <c r="IK53" s="677" cm="1">
        <f t="array" ref="IK53">IFERROR(ROUND(VALUE(IF($IJ53&lt;1,$IJ53+LARGE((IF($M$9:$M$150="",0,$M$9:$M$150)-MOD(IF($M$9:$M$150="",0,$M$9:$M$150),1)),1),$IJ53)),4),"")</f>
        <v>3.1389999999999998</v>
      </c>
      <c r="IL53" s="482">
        <f t="shared" si="426"/>
        <v>1613</v>
      </c>
      <c r="IM53" s="482" t="str">
        <f t="shared" si="237"/>
        <v>CPS-32193r1</v>
      </c>
      <c r="IN53" s="670">
        <f t="shared" si="427"/>
        <v>12.273893328101565</v>
      </c>
      <c r="IO53" s="702">
        <v>4.8562627879211402E-2</v>
      </c>
      <c r="IP53" s="5">
        <f t="shared" si="428"/>
        <v>2.68</v>
      </c>
      <c r="IQ53" s="714">
        <v>1340</v>
      </c>
      <c r="IR53" s="9">
        <f t="shared" si="429"/>
        <v>-5.0256652349223865</v>
      </c>
      <c r="IS53" s="5">
        <f t="shared" si="430"/>
        <v>-2.0947863628714609</v>
      </c>
      <c r="IT53" s="5">
        <f t="shared" si="431"/>
        <v>0.3125</v>
      </c>
      <c r="IU53" s="5">
        <f t="shared" si="432"/>
        <v>0.27300547047076118</v>
      </c>
      <c r="IV53" s="670">
        <f t="shared" si="433"/>
        <v>81.885446807640747</v>
      </c>
      <c r="IW53" s="9">
        <f t="shared" si="434"/>
        <v>-4.9934378719711736</v>
      </c>
      <c r="IX53" s="5">
        <f t="shared" si="435"/>
        <v>-2.1201362656089726</v>
      </c>
      <c r="IY53" s="5">
        <f t="shared" si="436"/>
        <v>0.255</v>
      </c>
      <c r="IZ53" s="5">
        <f t="shared" si="437"/>
        <v>0.255</v>
      </c>
      <c r="JA53" s="705">
        <f t="shared" si="438"/>
        <v>82.999988016284419</v>
      </c>
    </row>
    <row r="54" spans="1:261" ht="15" customHeight="1" x14ac:dyDescent="0.25">
      <c r="A54" s="75">
        <f t="shared" si="256"/>
        <v>0</v>
      </c>
      <c r="B54" s="578">
        <f t="shared" si="257"/>
        <v>3.2543618295628098</v>
      </c>
      <c r="C54" s="572">
        <f t="shared" si="258"/>
        <v>-3.8233902215131925</v>
      </c>
      <c r="D54" s="576">
        <f t="shared" si="259"/>
        <v>-2.87274311561979</v>
      </c>
      <c r="E54" s="580">
        <f t="shared" si="260"/>
        <v>0.64816629823596772</v>
      </c>
      <c r="F54" s="572">
        <f t="shared" si="261"/>
        <v>-0.76149881801026531</v>
      </c>
      <c r="G54" s="579">
        <f t="shared" si="262"/>
        <v>2.2679489662669189E-7</v>
      </c>
      <c r="H54" s="580">
        <f t="shared" si="263"/>
        <v>0.255</v>
      </c>
      <c r="I54" s="572">
        <f t="shared" si="264"/>
        <v>0.41499999999999992</v>
      </c>
      <c r="J54" s="483">
        <f t="shared" si="265"/>
        <v>3.2450000000000001</v>
      </c>
      <c r="K54" s="806" t="str">
        <f t="shared" si="266"/>
        <v>CPS-32193r1</v>
      </c>
      <c r="L54" s="309"/>
      <c r="M54" s="164">
        <f t="shared" si="267"/>
        <v>3.2450000000000001</v>
      </c>
      <c r="N54" s="575">
        <f t="shared" si="268"/>
        <v>3.2543618295628098</v>
      </c>
      <c r="O54" s="572">
        <f t="shared" si="269"/>
        <v>-3.8233902215131925</v>
      </c>
      <c r="P54" s="576">
        <f t="shared" si="270"/>
        <v>-2.87274311561979</v>
      </c>
      <c r="Q54" s="528">
        <f t="shared" si="140"/>
        <v>310.40349086984213</v>
      </c>
      <c r="R54" s="572">
        <f t="shared" si="464"/>
        <v>5.0208747946625891</v>
      </c>
      <c r="S54" s="577">
        <f t="shared" si="465"/>
        <v>-2.87274311561979</v>
      </c>
      <c r="T54" s="578">
        <f t="shared" si="466"/>
        <v>-3.7986934199081297</v>
      </c>
      <c r="U54" s="572">
        <f t="shared" si="467"/>
        <v>-3.2831557997184317</v>
      </c>
      <c r="V54" s="579">
        <f t="shared" si="468"/>
        <v>-2.87274311561979</v>
      </c>
      <c r="W54" s="528">
        <f t="shared" si="253"/>
        <v>220.83638171571312</v>
      </c>
      <c r="X54" s="572">
        <f t="shared" si="469"/>
        <v>5.0208747946625891</v>
      </c>
      <c r="Y54" s="573">
        <f t="shared" si="255"/>
        <v>-2.87274311561979</v>
      </c>
      <c r="Z54" s="575">
        <f t="shared" si="271"/>
        <v>-0.64816629823596772</v>
      </c>
      <c r="AA54" s="572">
        <f t="shared" si="272"/>
        <v>0.76149881801026531</v>
      </c>
      <c r="AB54" s="572">
        <f t="shared" si="273"/>
        <v>-2.2679489662669189E-7</v>
      </c>
      <c r="AC54" s="579">
        <f t="shared" si="470"/>
        <v>1</v>
      </c>
      <c r="AD54" s="580">
        <f t="shared" si="471"/>
        <v>-0.64816629823596772</v>
      </c>
      <c r="AE54" s="572">
        <f t="shared" si="472"/>
        <v>0.76149881801026531</v>
      </c>
      <c r="AF54" s="576">
        <f t="shared" si="473"/>
        <v>-2.2679489662669189E-7</v>
      </c>
      <c r="AG54" s="545">
        <f t="shared" si="474"/>
        <v>89.999982935770774</v>
      </c>
      <c r="AH54" s="546">
        <f t="shared" si="475"/>
        <v>130.40349086984088</v>
      </c>
      <c r="AI54" s="528">
        <f t="shared" si="476"/>
        <v>-89.999987005609611</v>
      </c>
      <c r="AJ54" s="529">
        <f t="shared" si="477"/>
        <v>-139.59650913015784</v>
      </c>
      <c r="AK54" s="578">
        <f t="shared" si="478"/>
        <v>4.4408920985006262E-16</v>
      </c>
      <c r="AL54" s="572">
        <f t="shared" si="479"/>
        <v>-0.99999999999997424</v>
      </c>
      <c r="AM54" s="577">
        <f t="shared" si="480"/>
        <v>-2.2679489662669189E-7</v>
      </c>
      <c r="AN54" s="524">
        <f t="shared" si="481"/>
        <v>-89.999987005609611</v>
      </c>
      <c r="AO54" s="525">
        <f t="shared" si="116"/>
        <v>0</v>
      </c>
      <c r="AP54" s="528">
        <f t="shared" si="482"/>
        <v>-89.999999999999972</v>
      </c>
      <c r="AQ54" s="529">
        <f t="shared" si="274"/>
        <v>0.90802334812926278</v>
      </c>
      <c r="AS54" s="932">
        <f t="shared" si="461"/>
        <v>220.83638171571312</v>
      </c>
      <c r="AT54" s="928">
        <f t="shared" si="275"/>
        <v>-2.6831848932996101</v>
      </c>
      <c r="AU54" s="418"/>
      <c r="AV54" s="164" t="str">
        <f t="shared" si="276"/>
        <v/>
      </c>
      <c r="AW54" s="797" t="str">
        <f>IFERROR(INDEX(MassProp!C$9:C$150,MATCH($M54,MassProp!$B$9:$B$150,0)),"")</f>
        <v/>
      </c>
      <c r="AX54" s="744" t="str">
        <f>IFERROR(INDEX(MassProp!D$9:D$150,MATCH($M54,MassProp!$B$9:$B$150,0)),"")</f>
        <v/>
      </c>
      <c r="AY54" s="731" t="str">
        <f>IFERROR(INDEX(MassProp!E$9:E$150,MATCH($M54,MassProp!$B$9:$B$150,0)),"")</f>
        <v/>
      </c>
      <c r="AZ54" s="297" t="str">
        <f t="shared" si="144"/>
        <v/>
      </c>
      <c r="BA54" s="296" t="str">
        <f t="shared" si="278"/>
        <v/>
      </c>
      <c r="BB54" s="177" t="str">
        <f t="shared" si="145"/>
        <v/>
      </c>
      <c r="BC54" s="9"/>
      <c r="BD54" s="5" t="str">
        <f t="shared" si="146"/>
        <v/>
      </c>
      <c r="BE54" s="6" t="str">
        <f t="shared" si="280"/>
        <v/>
      </c>
      <c r="BF54" s="4" t="str">
        <f t="shared" si="281"/>
        <v/>
      </c>
      <c r="BG54" s="5" t="str">
        <f t="shared" si="282"/>
        <v/>
      </c>
      <c r="BH54" s="10" t="str">
        <f t="shared" si="283"/>
        <v/>
      </c>
      <c r="BI54" s="9" t="str">
        <f t="shared" si="147"/>
        <v/>
      </c>
      <c r="BJ54" s="5" t="str">
        <f t="shared" si="285"/>
        <v/>
      </c>
      <c r="BK54" s="8" t="str">
        <f t="shared" si="286"/>
        <v/>
      </c>
      <c r="BL54" s="173" t="str">
        <f t="shared" si="287"/>
        <v/>
      </c>
      <c r="BM54" s="5" t="str">
        <f t="shared" si="288"/>
        <v/>
      </c>
      <c r="BN54" s="6" t="str">
        <f t="shared" si="289"/>
        <v/>
      </c>
      <c r="BO54" s="4" t="str">
        <f t="shared" si="148"/>
        <v/>
      </c>
      <c r="BP54" s="5" t="str">
        <f t="shared" si="239"/>
        <v/>
      </c>
      <c r="BQ54" s="5" t="str">
        <f t="shared" si="149"/>
        <v/>
      </c>
      <c r="BR54" s="6" t="str">
        <f t="shared" si="150"/>
        <v/>
      </c>
      <c r="BS54" s="4" t="str">
        <f t="shared" ref="BS54:BT73" si="483">IF(ISNUMBER($AV54),0,"")</f>
        <v/>
      </c>
      <c r="BT54" s="5" t="str">
        <f t="shared" si="483"/>
        <v/>
      </c>
      <c r="BU54" s="10" t="str">
        <f t="shared" si="119"/>
        <v/>
      </c>
      <c r="BV54" s="9" t="str">
        <f t="shared" si="120"/>
        <v/>
      </c>
      <c r="BW54" s="5" t="str">
        <f t="shared" si="121"/>
        <v/>
      </c>
      <c r="BX54" s="8" t="str">
        <f t="shared" si="122"/>
        <v/>
      </c>
      <c r="BY54" s="173" t="str">
        <f t="shared" si="123"/>
        <v/>
      </c>
      <c r="BZ54" s="5" t="str">
        <f t="shared" si="124"/>
        <v/>
      </c>
      <c r="CA54" s="6" t="str">
        <f t="shared" si="125"/>
        <v/>
      </c>
      <c r="CB54" s="4" t="str">
        <f t="shared" si="151"/>
        <v/>
      </c>
      <c r="CC54" s="5" t="str">
        <f t="shared" si="152"/>
        <v/>
      </c>
      <c r="CD54" s="5" t="str">
        <f t="shared" si="153"/>
        <v/>
      </c>
      <c r="CE54" s="6" t="str">
        <f t="shared" si="154"/>
        <v/>
      </c>
      <c r="CF54" s="4" t="str">
        <f t="shared" si="155"/>
        <v/>
      </c>
      <c r="CG54" s="5" t="str">
        <f t="shared" si="156"/>
        <v/>
      </c>
      <c r="CH54" s="5" t="str">
        <f t="shared" si="157"/>
        <v/>
      </c>
      <c r="CI54" s="4" t="str">
        <f t="shared" si="126"/>
        <v/>
      </c>
      <c r="CJ54" s="5" t="str">
        <f t="shared" si="127"/>
        <v/>
      </c>
      <c r="CK54" s="8" t="str">
        <f t="shared" si="128"/>
        <v/>
      </c>
      <c r="CL54" s="173" t="str">
        <f t="shared" si="129"/>
        <v/>
      </c>
      <c r="CM54" s="5" t="str">
        <f t="shared" si="130"/>
        <v/>
      </c>
      <c r="CN54" s="6" t="str">
        <f t="shared" si="131"/>
        <v/>
      </c>
      <c r="CO54" s="167" t="str">
        <f t="shared" si="305"/>
        <v/>
      </c>
      <c r="CP54" s="4" t="str">
        <f t="shared" si="240"/>
        <v/>
      </c>
      <c r="CQ54" s="5" t="str">
        <f t="shared" si="241"/>
        <v/>
      </c>
      <c r="CR54" s="5" t="str">
        <f t="shared" si="158"/>
        <v/>
      </c>
      <c r="CS54" s="8" t="str">
        <f t="shared" si="159"/>
        <v/>
      </c>
      <c r="CT54" s="9" t="str">
        <f t="shared" si="160"/>
        <v/>
      </c>
      <c r="CU54" s="6" t="str">
        <f t="shared" si="161"/>
        <v/>
      </c>
      <c r="CV54" s="4" t="str">
        <f t="shared" si="242"/>
        <v/>
      </c>
      <c r="CW54" s="5" t="str">
        <f t="shared" si="162"/>
        <v/>
      </c>
      <c r="CX54" s="8" t="str">
        <f t="shared" si="163"/>
        <v/>
      </c>
      <c r="CY54" s="9" t="str">
        <f t="shared" si="164"/>
        <v/>
      </c>
      <c r="CZ54" s="5" t="str">
        <f t="shared" si="165"/>
        <v/>
      </c>
      <c r="DA54" s="6" t="str">
        <f t="shared" si="166"/>
        <v/>
      </c>
      <c r="DB54" s="4" t="str">
        <f t="shared" ref="DB54:DC74" si="484">IF(ISNUMBER($AV54),0,"")</f>
        <v/>
      </c>
      <c r="DC54" s="5" t="str">
        <f t="shared" si="484"/>
        <v/>
      </c>
      <c r="DD54" s="10" t="str">
        <f t="shared" si="168"/>
        <v/>
      </c>
      <c r="DE54" s="9" t="str">
        <f t="shared" ref="DE54:DF74" si="485">IF(ISNUMBER($AV54),0,"")</f>
        <v/>
      </c>
      <c r="DF54" s="5" t="str">
        <f t="shared" si="485"/>
        <v/>
      </c>
      <c r="DG54" s="10" t="str">
        <f t="shared" si="170"/>
        <v/>
      </c>
      <c r="DH54" s="70" t="str">
        <f t="shared" si="171"/>
        <v/>
      </c>
      <c r="DI54" s="4" t="str">
        <f t="shared" si="172"/>
        <v/>
      </c>
      <c r="DJ54" s="5" t="str">
        <f t="shared" si="173"/>
        <v/>
      </c>
      <c r="DK54" s="10" t="str">
        <f t="shared" si="174"/>
        <v/>
      </c>
      <c r="DL54" s="9" t="str">
        <f t="shared" si="175"/>
        <v/>
      </c>
      <c r="DM54" s="173" t="str">
        <f t="shared" si="176"/>
        <v/>
      </c>
      <c r="DN54" s="178" t="str">
        <f t="shared" si="177"/>
        <v/>
      </c>
      <c r="DO54" s="9" t="str">
        <f t="shared" si="178"/>
        <v/>
      </c>
      <c r="DP54" s="173" t="str">
        <f t="shared" si="179"/>
        <v/>
      </c>
      <c r="DQ54" s="11" t="str">
        <f t="shared" si="180"/>
        <v/>
      </c>
      <c r="DR54" s="173" t="str">
        <f t="shared" si="181"/>
        <v/>
      </c>
      <c r="DS54" s="5" t="str">
        <f t="shared" si="182"/>
        <v/>
      </c>
      <c r="DT54" s="5" t="str">
        <f t="shared" si="183"/>
        <v/>
      </c>
      <c r="DU54" s="5" t="str">
        <f t="shared" si="184"/>
        <v/>
      </c>
      <c r="DV54" s="5" t="str">
        <f t="shared" si="185"/>
        <v/>
      </c>
      <c r="DW54" s="5" t="str">
        <f t="shared" si="186"/>
        <v/>
      </c>
      <c r="DX54" s="167" t="str">
        <f t="shared" si="187"/>
        <v/>
      </c>
      <c r="DY54" s="9" t="str">
        <f t="shared" si="188"/>
        <v/>
      </c>
      <c r="DZ54" s="5" t="str">
        <f t="shared" si="189"/>
        <v/>
      </c>
      <c r="EA54" s="10" t="str">
        <f t="shared" si="190"/>
        <v/>
      </c>
      <c r="EB54" s="6" t="str">
        <f t="shared" si="191"/>
        <v/>
      </c>
      <c r="EC54" s="173" t="str">
        <f t="shared" si="192"/>
        <v/>
      </c>
      <c r="ED54" s="5" t="str">
        <f t="shared" si="193"/>
        <v/>
      </c>
      <c r="EE54" s="4" t="str">
        <f t="shared" si="194"/>
        <v/>
      </c>
      <c r="EF54" s="5" t="str">
        <f t="shared" si="195"/>
        <v/>
      </c>
      <c r="EG54" s="10" t="str">
        <f t="shared" si="196"/>
        <v/>
      </c>
      <c r="EH54" s="9" t="str">
        <f t="shared" si="197"/>
        <v/>
      </c>
      <c r="EI54" s="5" t="str">
        <f t="shared" si="198"/>
        <v/>
      </c>
      <c r="EJ54" s="6" t="str">
        <f t="shared" si="199"/>
        <v/>
      </c>
      <c r="EK54" s="236" t="str">
        <f t="shared" si="200"/>
        <v/>
      </c>
      <c r="EL54" s="238" t="str">
        <f t="shared" si="201"/>
        <v/>
      </c>
      <c r="EM54" s="4" t="str">
        <f t="shared" si="202"/>
        <v/>
      </c>
      <c r="EN54" s="5" t="str">
        <f t="shared" si="203"/>
        <v/>
      </c>
      <c r="EO54" s="10" t="str">
        <f t="shared" si="204"/>
        <v/>
      </c>
      <c r="EP54" s="9" t="str">
        <f t="shared" si="205"/>
        <v/>
      </c>
      <c r="EQ54" s="5" t="str">
        <f t="shared" si="206"/>
        <v/>
      </c>
      <c r="ER54" s="7" t="str">
        <f t="shared" si="207"/>
        <v/>
      </c>
      <c r="ES54" s="21" t="str">
        <f t="shared" si="352"/>
        <v/>
      </c>
      <c r="ET54" s="5" t="str">
        <f t="shared" si="353"/>
        <v/>
      </c>
      <c r="EU54" s="10" t="str">
        <f t="shared" si="354"/>
        <v/>
      </c>
      <c r="EV54" s="174" t="str">
        <f t="shared" ref="EV54:EV72" si="486">IF(ISNUMBER($AV54),IF(($EV$1-EP54)&lt;0,(360+($EV$1-EP54)),($EV$1-EP54)),"")</f>
        <v/>
      </c>
      <c r="EW54" s="9" t="str">
        <f t="shared" ref="EW54:EW72" si="487">IF(ISNUMBER($AV54),(COS(RADIANS($EV54))*ES54)+(-SIN(RADIANS($EV54))*ET54),"")</f>
        <v/>
      </c>
      <c r="EX54" s="5" t="str">
        <f t="shared" ref="EX54:EX72" si="488">IF(ISNUMBER($AV54),(SIN(RADIANS($EV54))*ES54)+(COS(RADIANS($EV54))*ET54),"")</f>
        <v/>
      </c>
      <c r="EY54" s="6" t="str">
        <f t="shared" si="208"/>
        <v/>
      </c>
      <c r="EZ54" s="51" t="str">
        <f t="shared" si="209"/>
        <v/>
      </c>
      <c r="FA54" s="173" t="str">
        <f t="shared" ref="FA54:FA72" si="489">IF(ISNUMBER($AV54),SIN(RADIANS($EP54))*COS(RADIANS($EZ54)),"")</f>
        <v/>
      </c>
      <c r="FB54" s="5" t="str">
        <f t="shared" ref="FB54:FB72" si="490">IF(ISNUMBER($AV54),-1*COS(RADIANS($EP54))*COS(RADIANS($EZ54)),"")</f>
        <v/>
      </c>
      <c r="FC54" s="6" t="str">
        <f t="shared" ref="FC54:FC72" si="491">IF(ISNUMBER($AV54),-1*SIN(RADIANS($EZ54)),"")</f>
        <v/>
      </c>
      <c r="FD54" s="4" t="str">
        <f t="shared" ref="FD54:FD72" si="492">IF(ISNUMBER($AV54),(COS(RADIANS($EV54))*FA54)+(-SIN(RADIANS($EV54))*FB54),"")</f>
        <v/>
      </c>
      <c r="FE54" s="5" t="str">
        <f t="shared" ref="FE54:FE72" si="493">IF(ISNUMBER($AV54),(SIN(RADIANS($EV54))*FA54)+(COS(RADIANS($EV54))*FB54),"")</f>
        <v/>
      </c>
      <c r="FF54" s="7" t="str">
        <f t="shared" si="210"/>
        <v/>
      </c>
      <c r="FG54" s="173" t="str">
        <f t="shared" ref="FG54:FG72" si="494">IF(ISNUMBER($AV54),EW54-FD54,"")</f>
        <v/>
      </c>
      <c r="FH54" s="5" t="str">
        <f t="shared" ref="FH54:FH72" si="495">IF(ISNUMBER($AV54),EX54-FE54,"")</f>
        <v/>
      </c>
      <c r="FI54" s="10" t="str">
        <f t="shared" ref="FI54:FI72" si="496">IF(ISNUMBER($AV54),EY54-FF54,"")</f>
        <v/>
      </c>
      <c r="FJ54" s="279" t="str">
        <f t="shared" si="212"/>
        <v/>
      </c>
      <c r="FK54" s="4" t="str">
        <f t="shared" ref="FK54:FK72" si="497">IF(ISNUMBER($AV54),SQRT(ES54^2+ET54^2),"")</f>
        <v/>
      </c>
      <c r="FL54" s="5" t="str">
        <f t="shared" si="213"/>
        <v/>
      </c>
      <c r="FM54" s="8" t="str">
        <f t="shared" si="214"/>
        <v/>
      </c>
      <c r="FN54" s="9" t="str">
        <f t="shared" si="215"/>
        <v/>
      </c>
      <c r="FO54" s="10" t="str">
        <f t="shared" ref="FO54:FO72" si="498">IF(ISNUMBER($AV54),IF(SQRT((EM54+(ES54/SQRT(ES54^2+(ET54/SQRT(ES54^2+ET54^2))^2)))^2+(EN54+ET54)^2)&gt;SQRT((EM54+(FA54/SQRT(FA54^2+FB54^2)))^2+(EN54+(FB54/SQRT(FA54^2+FB54^2)))^2),-1,1),"")</f>
        <v/>
      </c>
      <c r="FP54" s="277" t="str">
        <f t="shared" ref="FP54:FP72" si="499">IF(ISNUMBER($AV54),FN54*FO54,"")</f>
        <v/>
      </c>
      <c r="FQ54" s="173" t="str">
        <f t="shared" si="243"/>
        <v/>
      </c>
      <c r="FR54" s="10" t="str">
        <f t="shared" si="216"/>
        <v/>
      </c>
      <c r="FS54" s="9" t="str">
        <f t="shared" si="217"/>
        <v/>
      </c>
      <c r="FT54" s="6" t="str">
        <f t="shared" si="218"/>
        <v/>
      </c>
      <c r="FU54" s="4" t="str">
        <f t="shared" si="219"/>
        <v/>
      </c>
      <c r="FV54" s="5" t="str">
        <f t="shared" si="220"/>
        <v/>
      </c>
      <c r="FW54" s="8" t="str">
        <f t="shared" si="244"/>
        <v/>
      </c>
      <c r="FX54" s="9" t="str">
        <f t="shared" si="245"/>
        <v/>
      </c>
      <c r="FY54" s="10" t="str">
        <f t="shared" ref="FY54:FY72" si="500">IF(ISNUMBER($AV54),IF(EU54&lt;FC54,1,-1),"")</f>
        <v/>
      </c>
      <c r="FZ54" s="277" t="str">
        <f t="shared" si="246"/>
        <v/>
      </c>
      <c r="GA54" s="177" t="str">
        <f t="shared" si="221"/>
        <v/>
      </c>
      <c r="GB54" s="4" t="str">
        <f t="shared" si="222"/>
        <v/>
      </c>
      <c r="GC54" s="5" t="str">
        <f t="shared" si="223"/>
        <v/>
      </c>
      <c r="GD54" s="10" t="str">
        <f t="shared" si="224"/>
        <v/>
      </c>
      <c r="GE54" s="311" t="str">
        <f t="shared" si="225"/>
        <v/>
      </c>
      <c r="GF54" s="341" t="str">
        <f t="shared" si="247"/>
        <v/>
      </c>
      <c r="GG54" s="285" t="str">
        <f t="shared" ref="GG54:GG72" si="501">IF(ISNUMBER($AV54),ABS(GB54)/(ABS($GB54)+ABS($GC54)+ABS($GD54)),"")</f>
        <v/>
      </c>
      <c r="GH54" s="286" t="str">
        <f t="shared" ref="GH54:GH72" si="502">IF(ISNUMBER($AV54),ABS(GC54)/(ABS($GB54)+ABS($GC54)+ABS($GD54)),"")</f>
        <v/>
      </c>
      <c r="GI54" s="281" t="str">
        <f t="shared" ref="GI54:GI72" si="503">IF(ISNUMBER($AV54),ABS(GD54)/(ABS($GB54)+ABS($GC54)+ABS($GD54)),"")</f>
        <v/>
      </c>
      <c r="GJ54" s="167" t="str">
        <f t="shared" si="226"/>
        <v/>
      </c>
      <c r="GK54" s="174" t="str">
        <f t="shared" ref="GK54:GK72" si="504">IF(ISNUMBER($AV54),SQRT((2*PI()*$GJ54)^2+$AS$5^2)/12,"")</f>
        <v/>
      </c>
      <c r="GL54" s="174" t="str">
        <f t="shared" si="227"/>
        <v/>
      </c>
      <c r="GM54" s="177" t="str">
        <f t="shared" si="248"/>
        <v/>
      </c>
      <c r="GN54" s="280" t="str">
        <f t="shared" si="228"/>
        <v/>
      </c>
      <c r="GO54" s="4" t="str">
        <f t="shared" si="229"/>
        <v/>
      </c>
      <c r="GP54" s="8" t="str">
        <f t="shared" si="249"/>
        <v/>
      </c>
      <c r="GQ54" s="177" t="str">
        <f t="shared" si="230"/>
        <v/>
      </c>
      <c r="GR54" s="371" t="str">
        <f t="shared" si="250"/>
        <v/>
      </c>
      <c r="GS54" s="342" t="str">
        <f t="shared" ref="GS54:GS72" si="505">IF(ISNUMBER($AV54),GU54/GH54*GG54,"")</f>
        <v/>
      </c>
      <c r="GT54" s="343" t="str">
        <f t="shared" ref="GT54:GT72" si="506">IF(ISNUMBER($AV54),GS54/$GK54,"")</f>
        <v/>
      </c>
      <c r="GU54" s="344" t="str">
        <f t="shared" ref="GU54:GU72" si="507">IF(ISNUMBER($AV54),$GV54*$GK54,"")</f>
        <v/>
      </c>
      <c r="GV54" s="343" t="str">
        <f t="shared" si="252"/>
        <v/>
      </c>
      <c r="GW54" s="345" t="str">
        <f t="shared" ref="GW54:GW72" si="508">IF(ISNUMBER($AV54),$GW$2,"")</f>
        <v/>
      </c>
      <c r="GX54" s="346" t="str">
        <f t="shared" ref="GX54:GX72" si="509">IF(ISNUMBER($AV54),($GJ54/12)*$GV54,"")</f>
        <v/>
      </c>
      <c r="GY54" s="344" t="str">
        <f t="shared" ref="GY54:GY72" si="510">IF(ISNUMBER($AV54),GU54/GH54*GI54,"")</f>
        <v/>
      </c>
      <c r="GZ54" s="345" t="str">
        <f t="shared" ref="GZ54:GZ72" si="511">IF(ISNUMBER($AV54),GY54/$GK54,"")</f>
        <v/>
      </c>
      <c r="HA54" s="342" t="str">
        <f t="shared" ref="HA54:HA72" si="512">IF(ISNUMBER($AV54),$FO54*$GS54,"")</f>
        <v/>
      </c>
      <c r="HB54" s="5" t="str">
        <f t="shared" si="231"/>
        <v/>
      </c>
      <c r="HC54" s="343" t="str">
        <f t="shared" si="232"/>
        <v/>
      </c>
      <c r="HD54" s="363" t="str">
        <f t="shared" si="233"/>
        <v/>
      </c>
      <c r="HE54" s="344" t="str">
        <f t="shared" ref="HE54:HE72" si="513">IF(ISNUMBER($AV54),$FY54*$GV54,"")</f>
        <v/>
      </c>
      <c r="HF54" s="5" t="str">
        <f t="shared" ref="HF54:HF72" si="514">IF(ISNUMBER($AV54),IF(($HB54+90)&lt;0,(360+($HB54+90)),($HB54+90)),"")</f>
        <v/>
      </c>
      <c r="HG54" s="343" t="str">
        <f t="shared" si="234"/>
        <v/>
      </c>
      <c r="HH54" s="349" t="str">
        <f t="shared" si="235"/>
        <v/>
      </c>
      <c r="HI54" s="317" t="str">
        <f t="shared" si="408"/>
        <v/>
      </c>
      <c r="HK54" s="310" t="str">
        <f t="shared" si="459"/>
        <v/>
      </c>
      <c r="HL54" s="348" t="str">
        <f t="shared" si="409"/>
        <v/>
      </c>
      <c r="HM54" s="909" t="str">
        <f t="shared" si="410"/>
        <v/>
      </c>
      <c r="HN54" s="910" t="str">
        <f t="shared" si="411"/>
        <v/>
      </c>
      <c r="HO54" s="911"/>
      <c r="HP54" s="912"/>
      <c r="HQ54" s="910" t="str">
        <f t="shared" si="412"/>
        <v/>
      </c>
      <c r="HR54" s="913" t="str">
        <f t="shared" si="413"/>
        <v/>
      </c>
      <c r="HS54" s="865" t="str">
        <f t="shared" si="460"/>
        <v/>
      </c>
      <c r="HT54" s="875" t="str">
        <f t="shared" si="414"/>
        <v/>
      </c>
      <c r="HU54" s="876" t="str">
        <f t="shared" si="415"/>
        <v/>
      </c>
      <c r="HV54" s="872" t="str">
        <f t="shared" si="416"/>
        <v/>
      </c>
      <c r="HW54" s="866" t="str">
        <f t="shared" si="417"/>
        <v/>
      </c>
      <c r="HX54" s="867" t="str">
        <f t="shared" si="418"/>
        <v/>
      </c>
      <c r="HY54" s="866" t="str">
        <f t="shared" si="419"/>
        <v/>
      </c>
      <c r="HZ54" s="868" t="str">
        <f t="shared" si="420"/>
        <v/>
      </c>
      <c r="IA54" s="869" t="str">
        <f t="shared" si="421"/>
        <v/>
      </c>
      <c r="IB54" s="870" t="str">
        <f t="shared" si="422"/>
        <v/>
      </c>
      <c r="IC54" s="841" t="str">
        <f t="shared" si="423"/>
        <v/>
      </c>
      <c r="ID54" s="351" t="str">
        <f t="shared" si="424"/>
        <v/>
      </c>
      <c r="IE54" s="843" t="str">
        <f t="shared" si="425"/>
        <v/>
      </c>
      <c r="IF54" s="844"/>
      <c r="IG54" s="790" t="str">
        <f>IFERROR(IF($IW54="","",IF($IW54&lt;(((Settings!$C$19/2)*-1)*$IG$8),"Taper","Nose")),"")</f>
        <v>Taper</v>
      </c>
      <c r="IH54" s="482" t="str">
        <f>IFERROR(IF((((($IY54*COS(RADIANS(180-$JA54)))*COS(RADIANS($JA54)))-(($IZ54*SIN(RADIANS(180-$JA54)))*SIN(RADIANS($JA54))))+$IW54)&lt;(((Settings!$C$19+$IH$8)/2)*-1),"Gage",""),"")</f>
        <v/>
      </c>
      <c r="II54" s="788">
        <f t="shared" si="236"/>
        <v>3.2450000000000001</v>
      </c>
      <c r="IJ54" s="674" cm="1">
        <f t="array" ref="IJ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3.145</v>
      </c>
      <c r="IK54" s="677" cm="1">
        <f t="array" ref="IK54">IFERROR(ROUND(VALUE(IF($IJ54&lt;1,$IJ54+LARGE((IF($M$9:$M$150="",0,$M$9:$M$150)-MOD(IF($M$9:$M$150="",0,$M$9:$M$150),1)),1),$IJ54)),4),"")</f>
        <v>3.145</v>
      </c>
      <c r="IL54" s="482">
        <f t="shared" si="426"/>
        <v>1613</v>
      </c>
      <c r="IM54" s="482" t="str">
        <f t="shared" si="237"/>
        <v>CPS-32193r1</v>
      </c>
      <c r="IN54" s="670">
        <f t="shared" si="427"/>
        <v>12.202087403953385</v>
      </c>
      <c r="IO54" s="702">
        <v>4.8104159123766699E-2</v>
      </c>
      <c r="IP54" s="5">
        <f t="shared" si="428"/>
        <v>2.78</v>
      </c>
      <c r="IQ54" s="714">
        <v>1390</v>
      </c>
      <c r="IR54" s="9">
        <f t="shared" si="429"/>
        <v>-5.0550887932628417</v>
      </c>
      <c r="IS54" s="5">
        <f t="shared" si="430"/>
        <v>-2.8490882343532911</v>
      </c>
      <c r="IT54" s="5">
        <f t="shared" si="431"/>
        <v>0.3125</v>
      </c>
      <c r="IU54" s="5">
        <f t="shared" si="432"/>
        <v>0.27121678779184555</v>
      </c>
      <c r="IV54" s="670">
        <f t="shared" si="433"/>
        <v>84.97011741683842</v>
      </c>
      <c r="IW54" s="9">
        <f t="shared" si="434"/>
        <v>-5.0208747946625891</v>
      </c>
      <c r="IX54" s="5">
        <f t="shared" si="435"/>
        <v>-2.87274311561979</v>
      </c>
      <c r="IY54" s="5">
        <f t="shared" si="436"/>
        <v>0.255</v>
      </c>
      <c r="IZ54" s="5">
        <f t="shared" si="437"/>
        <v>0.255</v>
      </c>
      <c r="JA54" s="705">
        <f t="shared" si="438"/>
        <v>89.999987005609611</v>
      </c>
    </row>
    <row r="55" spans="1:261" ht="15" customHeight="1" x14ac:dyDescent="0.25">
      <c r="A55" s="75">
        <f t="shared" si="256"/>
        <v>0.02</v>
      </c>
      <c r="B55" s="578">
        <f t="shared" ref="B55:B118" si="515">IFERROR(Q210+($A55*-E55),"")</f>
        <v>-4.848270292686319</v>
      </c>
      <c r="C55" s="572">
        <f t="shared" ref="C55:C118" si="516">IFERROR(R210+($A55*-F55),"")</f>
        <v>-1.6531881601305682</v>
      </c>
      <c r="D55" s="576">
        <f t="shared" ref="D55:D118" si="517">IFERROR(S210+($A55*-G55),"")</f>
        <v>-9.4977962776039639</v>
      </c>
      <c r="E55" s="580">
        <f t="shared" ref="E55:E118" si="518">T210</f>
        <v>-0.34913478283133281</v>
      </c>
      <c r="F55" s="572">
        <f t="shared" ref="F55:F118" si="519">U210</f>
        <v>-0.93040107687091467</v>
      </c>
      <c r="G55" s="579">
        <f t="shared" ref="G55:G118" si="520">V210</f>
        <v>-0.11161872412261586</v>
      </c>
      <c r="H55" s="580">
        <f t="shared" ref="H55:H118" si="521">W210</f>
        <v>0.26450000000000001</v>
      </c>
      <c r="I55" s="572">
        <f t="shared" ref="I55:I118" si="522">X210</f>
        <v>0.52</v>
      </c>
      <c r="J55" s="483">
        <f t="shared" ref="J55:J118" si="523">IF(Y210=0,"",Y210)</f>
        <v>3.2509999999999999</v>
      </c>
      <c r="K55" s="806">
        <f t="shared" ref="K55:K118" si="524">Z210</f>
        <v>1313</v>
      </c>
      <c r="L55" s="309"/>
      <c r="M55" s="164">
        <f t="shared" si="267"/>
        <v>3.2509999999999999</v>
      </c>
      <c r="N55" s="575">
        <f t="shared" si="268"/>
        <v>-4.848270292686319</v>
      </c>
      <c r="O55" s="572">
        <f t="shared" si="269"/>
        <v>-1.6531881601305682</v>
      </c>
      <c r="P55" s="576">
        <f t="shared" si="270"/>
        <v>-9.4977962776039639</v>
      </c>
      <c r="Q55" s="528">
        <f t="shared" si="140"/>
        <v>198.82861392208528</v>
      </c>
      <c r="R55" s="572">
        <f t="shared" si="464"/>
        <v>5.1223779559634783</v>
      </c>
      <c r="S55" s="577">
        <f t="shared" si="465"/>
        <v>-9.4977962776039639</v>
      </c>
      <c r="T55" s="578">
        <f t="shared" si="466"/>
        <v>-1.6897711055169093</v>
      </c>
      <c r="U55" s="572">
        <f t="shared" si="467"/>
        <v>4.8356415845987533</v>
      </c>
      <c r="V55" s="579">
        <f t="shared" si="468"/>
        <v>-9.4977962776039639</v>
      </c>
      <c r="W55" s="528">
        <f t="shared" si="253"/>
        <v>109.26150476795627</v>
      </c>
      <c r="X55" s="572">
        <f t="shared" si="469"/>
        <v>5.1223779559634783</v>
      </c>
      <c r="Y55" s="573">
        <f t="shared" si="255"/>
        <v>-9.4977962776039639</v>
      </c>
      <c r="Z55" s="575">
        <f t="shared" si="271"/>
        <v>0.34913478283133281</v>
      </c>
      <c r="AA55" s="572">
        <f t="shared" si="272"/>
        <v>0.93040107687091467</v>
      </c>
      <c r="AB55" s="572">
        <f t="shared" si="273"/>
        <v>0.11161872412261586</v>
      </c>
      <c r="AC55" s="579">
        <f t="shared" si="470"/>
        <v>1</v>
      </c>
      <c r="AD55" s="580">
        <f t="shared" si="471"/>
        <v>0.34913478283133281</v>
      </c>
      <c r="AE55" s="572">
        <f t="shared" si="472"/>
        <v>0.93040107687091467</v>
      </c>
      <c r="AF55" s="576">
        <f t="shared" si="473"/>
        <v>0.11161872412261586</v>
      </c>
      <c r="AG55" s="545">
        <f t="shared" si="474"/>
        <v>96.840988292285772</v>
      </c>
      <c r="AH55" s="546">
        <f t="shared" si="475"/>
        <v>69.565596296127396</v>
      </c>
      <c r="AI55" s="528">
        <f t="shared" si="476"/>
        <v>-96.408636339561298</v>
      </c>
      <c r="AJ55" s="529">
        <f t="shared" si="477"/>
        <v>159.43130181637963</v>
      </c>
      <c r="AK55" s="578">
        <f t="shared" si="478"/>
        <v>0.76793443315336374</v>
      </c>
      <c r="AL55" s="572">
        <f t="shared" si="479"/>
        <v>-0.63072812431558911</v>
      </c>
      <c r="AM55" s="577">
        <f t="shared" si="480"/>
        <v>0.11161872412261586</v>
      </c>
      <c r="AN55" s="524">
        <f t="shared" si="481"/>
        <v>-100.03561890671625</v>
      </c>
      <c r="AO55" s="525">
        <f>IF(ROUND(IF(M55="",0,DEGREES(ACOS(AK55))),4)=90,0,IF(M55="","",DEGREES(ACOS(AK55))))</f>
        <v>39.831236627249623</v>
      </c>
      <c r="AP55" s="528">
        <f t="shared" si="482"/>
        <v>-39.397312105705673</v>
      </c>
      <c r="AQ55" s="529">
        <f t="shared" si="274"/>
        <v>0.89003321442983008</v>
      </c>
      <c r="AS55" s="932">
        <f t="shared" si="461"/>
        <v>109.26150476795627</v>
      </c>
      <c r="AT55" s="928">
        <f t="shared" si="275"/>
        <v>-9.1532729484118995</v>
      </c>
      <c r="AU55" s="418"/>
      <c r="AV55" s="164" t="str">
        <f t="shared" si="276"/>
        <v/>
      </c>
      <c r="AW55" s="797" t="str">
        <f>IFERROR(INDEX(MassProp!C$9:C$150,MATCH($M55,MassProp!$B$9:$B$150,0)),"")</f>
        <v/>
      </c>
      <c r="AX55" s="744" t="str">
        <f>IFERROR(INDEX(MassProp!D$9:D$150,MATCH($M55,MassProp!$B$9:$B$150,0)),"")</f>
        <v/>
      </c>
      <c r="AY55" s="731" t="str">
        <f>IFERROR(INDEX(MassProp!E$9:E$150,MATCH($M55,MassProp!$B$9:$B$150,0)),"")</f>
        <v/>
      </c>
      <c r="AZ55" s="297" t="str">
        <f t="shared" si="144"/>
        <v/>
      </c>
      <c r="BA55" s="296" t="str">
        <f t="shared" si="278"/>
        <v/>
      </c>
      <c r="BB55" s="177" t="str">
        <f t="shared" si="145"/>
        <v/>
      </c>
      <c r="BC55" s="9"/>
      <c r="BD55" s="5" t="str">
        <f t="shared" si="146"/>
        <v/>
      </c>
      <c r="BE55" s="6" t="str">
        <f t="shared" si="280"/>
        <v/>
      </c>
      <c r="BF55" s="4" t="str">
        <f t="shared" si="281"/>
        <v/>
      </c>
      <c r="BG55" s="5" t="str">
        <f t="shared" si="282"/>
        <v/>
      </c>
      <c r="BH55" s="10" t="str">
        <f t="shared" si="283"/>
        <v/>
      </c>
      <c r="BI55" s="9" t="str">
        <f t="shared" si="147"/>
        <v/>
      </c>
      <c r="BJ55" s="5" t="str">
        <f t="shared" si="285"/>
        <v/>
      </c>
      <c r="BK55" s="8" t="str">
        <f t="shared" si="286"/>
        <v/>
      </c>
      <c r="BL55" s="173" t="str">
        <f t="shared" si="287"/>
        <v/>
      </c>
      <c r="BM55" s="5" t="str">
        <f t="shared" si="288"/>
        <v/>
      </c>
      <c r="BN55" s="6" t="str">
        <f t="shared" si="289"/>
        <v/>
      </c>
      <c r="BO55" s="4" t="str">
        <f t="shared" si="148"/>
        <v/>
      </c>
      <c r="BP55" s="5" t="str">
        <f t="shared" si="239"/>
        <v/>
      </c>
      <c r="BQ55" s="5" t="str">
        <f t="shared" si="149"/>
        <v/>
      </c>
      <c r="BR55" s="6" t="str">
        <f t="shared" si="150"/>
        <v/>
      </c>
      <c r="BS55" s="4" t="str">
        <f t="shared" si="483"/>
        <v/>
      </c>
      <c r="BT55" s="5" t="str">
        <f t="shared" si="483"/>
        <v/>
      </c>
      <c r="BU55" s="10" t="str">
        <f t="shared" si="119"/>
        <v/>
      </c>
      <c r="BV55" s="9" t="str">
        <f t="shared" si="120"/>
        <v/>
      </c>
      <c r="BW55" s="5" t="str">
        <f t="shared" si="121"/>
        <v/>
      </c>
      <c r="BX55" s="8" t="str">
        <f t="shared" si="122"/>
        <v/>
      </c>
      <c r="BY55" s="173" t="str">
        <f t="shared" si="123"/>
        <v/>
      </c>
      <c r="BZ55" s="5" t="str">
        <f t="shared" si="124"/>
        <v/>
      </c>
      <c r="CA55" s="6" t="str">
        <f t="shared" si="125"/>
        <v/>
      </c>
      <c r="CB55" s="4" t="str">
        <f t="shared" si="151"/>
        <v/>
      </c>
      <c r="CC55" s="5" t="str">
        <f t="shared" si="152"/>
        <v/>
      </c>
      <c r="CD55" s="5" t="str">
        <f t="shared" si="153"/>
        <v/>
      </c>
      <c r="CE55" s="6" t="str">
        <f t="shared" si="154"/>
        <v/>
      </c>
      <c r="CF55" s="4" t="str">
        <f t="shared" si="155"/>
        <v/>
      </c>
      <c r="CG55" s="5" t="str">
        <f t="shared" si="156"/>
        <v/>
      </c>
      <c r="CH55" s="5" t="str">
        <f t="shared" si="157"/>
        <v/>
      </c>
      <c r="CI55" s="4" t="str">
        <f t="shared" si="126"/>
        <v/>
      </c>
      <c r="CJ55" s="5" t="str">
        <f t="shared" si="127"/>
        <v/>
      </c>
      <c r="CK55" s="8" t="str">
        <f t="shared" si="128"/>
        <v/>
      </c>
      <c r="CL55" s="173" t="str">
        <f t="shared" si="129"/>
        <v/>
      </c>
      <c r="CM55" s="5" t="str">
        <f t="shared" si="130"/>
        <v/>
      </c>
      <c r="CN55" s="6" t="str">
        <f t="shared" si="131"/>
        <v/>
      </c>
      <c r="CO55" s="167" t="str">
        <f t="shared" si="305"/>
        <v/>
      </c>
      <c r="CP55" s="4" t="str">
        <f t="shared" si="240"/>
        <v/>
      </c>
      <c r="CQ55" s="5" t="str">
        <f t="shared" si="241"/>
        <v/>
      </c>
      <c r="CR55" s="5" t="str">
        <f t="shared" si="158"/>
        <v/>
      </c>
      <c r="CS55" s="8" t="str">
        <f t="shared" si="159"/>
        <v/>
      </c>
      <c r="CT55" s="9" t="str">
        <f t="shared" si="160"/>
        <v/>
      </c>
      <c r="CU55" s="6" t="str">
        <f t="shared" si="161"/>
        <v/>
      </c>
      <c r="CV55" s="4" t="str">
        <f t="shared" si="242"/>
        <v/>
      </c>
      <c r="CW55" s="5" t="str">
        <f t="shared" si="162"/>
        <v/>
      </c>
      <c r="CX55" s="8" t="str">
        <f t="shared" si="163"/>
        <v/>
      </c>
      <c r="CY55" s="9" t="str">
        <f t="shared" si="164"/>
        <v/>
      </c>
      <c r="CZ55" s="5" t="str">
        <f t="shared" si="165"/>
        <v/>
      </c>
      <c r="DA55" s="6" t="str">
        <f t="shared" si="166"/>
        <v/>
      </c>
      <c r="DB55" s="4" t="str">
        <f t="shared" si="484"/>
        <v/>
      </c>
      <c r="DC55" s="5" t="str">
        <f t="shared" si="484"/>
        <v/>
      </c>
      <c r="DD55" s="10" t="str">
        <f t="shared" si="168"/>
        <v/>
      </c>
      <c r="DE55" s="9" t="str">
        <f t="shared" si="485"/>
        <v/>
      </c>
      <c r="DF55" s="5" t="str">
        <f t="shared" si="485"/>
        <v/>
      </c>
      <c r="DG55" s="10" t="str">
        <f t="shared" si="170"/>
        <v/>
      </c>
      <c r="DH55" s="70" t="str">
        <f t="shared" si="171"/>
        <v/>
      </c>
      <c r="DI55" s="4" t="str">
        <f t="shared" si="172"/>
        <v/>
      </c>
      <c r="DJ55" s="5" t="str">
        <f t="shared" si="173"/>
        <v/>
      </c>
      <c r="DK55" s="10" t="str">
        <f t="shared" si="174"/>
        <v/>
      </c>
      <c r="DL55" s="9" t="str">
        <f t="shared" si="175"/>
        <v/>
      </c>
      <c r="DM55" s="173" t="str">
        <f t="shared" si="176"/>
        <v/>
      </c>
      <c r="DN55" s="178" t="str">
        <f t="shared" si="177"/>
        <v/>
      </c>
      <c r="DO55" s="9" t="str">
        <f t="shared" si="178"/>
        <v/>
      </c>
      <c r="DP55" s="173" t="str">
        <f t="shared" si="179"/>
        <v/>
      </c>
      <c r="DQ55" s="11" t="str">
        <f t="shared" si="180"/>
        <v/>
      </c>
      <c r="DR55" s="173" t="str">
        <f t="shared" si="181"/>
        <v/>
      </c>
      <c r="DS55" s="5" t="str">
        <f t="shared" si="182"/>
        <v/>
      </c>
      <c r="DT55" s="5" t="str">
        <f t="shared" si="183"/>
        <v/>
      </c>
      <c r="DU55" s="5" t="str">
        <f t="shared" si="184"/>
        <v/>
      </c>
      <c r="DV55" s="5" t="str">
        <f t="shared" si="185"/>
        <v/>
      </c>
      <c r="DW55" s="5" t="str">
        <f t="shared" si="186"/>
        <v/>
      </c>
      <c r="DX55" s="167" t="str">
        <f t="shared" si="187"/>
        <v/>
      </c>
      <c r="DY55" s="9" t="str">
        <f t="shared" si="188"/>
        <v/>
      </c>
      <c r="DZ55" s="5" t="str">
        <f t="shared" si="189"/>
        <v/>
      </c>
      <c r="EA55" s="10" t="str">
        <f t="shared" si="190"/>
        <v/>
      </c>
      <c r="EB55" s="6" t="str">
        <f t="shared" si="191"/>
        <v/>
      </c>
      <c r="EC55" s="173" t="str">
        <f t="shared" si="192"/>
        <v/>
      </c>
      <c r="ED55" s="5" t="str">
        <f t="shared" si="193"/>
        <v/>
      </c>
      <c r="EE55" s="4" t="str">
        <f t="shared" si="194"/>
        <v/>
      </c>
      <c r="EF55" s="5" t="str">
        <f t="shared" si="195"/>
        <v/>
      </c>
      <c r="EG55" s="10" t="str">
        <f t="shared" si="196"/>
        <v/>
      </c>
      <c r="EH55" s="9" t="str">
        <f t="shared" si="197"/>
        <v/>
      </c>
      <c r="EI55" s="5" t="str">
        <f t="shared" si="198"/>
        <v/>
      </c>
      <c r="EJ55" s="6" t="str">
        <f t="shared" si="199"/>
        <v/>
      </c>
      <c r="EK55" s="236" t="str">
        <f t="shared" si="200"/>
        <v/>
      </c>
      <c r="EL55" s="238" t="str">
        <f t="shared" si="201"/>
        <v/>
      </c>
      <c r="EM55" s="4" t="str">
        <f t="shared" si="202"/>
        <v/>
      </c>
      <c r="EN55" s="5" t="str">
        <f t="shared" si="203"/>
        <v/>
      </c>
      <c r="EO55" s="10" t="str">
        <f t="shared" si="204"/>
        <v/>
      </c>
      <c r="EP55" s="9" t="str">
        <f t="shared" si="205"/>
        <v/>
      </c>
      <c r="EQ55" s="5" t="str">
        <f t="shared" si="206"/>
        <v/>
      </c>
      <c r="ER55" s="7" t="str">
        <f t="shared" si="207"/>
        <v/>
      </c>
      <c r="ES55" s="21" t="str">
        <f t="shared" si="352"/>
        <v/>
      </c>
      <c r="ET55" s="5" t="str">
        <f t="shared" si="353"/>
        <v/>
      </c>
      <c r="EU55" s="10" t="str">
        <f t="shared" si="354"/>
        <v/>
      </c>
      <c r="EV55" s="174" t="str">
        <f t="shared" si="486"/>
        <v/>
      </c>
      <c r="EW55" s="9" t="str">
        <f t="shared" si="487"/>
        <v/>
      </c>
      <c r="EX55" s="5" t="str">
        <f t="shared" si="488"/>
        <v/>
      </c>
      <c r="EY55" s="6" t="str">
        <f t="shared" si="208"/>
        <v/>
      </c>
      <c r="EZ55" s="51" t="str">
        <f t="shared" si="209"/>
        <v/>
      </c>
      <c r="FA55" s="173" t="str">
        <f t="shared" si="489"/>
        <v/>
      </c>
      <c r="FB55" s="5" t="str">
        <f t="shared" si="490"/>
        <v/>
      </c>
      <c r="FC55" s="6" t="str">
        <f t="shared" si="491"/>
        <v/>
      </c>
      <c r="FD55" s="4" t="str">
        <f t="shared" si="492"/>
        <v/>
      </c>
      <c r="FE55" s="5" t="str">
        <f t="shared" si="493"/>
        <v/>
      </c>
      <c r="FF55" s="7" t="str">
        <f t="shared" si="210"/>
        <v/>
      </c>
      <c r="FG55" s="173" t="str">
        <f t="shared" si="494"/>
        <v/>
      </c>
      <c r="FH55" s="5" t="str">
        <f t="shared" si="495"/>
        <v/>
      </c>
      <c r="FI55" s="10" t="str">
        <f t="shared" si="496"/>
        <v/>
      </c>
      <c r="FJ55" s="279" t="str">
        <f t="shared" si="212"/>
        <v/>
      </c>
      <c r="FK55" s="4" t="str">
        <f t="shared" si="497"/>
        <v/>
      </c>
      <c r="FL55" s="5" t="str">
        <f t="shared" si="213"/>
        <v/>
      </c>
      <c r="FM55" s="8" t="str">
        <f t="shared" si="214"/>
        <v/>
      </c>
      <c r="FN55" s="9" t="str">
        <f t="shared" si="215"/>
        <v/>
      </c>
      <c r="FO55" s="10" t="str">
        <f t="shared" si="498"/>
        <v/>
      </c>
      <c r="FP55" s="277" t="str">
        <f t="shared" si="499"/>
        <v/>
      </c>
      <c r="FQ55" s="173" t="str">
        <f t="shared" si="243"/>
        <v/>
      </c>
      <c r="FR55" s="10" t="str">
        <f t="shared" si="216"/>
        <v/>
      </c>
      <c r="FS55" s="9" t="str">
        <f t="shared" si="217"/>
        <v/>
      </c>
      <c r="FT55" s="6" t="str">
        <f t="shared" si="218"/>
        <v/>
      </c>
      <c r="FU55" s="4" t="str">
        <f t="shared" si="219"/>
        <v/>
      </c>
      <c r="FV55" s="5" t="str">
        <f t="shared" si="220"/>
        <v/>
      </c>
      <c r="FW55" s="8" t="str">
        <f t="shared" si="244"/>
        <v/>
      </c>
      <c r="FX55" s="9" t="str">
        <f t="shared" si="245"/>
        <v/>
      </c>
      <c r="FY55" s="10" t="str">
        <f t="shared" si="500"/>
        <v/>
      </c>
      <c r="FZ55" s="277" t="str">
        <f t="shared" si="246"/>
        <v/>
      </c>
      <c r="GA55" s="177" t="str">
        <f t="shared" si="221"/>
        <v/>
      </c>
      <c r="GB55" s="4" t="str">
        <f t="shared" si="222"/>
        <v/>
      </c>
      <c r="GC55" s="5" t="str">
        <f t="shared" si="223"/>
        <v/>
      </c>
      <c r="GD55" s="10" t="str">
        <f t="shared" si="224"/>
        <v/>
      </c>
      <c r="GE55" s="311" t="str">
        <f t="shared" si="225"/>
        <v/>
      </c>
      <c r="GF55" s="341" t="str">
        <f t="shared" si="247"/>
        <v/>
      </c>
      <c r="GG55" s="285" t="str">
        <f t="shared" si="501"/>
        <v/>
      </c>
      <c r="GH55" s="286" t="str">
        <f t="shared" si="502"/>
        <v/>
      </c>
      <c r="GI55" s="281" t="str">
        <f t="shared" si="503"/>
        <v/>
      </c>
      <c r="GJ55" s="167" t="str">
        <f t="shared" si="226"/>
        <v/>
      </c>
      <c r="GK55" s="174" t="str">
        <f t="shared" si="504"/>
        <v/>
      </c>
      <c r="GL55" s="174" t="str">
        <f t="shared" si="227"/>
        <v/>
      </c>
      <c r="GM55" s="177" t="str">
        <f t="shared" si="248"/>
        <v/>
      </c>
      <c r="GN55" s="280" t="str">
        <f t="shared" si="228"/>
        <v/>
      </c>
      <c r="GO55" s="4" t="str">
        <f t="shared" si="229"/>
        <v/>
      </c>
      <c r="GP55" s="8" t="str">
        <f t="shared" si="249"/>
        <v/>
      </c>
      <c r="GQ55" s="177" t="str">
        <f t="shared" si="230"/>
        <v/>
      </c>
      <c r="GR55" s="371" t="str">
        <f t="shared" si="250"/>
        <v/>
      </c>
      <c r="GS55" s="342" t="str">
        <f t="shared" si="505"/>
        <v/>
      </c>
      <c r="GT55" s="343" t="str">
        <f t="shared" si="506"/>
        <v/>
      </c>
      <c r="GU55" s="344" t="str">
        <f t="shared" si="507"/>
        <v/>
      </c>
      <c r="GV55" s="343" t="str">
        <f t="shared" si="252"/>
        <v/>
      </c>
      <c r="GW55" s="345" t="str">
        <f t="shared" si="508"/>
        <v/>
      </c>
      <c r="GX55" s="346" t="str">
        <f t="shared" si="509"/>
        <v/>
      </c>
      <c r="GY55" s="344" t="str">
        <f t="shared" si="510"/>
        <v/>
      </c>
      <c r="GZ55" s="345" t="str">
        <f t="shared" si="511"/>
        <v/>
      </c>
      <c r="HA55" s="342" t="str">
        <f t="shared" si="512"/>
        <v/>
      </c>
      <c r="HB55" s="5" t="str">
        <f t="shared" si="231"/>
        <v/>
      </c>
      <c r="HC55" s="343" t="str">
        <f t="shared" si="232"/>
        <v/>
      </c>
      <c r="HD55" s="363" t="str">
        <f t="shared" si="233"/>
        <v/>
      </c>
      <c r="HE55" s="344" t="str">
        <f t="shared" si="513"/>
        <v/>
      </c>
      <c r="HF55" s="5" t="str">
        <f t="shared" si="514"/>
        <v/>
      </c>
      <c r="HG55" s="343" t="str">
        <f t="shared" si="234"/>
        <v/>
      </c>
      <c r="HH55" s="349" t="str">
        <f t="shared" si="235"/>
        <v/>
      </c>
      <c r="HI55" s="317" t="str">
        <f t="shared" si="408"/>
        <v/>
      </c>
      <c r="HK55" s="310" t="str">
        <f t="shared" si="459"/>
        <v/>
      </c>
      <c r="HL55" s="348" t="str">
        <f t="shared" si="409"/>
        <v/>
      </c>
      <c r="HM55" s="909" t="str">
        <f t="shared" si="410"/>
        <v/>
      </c>
      <c r="HN55" s="910" t="str">
        <f t="shared" si="411"/>
        <v/>
      </c>
      <c r="HO55" s="911"/>
      <c r="HP55" s="912"/>
      <c r="HQ55" s="910" t="str">
        <f t="shared" si="412"/>
        <v/>
      </c>
      <c r="HR55" s="913" t="str">
        <f t="shared" si="413"/>
        <v/>
      </c>
      <c r="HS55" s="865" t="str">
        <f t="shared" si="460"/>
        <v/>
      </c>
      <c r="HT55" s="875" t="str">
        <f t="shared" si="414"/>
        <v/>
      </c>
      <c r="HU55" s="876" t="str">
        <f t="shared" si="415"/>
        <v/>
      </c>
      <c r="HV55" s="872" t="str">
        <f t="shared" si="416"/>
        <v/>
      </c>
      <c r="HW55" s="866" t="str">
        <f t="shared" si="417"/>
        <v/>
      </c>
      <c r="HX55" s="867" t="str">
        <f t="shared" si="418"/>
        <v/>
      </c>
      <c r="HY55" s="866" t="str">
        <f t="shared" si="419"/>
        <v/>
      </c>
      <c r="HZ55" s="868" t="str">
        <f t="shared" si="420"/>
        <v/>
      </c>
      <c r="IA55" s="869" t="str">
        <f t="shared" si="421"/>
        <v/>
      </c>
      <c r="IB55" s="870" t="str">
        <f t="shared" si="422"/>
        <v/>
      </c>
      <c r="IC55" s="841" t="str">
        <f t="shared" si="423"/>
        <v/>
      </c>
      <c r="ID55" s="351" t="str">
        <f t="shared" si="424"/>
        <v/>
      </c>
      <c r="IE55" s="843" t="str">
        <f t="shared" si="425"/>
        <v/>
      </c>
      <c r="IF55" s="844"/>
      <c r="IG55" s="790" t="str">
        <f>IFERROR(IF($IW55="","",IF($IW55&lt;(((Settings!$C$19/2)*-1)*$IG$8),"Taper","Nose")),"")</f>
        <v/>
      </c>
      <c r="IH55" s="482" t="str">
        <f>IFERROR(IF((((($IY55*COS(RADIANS(180-$JA55)))*COS(RADIANS($JA55)))-(($IZ55*SIN(RADIANS(180-$JA55)))*SIN(RADIANS($JA55))))+$IW55)&lt;(((Settings!$C$19+$IH$8)/2)*-1),"Gage",""),"")</f>
        <v/>
      </c>
      <c r="II55" s="788">
        <f t="shared" si="236"/>
        <v>3.2509999999999999</v>
      </c>
      <c r="IJ55" s="674" t="str" cm="1">
        <f t="array" ref="IJ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K55" s="677" t="str" cm="1">
        <f t="array" ref="IK55">IFERROR(ROUND(VALUE(IF($IJ55&lt;1,$IJ55+LARGE((IF($M$9:$M$150="",0,$M$9:$M$150)-MOD(IF($M$9:$M$150="",0,$M$9:$M$150),1)),1),$IJ55)),4),"")</f>
        <v/>
      </c>
      <c r="IL55" s="482">
        <f t="shared" si="426"/>
        <v>1313</v>
      </c>
      <c r="IM55" s="482" t="str">
        <f t="shared" si="237"/>
        <v/>
      </c>
      <c r="IN55" s="670" t="str">
        <f t="shared" si="427"/>
        <v/>
      </c>
      <c r="IO55" s="702"/>
      <c r="IP55" s="5" t="str">
        <f t="shared" si="428"/>
        <v/>
      </c>
      <c r="IQ55" s="714"/>
      <c r="IR55" s="9" t="str">
        <f t="shared" si="429"/>
        <v/>
      </c>
      <c r="IS55" s="5" t="str">
        <f t="shared" si="430"/>
        <v/>
      </c>
      <c r="IT55" s="5" t="str">
        <f t="shared" si="431"/>
        <v/>
      </c>
      <c r="IU55" s="5" t="str">
        <f t="shared" si="432"/>
        <v/>
      </c>
      <c r="IV55" s="670" t="str">
        <f t="shared" si="433"/>
        <v/>
      </c>
      <c r="IW55" s="9" t="str">
        <f t="shared" si="434"/>
        <v/>
      </c>
      <c r="IX55" s="5" t="str">
        <f t="shared" si="435"/>
        <v/>
      </c>
      <c r="IY55" s="5" t="str">
        <f t="shared" si="436"/>
        <v/>
      </c>
      <c r="IZ55" s="5" t="str">
        <f t="shared" si="437"/>
        <v/>
      </c>
      <c r="JA55" s="705" t="str">
        <f t="shared" si="438"/>
        <v/>
      </c>
    </row>
    <row r="56" spans="1:261" ht="15" customHeight="1" x14ac:dyDescent="0.25">
      <c r="A56" s="75">
        <f t="shared" si="256"/>
        <v>0.02</v>
      </c>
      <c r="B56" s="578">
        <f t="shared" si="515"/>
        <v>-0.27529261922885556</v>
      </c>
      <c r="C56" s="572">
        <f t="shared" si="516"/>
        <v>-2.9254608481465825</v>
      </c>
      <c r="D56" s="576">
        <f t="shared" si="517"/>
        <v>-0.10002227709116517</v>
      </c>
      <c r="E56" s="580">
        <f t="shared" si="518"/>
        <v>0.95780292439168624</v>
      </c>
      <c r="F56" s="572">
        <f t="shared" si="519"/>
        <v>-0.10868198408491406</v>
      </c>
      <c r="G56" s="579">
        <f t="shared" si="520"/>
        <v>0.26608604691358839</v>
      </c>
      <c r="H56" s="580">
        <f t="shared" si="521"/>
        <v>0.3125</v>
      </c>
      <c r="I56" s="572">
        <f t="shared" si="522"/>
        <v>0.52</v>
      </c>
      <c r="J56" s="483">
        <f t="shared" si="523"/>
        <v>4.1139999999999999</v>
      </c>
      <c r="K56" s="806">
        <f t="shared" si="524"/>
        <v>1613</v>
      </c>
      <c r="L56" s="309"/>
      <c r="M56" s="164">
        <f t="shared" si="267"/>
        <v>4.1139999999999999</v>
      </c>
      <c r="N56" s="575">
        <f t="shared" si="268"/>
        <v>-0.27529261922885556</v>
      </c>
      <c r="O56" s="572">
        <f t="shared" si="269"/>
        <v>-2.9254608481465825</v>
      </c>
      <c r="P56" s="576">
        <f t="shared" si="270"/>
        <v>-0.10002227709116517</v>
      </c>
      <c r="Q56" s="528">
        <f t="shared" si="140"/>
        <v>264.62416569155789</v>
      </c>
      <c r="R56" s="572">
        <f t="shared" si="464"/>
        <v>2.9383851347705265</v>
      </c>
      <c r="S56" s="577">
        <f t="shared" si="465"/>
        <v>-0.10002227709116517</v>
      </c>
      <c r="T56" s="578">
        <f t="shared" si="466"/>
        <v>-2.9274572685527214</v>
      </c>
      <c r="U56" s="572">
        <f t="shared" si="467"/>
        <v>0.25318203142846668</v>
      </c>
      <c r="V56" s="579">
        <f t="shared" si="468"/>
        <v>-0.10002227709116517</v>
      </c>
      <c r="W56" s="528">
        <f t="shared" si="253"/>
        <v>175.05705653742888</v>
      </c>
      <c r="X56" s="572">
        <f t="shared" si="469"/>
        <v>2.9383851347705265</v>
      </c>
      <c r="Y56" s="573">
        <f t="shared" si="255"/>
        <v>-0.10002227709116517</v>
      </c>
      <c r="Z56" s="575">
        <f t="shared" si="271"/>
        <v>-0.95780292439168624</v>
      </c>
      <c r="AA56" s="572">
        <f t="shared" si="272"/>
        <v>0.10868198408491406</v>
      </c>
      <c r="AB56" s="572">
        <f t="shared" si="273"/>
        <v>-0.26608604691358839</v>
      </c>
      <c r="AC56" s="579">
        <f t="shared" si="470"/>
        <v>1</v>
      </c>
      <c r="AD56" s="580">
        <f t="shared" si="471"/>
        <v>-0.95780292439168624</v>
      </c>
      <c r="AE56" s="572">
        <f t="shared" si="472"/>
        <v>0.10868198408491406</v>
      </c>
      <c r="AF56" s="576">
        <f t="shared" si="473"/>
        <v>-0.26608604691358839</v>
      </c>
      <c r="AG56" s="545">
        <f t="shared" si="474"/>
        <v>22.217400656237075</v>
      </c>
      <c r="AH56" s="546">
        <f t="shared" si="475"/>
        <v>163.2960983604963</v>
      </c>
      <c r="AI56" s="528">
        <f t="shared" si="476"/>
        <v>-74.568504133677038</v>
      </c>
      <c r="AJ56" s="529">
        <f t="shared" si="477"/>
        <v>-96.473668196046404</v>
      </c>
      <c r="AK56" s="578">
        <f t="shared" si="478"/>
        <v>0.96377233538892937</v>
      </c>
      <c r="AL56" s="572">
        <f t="shared" si="479"/>
        <v>-1.846892462675731E-2</v>
      </c>
      <c r="AM56" s="577">
        <f t="shared" si="480"/>
        <v>-0.26608604691358839</v>
      </c>
      <c r="AN56" s="524">
        <f t="shared" si="481"/>
        <v>-3.9705087662236287</v>
      </c>
      <c r="AO56" s="525">
        <f t="shared" ref="AO56:AO119" si="525">IF(ROUND(IF(M56="",0,DEGREES(ACOS(AK56))),4)=90,0,IF(M56="","",DEGREES(ACOS(AK56))))</f>
        <v>15.469551353298518</v>
      </c>
      <c r="AP56" s="528">
        <f t="shared" si="482"/>
        <v>-1.0978338876042926</v>
      </c>
      <c r="AQ56" s="529">
        <f t="shared" si="274"/>
        <v>1.551307556526671</v>
      </c>
      <c r="AS56" s="932">
        <f t="shared" si="461"/>
        <v>175.05705653742888</v>
      </c>
      <c r="AT56" s="928">
        <f t="shared" si="275"/>
        <v>0.15311834130996504</v>
      </c>
      <c r="AU56" s="418"/>
      <c r="AV56" s="164" t="str">
        <f t="shared" si="276"/>
        <v/>
      </c>
      <c r="AW56" s="797" t="str">
        <f>IFERROR(INDEX(MassProp!C$9:C$150,MATCH($M56,MassProp!$B$9:$B$150,0)),"")</f>
        <v/>
      </c>
      <c r="AX56" s="744" t="str">
        <f>IFERROR(INDEX(MassProp!D$9:D$150,MATCH($M56,MassProp!$B$9:$B$150,0)),"")</f>
        <v/>
      </c>
      <c r="AY56" s="731" t="str">
        <f>IFERROR(INDEX(MassProp!E$9:E$150,MATCH($M56,MassProp!$B$9:$B$150,0)),"")</f>
        <v/>
      </c>
      <c r="AZ56" s="297" t="str">
        <f t="shared" si="144"/>
        <v/>
      </c>
      <c r="BA56" s="296" t="str">
        <f t="shared" si="278"/>
        <v/>
      </c>
      <c r="BB56" s="177" t="str">
        <f t="shared" si="145"/>
        <v/>
      </c>
      <c r="BC56" s="9"/>
      <c r="BD56" s="5" t="str">
        <f t="shared" si="146"/>
        <v/>
      </c>
      <c r="BE56" s="6" t="str">
        <f t="shared" si="280"/>
        <v/>
      </c>
      <c r="BF56" s="4" t="str">
        <f t="shared" si="281"/>
        <v/>
      </c>
      <c r="BG56" s="5" t="str">
        <f t="shared" si="282"/>
        <v/>
      </c>
      <c r="BH56" s="10" t="str">
        <f t="shared" si="283"/>
        <v/>
      </c>
      <c r="BI56" s="9" t="str">
        <f t="shared" si="147"/>
        <v/>
      </c>
      <c r="BJ56" s="5" t="str">
        <f t="shared" si="285"/>
        <v/>
      </c>
      <c r="BK56" s="8" t="str">
        <f t="shared" si="286"/>
        <v/>
      </c>
      <c r="BL56" s="173" t="str">
        <f t="shared" si="287"/>
        <v/>
      </c>
      <c r="BM56" s="5" t="str">
        <f t="shared" si="288"/>
        <v/>
      </c>
      <c r="BN56" s="6" t="str">
        <f t="shared" si="289"/>
        <v/>
      </c>
      <c r="BO56" s="4" t="str">
        <f t="shared" si="148"/>
        <v/>
      </c>
      <c r="BP56" s="5" t="str">
        <f t="shared" si="239"/>
        <v/>
      </c>
      <c r="BQ56" s="5" t="str">
        <f t="shared" si="149"/>
        <v/>
      </c>
      <c r="BR56" s="6" t="str">
        <f t="shared" si="150"/>
        <v/>
      </c>
      <c r="BS56" s="4" t="str">
        <f t="shared" si="483"/>
        <v/>
      </c>
      <c r="BT56" s="5" t="str">
        <f t="shared" si="483"/>
        <v/>
      </c>
      <c r="BU56" s="10" t="str">
        <f t="shared" si="119"/>
        <v/>
      </c>
      <c r="BV56" s="9" t="str">
        <f t="shared" si="120"/>
        <v/>
      </c>
      <c r="BW56" s="5" t="str">
        <f t="shared" si="121"/>
        <v/>
      </c>
      <c r="BX56" s="8" t="str">
        <f t="shared" si="122"/>
        <v/>
      </c>
      <c r="BY56" s="173" t="str">
        <f t="shared" si="123"/>
        <v/>
      </c>
      <c r="BZ56" s="5" t="str">
        <f t="shared" si="124"/>
        <v/>
      </c>
      <c r="CA56" s="6" t="str">
        <f t="shared" si="125"/>
        <v/>
      </c>
      <c r="CB56" s="4" t="str">
        <f t="shared" si="151"/>
        <v/>
      </c>
      <c r="CC56" s="5" t="str">
        <f t="shared" si="152"/>
        <v/>
      </c>
      <c r="CD56" s="5" t="str">
        <f t="shared" si="153"/>
        <v/>
      </c>
      <c r="CE56" s="6" t="str">
        <f t="shared" si="154"/>
        <v/>
      </c>
      <c r="CF56" s="4" t="str">
        <f t="shared" si="155"/>
        <v/>
      </c>
      <c r="CG56" s="5" t="str">
        <f t="shared" si="156"/>
        <v/>
      </c>
      <c r="CH56" s="5" t="str">
        <f t="shared" si="157"/>
        <v/>
      </c>
      <c r="CI56" s="4" t="str">
        <f t="shared" si="126"/>
        <v/>
      </c>
      <c r="CJ56" s="5" t="str">
        <f t="shared" si="127"/>
        <v/>
      </c>
      <c r="CK56" s="8" t="str">
        <f t="shared" si="128"/>
        <v/>
      </c>
      <c r="CL56" s="173" t="str">
        <f t="shared" si="129"/>
        <v/>
      </c>
      <c r="CM56" s="5" t="str">
        <f t="shared" si="130"/>
        <v/>
      </c>
      <c r="CN56" s="6" t="str">
        <f t="shared" si="131"/>
        <v/>
      </c>
      <c r="CO56" s="167" t="str">
        <f t="shared" si="305"/>
        <v/>
      </c>
      <c r="CP56" s="4" t="str">
        <f t="shared" si="240"/>
        <v/>
      </c>
      <c r="CQ56" s="5" t="str">
        <f t="shared" si="241"/>
        <v/>
      </c>
      <c r="CR56" s="5" t="str">
        <f t="shared" si="158"/>
        <v/>
      </c>
      <c r="CS56" s="8" t="str">
        <f t="shared" si="159"/>
        <v/>
      </c>
      <c r="CT56" s="9" t="str">
        <f t="shared" si="160"/>
        <v/>
      </c>
      <c r="CU56" s="6" t="str">
        <f t="shared" si="161"/>
        <v/>
      </c>
      <c r="CV56" s="4" t="str">
        <f t="shared" si="242"/>
        <v/>
      </c>
      <c r="CW56" s="5" t="str">
        <f t="shared" si="162"/>
        <v/>
      </c>
      <c r="CX56" s="8" t="str">
        <f t="shared" si="163"/>
        <v/>
      </c>
      <c r="CY56" s="9" t="str">
        <f t="shared" si="164"/>
        <v/>
      </c>
      <c r="CZ56" s="5" t="str">
        <f t="shared" si="165"/>
        <v/>
      </c>
      <c r="DA56" s="6" t="str">
        <f t="shared" si="166"/>
        <v/>
      </c>
      <c r="DB56" s="4" t="str">
        <f t="shared" si="484"/>
        <v/>
      </c>
      <c r="DC56" s="5" t="str">
        <f t="shared" si="484"/>
        <v/>
      </c>
      <c r="DD56" s="10" t="str">
        <f t="shared" si="168"/>
        <v/>
      </c>
      <c r="DE56" s="9" t="str">
        <f t="shared" si="485"/>
        <v/>
      </c>
      <c r="DF56" s="5" t="str">
        <f t="shared" si="485"/>
        <v/>
      </c>
      <c r="DG56" s="10" t="str">
        <f t="shared" si="170"/>
        <v/>
      </c>
      <c r="DH56" s="70" t="str">
        <f t="shared" si="171"/>
        <v/>
      </c>
      <c r="DI56" s="4" t="str">
        <f t="shared" si="172"/>
        <v/>
      </c>
      <c r="DJ56" s="5" t="str">
        <f t="shared" si="173"/>
        <v/>
      </c>
      <c r="DK56" s="10" t="str">
        <f t="shared" si="174"/>
        <v/>
      </c>
      <c r="DL56" s="9" t="str">
        <f t="shared" si="175"/>
        <v/>
      </c>
      <c r="DM56" s="173" t="str">
        <f t="shared" si="176"/>
        <v/>
      </c>
      <c r="DN56" s="178" t="str">
        <f t="shared" si="177"/>
        <v/>
      </c>
      <c r="DO56" s="9" t="str">
        <f t="shared" si="178"/>
        <v/>
      </c>
      <c r="DP56" s="173" t="str">
        <f t="shared" si="179"/>
        <v/>
      </c>
      <c r="DQ56" s="11" t="str">
        <f t="shared" si="180"/>
        <v/>
      </c>
      <c r="DR56" s="173" t="str">
        <f t="shared" si="181"/>
        <v/>
      </c>
      <c r="DS56" s="5" t="str">
        <f t="shared" si="182"/>
        <v/>
      </c>
      <c r="DT56" s="5" t="str">
        <f t="shared" si="183"/>
        <v/>
      </c>
      <c r="DU56" s="5" t="str">
        <f t="shared" si="184"/>
        <v/>
      </c>
      <c r="DV56" s="5" t="str">
        <f t="shared" si="185"/>
        <v/>
      </c>
      <c r="DW56" s="5" t="str">
        <f t="shared" si="186"/>
        <v/>
      </c>
      <c r="DX56" s="167" t="str">
        <f t="shared" si="187"/>
        <v/>
      </c>
      <c r="DY56" s="9" t="str">
        <f t="shared" si="188"/>
        <v/>
      </c>
      <c r="DZ56" s="5" t="str">
        <f t="shared" si="189"/>
        <v/>
      </c>
      <c r="EA56" s="10" t="str">
        <f t="shared" si="190"/>
        <v/>
      </c>
      <c r="EB56" s="6" t="str">
        <f t="shared" si="191"/>
        <v/>
      </c>
      <c r="EC56" s="173" t="str">
        <f t="shared" si="192"/>
        <v/>
      </c>
      <c r="ED56" s="5" t="str">
        <f t="shared" si="193"/>
        <v/>
      </c>
      <c r="EE56" s="4" t="str">
        <f t="shared" si="194"/>
        <v/>
      </c>
      <c r="EF56" s="5" t="str">
        <f t="shared" si="195"/>
        <v/>
      </c>
      <c r="EG56" s="10" t="str">
        <f t="shared" si="196"/>
        <v/>
      </c>
      <c r="EH56" s="9" t="str">
        <f t="shared" si="197"/>
        <v/>
      </c>
      <c r="EI56" s="5" t="str">
        <f t="shared" si="198"/>
        <v/>
      </c>
      <c r="EJ56" s="6" t="str">
        <f t="shared" si="199"/>
        <v/>
      </c>
      <c r="EK56" s="236" t="str">
        <f t="shared" si="200"/>
        <v/>
      </c>
      <c r="EL56" s="238" t="str">
        <f t="shared" si="201"/>
        <v/>
      </c>
      <c r="EM56" s="4" t="str">
        <f t="shared" si="202"/>
        <v/>
      </c>
      <c r="EN56" s="5" t="str">
        <f t="shared" si="203"/>
        <v/>
      </c>
      <c r="EO56" s="10" t="str">
        <f t="shared" si="204"/>
        <v/>
      </c>
      <c r="EP56" s="9" t="str">
        <f t="shared" si="205"/>
        <v/>
      </c>
      <c r="EQ56" s="5" t="str">
        <f t="shared" si="206"/>
        <v/>
      </c>
      <c r="ER56" s="7" t="str">
        <f t="shared" si="207"/>
        <v/>
      </c>
      <c r="ES56" s="21" t="str">
        <f t="shared" si="352"/>
        <v/>
      </c>
      <c r="ET56" s="5" t="str">
        <f t="shared" si="353"/>
        <v/>
      </c>
      <c r="EU56" s="10" t="str">
        <f t="shared" si="354"/>
        <v/>
      </c>
      <c r="EV56" s="174" t="str">
        <f t="shared" si="486"/>
        <v/>
      </c>
      <c r="EW56" s="9" t="str">
        <f t="shared" si="487"/>
        <v/>
      </c>
      <c r="EX56" s="5" t="str">
        <f t="shared" si="488"/>
        <v/>
      </c>
      <c r="EY56" s="6" t="str">
        <f t="shared" si="208"/>
        <v/>
      </c>
      <c r="EZ56" s="51" t="str">
        <f t="shared" si="209"/>
        <v/>
      </c>
      <c r="FA56" s="173" t="str">
        <f t="shared" si="489"/>
        <v/>
      </c>
      <c r="FB56" s="5" t="str">
        <f t="shared" si="490"/>
        <v/>
      </c>
      <c r="FC56" s="6" t="str">
        <f t="shared" si="491"/>
        <v/>
      </c>
      <c r="FD56" s="4" t="str">
        <f t="shared" si="492"/>
        <v/>
      </c>
      <c r="FE56" s="5" t="str">
        <f t="shared" si="493"/>
        <v/>
      </c>
      <c r="FF56" s="7" t="str">
        <f t="shared" si="210"/>
        <v/>
      </c>
      <c r="FG56" s="173" t="str">
        <f t="shared" si="494"/>
        <v/>
      </c>
      <c r="FH56" s="5" t="str">
        <f t="shared" si="495"/>
        <v/>
      </c>
      <c r="FI56" s="10" t="str">
        <f t="shared" si="496"/>
        <v/>
      </c>
      <c r="FJ56" s="279" t="str">
        <f t="shared" si="212"/>
        <v/>
      </c>
      <c r="FK56" s="4" t="str">
        <f t="shared" si="497"/>
        <v/>
      </c>
      <c r="FL56" s="5" t="str">
        <f t="shared" si="213"/>
        <v/>
      </c>
      <c r="FM56" s="8" t="str">
        <f t="shared" si="214"/>
        <v/>
      </c>
      <c r="FN56" s="9" t="str">
        <f t="shared" si="215"/>
        <v/>
      </c>
      <c r="FO56" s="10" t="str">
        <f t="shared" si="498"/>
        <v/>
      </c>
      <c r="FP56" s="277" t="str">
        <f t="shared" si="499"/>
        <v/>
      </c>
      <c r="FQ56" s="173" t="str">
        <f t="shared" si="243"/>
        <v/>
      </c>
      <c r="FR56" s="10" t="str">
        <f t="shared" si="216"/>
        <v/>
      </c>
      <c r="FS56" s="9" t="str">
        <f t="shared" si="217"/>
        <v/>
      </c>
      <c r="FT56" s="6" t="str">
        <f t="shared" si="218"/>
        <v/>
      </c>
      <c r="FU56" s="4" t="str">
        <f t="shared" si="219"/>
        <v/>
      </c>
      <c r="FV56" s="5" t="str">
        <f t="shared" si="220"/>
        <v/>
      </c>
      <c r="FW56" s="8" t="str">
        <f t="shared" si="244"/>
        <v/>
      </c>
      <c r="FX56" s="9" t="str">
        <f t="shared" si="245"/>
        <v/>
      </c>
      <c r="FY56" s="10" t="str">
        <f t="shared" si="500"/>
        <v/>
      </c>
      <c r="FZ56" s="277" t="str">
        <f t="shared" si="246"/>
        <v/>
      </c>
      <c r="GA56" s="177" t="str">
        <f t="shared" si="221"/>
        <v/>
      </c>
      <c r="GB56" s="4" t="str">
        <f t="shared" si="222"/>
        <v/>
      </c>
      <c r="GC56" s="5" t="str">
        <f t="shared" si="223"/>
        <v/>
      </c>
      <c r="GD56" s="10" t="str">
        <f t="shared" si="224"/>
        <v/>
      </c>
      <c r="GE56" s="311" t="str">
        <f t="shared" si="225"/>
        <v/>
      </c>
      <c r="GF56" s="341" t="str">
        <f t="shared" si="247"/>
        <v/>
      </c>
      <c r="GG56" s="285" t="str">
        <f t="shared" si="501"/>
        <v/>
      </c>
      <c r="GH56" s="286" t="str">
        <f t="shared" si="502"/>
        <v/>
      </c>
      <c r="GI56" s="281" t="str">
        <f t="shared" si="503"/>
        <v/>
      </c>
      <c r="GJ56" s="167" t="str">
        <f t="shared" si="226"/>
        <v/>
      </c>
      <c r="GK56" s="174" t="str">
        <f t="shared" si="504"/>
        <v/>
      </c>
      <c r="GL56" s="174" t="str">
        <f t="shared" si="227"/>
        <v/>
      </c>
      <c r="GM56" s="177" t="str">
        <f t="shared" si="248"/>
        <v/>
      </c>
      <c r="GN56" s="280" t="str">
        <f t="shared" si="228"/>
        <v/>
      </c>
      <c r="GO56" s="4" t="str">
        <f t="shared" si="229"/>
        <v/>
      </c>
      <c r="GP56" s="8" t="str">
        <f t="shared" si="249"/>
        <v/>
      </c>
      <c r="GQ56" s="177" t="str">
        <f t="shared" si="230"/>
        <v/>
      </c>
      <c r="GR56" s="371" t="str">
        <f t="shared" si="250"/>
        <v/>
      </c>
      <c r="GS56" s="342" t="str">
        <f t="shared" si="505"/>
        <v/>
      </c>
      <c r="GT56" s="343" t="str">
        <f t="shared" si="506"/>
        <v/>
      </c>
      <c r="GU56" s="344" t="str">
        <f t="shared" si="507"/>
        <v/>
      </c>
      <c r="GV56" s="343" t="str">
        <f t="shared" si="252"/>
        <v/>
      </c>
      <c r="GW56" s="345" t="str">
        <f t="shared" si="508"/>
        <v/>
      </c>
      <c r="GX56" s="346" t="str">
        <f t="shared" si="509"/>
        <v/>
      </c>
      <c r="GY56" s="344" t="str">
        <f t="shared" si="510"/>
        <v/>
      </c>
      <c r="GZ56" s="345" t="str">
        <f t="shared" si="511"/>
        <v/>
      </c>
      <c r="HA56" s="342" t="str">
        <f t="shared" si="512"/>
        <v/>
      </c>
      <c r="HB56" s="5" t="str">
        <f t="shared" si="231"/>
        <v/>
      </c>
      <c r="HC56" s="343" t="str">
        <f t="shared" si="232"/>
        <v/>
      </c>
      <c r="HD56" s="363" t="str">
        <f t="shared" si="233"/>
        <v/>
      </c>
      <c r="HE56" s="344" t="str">
        <f t="shared" si="513"/>
        <v/>
      </c>
      <c r="HF56" s="5" t="str">
        <f t="shared" si="514"/>
        <v/>
      </c>
      <c r="HG56" s="343" t="str">
        <f t="shared" si="234"/>
        <v/>
      </c>
      <c r="HH56" s="349" t="str">
        <f t="shared" si="235"/>
        <v/>
      </c>
      <c r="HI56" s="317" t="str">
        <f t="shared" si="408"/>
        <v/>
      </c>
      <c r="HK56" s="310" t="str">
        <f t="shared" si="459"/>
        <v/>
      </c>
      <c r="HL56" s="348" t="str">
        <f t="shared" si="409"/>
        <v/>
      </c>
      <c r="HM56" s="909" t="str">
        <f t="shared" si="410"/>
        <v/>
      </c>
      <c r="HN56" s="910" t="str">
        <f t="shared" si="411"/>
        <v/>
      </c>
      <c r="HO56" s="911"/>
      <c r="HP56" s="912"/>
      <c r="HQ56" s="910" t="str">
        <f t="shared" si="412"/>
        <v/>
      </c>
      <c r="HR56" s="913" t="str">
        <f t="shared" si="413"/>
        <v/>
      </c>
      <c r="HS56" s="865" t="str">
        <f t="shared" si="460"/>
        <v/>
      </c>
      <c r="HT56" s="875" t="str">
        <f t="shared" si="414"/>
        <v/>
      </c>
      <c r="HU56" s="876" t="str">
        <f t="shared" si="415"/>
        <v/>
      </c>
      <c r="HV56" s="872" t="str">
        <f t="shared" si="416"/>
        <v/>
      </c>
      <c r="HW56" s="866" t="str">
        <f t="shared" si="417"/>
        <v/>
      </c>
      <c r="HX56" s="867" t="str">
        <f t="shared" si="418"/>
        <v/>
      </c>
      <c r="HY56" s="866" t="str">
        <f t="shared" si="419"/>
        <v/>
      </c>
      <c r="HZ56" s="868" t="str">
        <f t="shared" si="420"/>
        <v/>
      </c>
      <c r="IA56" s="869" t="str">
        <f t="shared" si="421"/>
        <v/>
      </c>
      <c r="IB56" s="870" t="str">
        <f t="shared" si="422"/>
        <v/>
      </c>
      <c r="IC56" s="841" t="str">
        <f t="shared" si="423"/>
        <v/>
      </c>
      <c r="ID56" s="351" t="str">
        <f t="shared" si="424"/>
        <v/>
      </c>
      <c r="IE56" s="843" t="str">
        <f t="shared" si="425"/>
        <v/>
      </c>
      <c r="IF56" s="844"/>
      <c r="IG56" s="790" t="str">
        <f>IFERROR(IF($IW56="","",IF($IW56&lt;(((Settings!$C$19/2)*-1)*$IG$8),"Taper","Nose")),"")</f>
        <v/>
      </c>
      <c r="IH56" s="482" t="str">
        <f>IFERROR(IF((((($IY56*COS(RADIANS(180-$JA56)))*COS(RADIANS($JA56)))-(($IZ56*SIN(RADIANS(180-$JA56)))*SIN(RADIANS($JA56))))+$IW56)&lt;(((Settings!$C$19+$IH$8)/2)*-1),"Gage",""),"")</f>
        <v/>
      </c>
      <c r="II56" s="788">
        <f t="shared" si="236"/>
        <v>4.1139999999999999</v>
      </c>
      <c r="IJ56" s="674" t="str" cm="1">
        <f t="array" ref="IJ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K56" s="677" t="str" cm="1">
        <f t="array" ref="IK56">IFERROR(ROUND(VALUE(IF($IJ56&lt;1,$IJ56+LARGE((IF($M$9:$M$150="",0,$M$9:$M$150)-MOD(IF($M$9:$M$150="",0,$M$9:$M$150),1)),1),$IJ56)),4),"")</f>
        <v/>
      </c>
      <c r="IL56" s="482">
        <f t="shared" si="426"/>
        <v>1613</v>
      </c>
      <c r="IM56" s="482" t="str">
        <f t="shared" si="237"/>
        <v/>
      </c>
      <c r="IN56" s="670" t="str">
        <f t="shared" si="427"/>
        <v/>
      </c>
      <c r="IO56" s="702"/>
      <c r="IP56" s="5" t="str">
        <f t="shared" si="428"/>
        <v/>
      </c>
      <c r="IQ56" s="714"/>
      <c r="IR56" s="9" t="str">
        <f t="shared" si="429"/>
        <v/>
      </c>
      <c r="IS56" s="5" t="str">
        <f t="shared" si="430"/>
        <v/>
      </c>
      <c r="IT56" s="5" t="str">
        <f t="shared" si="431"/>
        <v/>
      </c>
      <c r="IU56" s="5" t="str">
        <f t="shared" si="432"/>
        <v/>
      </c>
      <c r="IV56" s="670" t="str">
        <f t="shared" si="433"/>
        <v/>
      </c>
      <c r="IW56" s="9" t="str">
        <f t="shared" si="434"/>
        <v/>
      </c>
      <c r="IX56" s="5" t="str">
        <f t="shared" si="435"/>
        <v/>
      </c>
      <c r="IY56" s="5" t="str">
        <f t="shared" si="436"/>
        <v/>
      </c>
      <c r="IZ56" s="5" t="str">
        <f t="shared" si="437"/>
        <v/>
      </c>
      <c r="JA56" s="705" t="str">
        <f t="shared" si="438"/>
        <v/>
      </c>
    </row>
    <row r="57" spans="1:261" ht="15" customHeight="1" x14ac:dyDescent="0.25">
      <c r="A57" s="75">
        <f t="shared" si="256"/>
        <v>0.02</v>
      </c>
      <c r="B57" s="578">
        <f t="shared" si="515"/>
        <v>-0.36524089055875675</v>
      </c>
      <c r="C57" s="572">
        <f t="shared" si="516"/>
        <v>-3.6725484360071206</v>
      </c>
      <c r="D57" s="576">
        <f t="shared" si="517"/>
        <v>-0.24835308133578413</v>
      </c>
      <c r="E57" s="580">
        <f t="shared" si="518"/>
        <v>0.94295431762086424</v>
      </c>
      <c r="F57" s="572">
        <f t="shared" si="519"/>
        <v>-0.20466584949397226</v>
      </c>
      <c r="G57" s="579">
        <f t="shared" si="520"/>
        <v>0.26258150150206921</v>
      </c>
      <c r="H57" s="580">
        <f t="shared" si="521"/>
        <v>0.3125</v>
      </c>
      <c r="I57" s="572">
        <f t="shared" si="522"/>
        <v>0.52</v>
      </c>
      <c r="J57" s="483">
        <f t="shared" si="523"/>
        <v>4.12</v>
      </c>
      <c r="K57" s="806">
        <f t="shared" si="524"/>
        <v>1613</v>
      </c>
      <c r="L57" s="309"/>
      <c r="M57" s="164">
        <f t="shared" si="267"/>
        <v>4.12</v>
      </c>
      <c r="N57" s="575">
        <f t="shared" si="268"/>
        <v>-0.36524089055875675</v>
      </c>
      <c r="O57" s="572">
        <f t="shared" si="269"/>
        <v>-3.6725484360071206</v>
      </c>
      <c r="P57" s="576">
        <f t="shared" si="270"/>
        <v>-0.24835308133578413</v>
      </c>
      <c r="Q57" s="528">
        <f t="shared" si="140"/>
        <v>264.32051733481433</v>
      </c>
      <c r="R57" s="572">
        <f t="shared" si="464"/>
        <v>3.690665647678546</v>
      </c>
      <c r="S57" s="577">
        <f t="shared" si="465"/>
        <v>-0.24835308133578413</v>
      </c>
      <c r="T57" s="578">
        <f t="shared" si="466"/>
        <v>-3.6752031193368326</v>
      </c>
      <c r="U57" s="572">
        <f t="shared" si="467"/>
        <v>0.33748326561670472</v>
      </c>
      <c r="V57" s="579">
        <f t="shared" si="468"/>
        <v>-0.24835308133578413</v>
      </c>
      <c r="W57" s="528">
        <f t="shared" si="253"/>
        <v>174.75340818068531</v>
      </c>
      <c r="X57" s="572">
        <f t="shared" si="469"/>
        <v>3.690665647678546</v>
      </c>
      <c r="Y57" s="573">
        <f t="shared" si="255"/>
        <v>-0.24835308133578413</v>
      </c>
      <c r="Z57" s="575">
        <f t="shared" si="271"/>
        <v>-0.94295431762086424</v>
      </c>
      <c r="AA57" s="572">
        <f t="shared" si="272"/>
        <v>0.20466584949397226</v>
      </c>
      <c r="AB57" s="572">
        <f t="shared" si="273"/>
        <v>-0.26258150150206921</v>
      </c>
      <c r="AC57" s="579">
        <f t="shared" si="470"/>
        <v>1</v>
      </c>
      <c r="AD57" s="580">
        <f t="shared" si="471"/>
        <v>-0.94295431762086424</v>
      </c>
      <c r="AE57" s="572">
        <f t="shared" si="472"/>
        <v>0.20466584949397226</v>
      </c>
      <c r="AF57" s="576">
        <f t="shared" si="473"/>
        <v>-0.26258150150206921</v>
      </c>
      <c r="AG57" s="545">
        <f t="shared" si="474"/>
        <v>37.934184901459446</v>
      </c>
      <c r="AH57" s="546">
        <f t="shared" si="475"/>
        <v>160.55376588801235</v>
      </c>
      <c r="AI57" s="528">
        <f t="shared" si="476"/>
        <v>-74.776705386408281</v>
      </c>
      <c r="AJ57" s="529">
        <f t="shared" si="477"/>
        <v>-102.24596116031526</v>
      </c>
      <c r="AK57" s="578">
        <f t="shared" si="478"/>
        <v>0.95857985503674892</v>
      </c>
      <c r="AL57" s="572">
        <f t="shared" si="479"/>
        <v>-0.11034317643898311</v>
      </c>
      <c r="AM57" s="577">
        <f t="shared" si="480"/>
        <v>-0.26258150150206921</v>
      </c>
      <c r="AN57" s="524">
        <f t="shared" si="481"/>
        <v>-22.793338283804125</v>
      </c>
      <c r="AO57" s="525">
        <f t="shared" si="525"/>
        <v>16.548323321314136</v>
      </c>
      <c r="AP57" s="528">
        <f t="shared" si="482"/>
        <v>-6.5664784951295854</v>
      </c>
      <c r="AQ57" s="529">
        <f t="shared" si="274"/>
        <v>1.2352099362113322</v>
      </c>
      <c r="AS57" s="932">
        <f t="shared" si="461"/>
        <v>174.75340818068531</v>
      </c>
      <c r="AT57" s="928">
        <f t="shared" si="275"/>
        <v>5.2092708941565979E-3</v>
      </c>
      <c r="AU57" s="418"/>
      <c r="AV57" s="164" t="str">
        <f t="shared" si="276"/>
        <v/>
      </c>
      <c r="AW57" s="797" t="str">
        <f>IFERROR(INDEX(MassProp!C$9:C$150,MATCH($M57,MassProp!$B$9:$B$150,0)),"")</f>
        <v/>
      </c>
      <c r="AX57" s="744" t="str">
        <f>IFERROR(INDEX(MassProp!D$9:D$150,MATCH($M57,MassProp!$B$9:$B$150,0)),"")</f>
        <v/>
      </c>
      <c r="AY57" s="731" t="str">
        <f>IFERROR(INDEX(MassProp!E$9:E$150,MATCH($M57,MassProp!$B$9:$B$150,0)),"")</f>
        <v/>
      </c>
      <c r="AZ57" s="297" t="str">
        <f t="shared" si="144"/>
        <v/>
      </c>
      <c r="BA57" s="296" t="str">
        <f t="shared" si="278"/>
        <v/>
      </c>
      <c r="BB57" s="177" t="str">
        <f t="shared" si="145"/>
        <v/>
      </c>
      <c r="BC57" s="9"/>
      <c r="BD57" s="5" t="str">
        <f t="shared" si="146"/>
        <v/>
      </c>
      <c r="BE57" s="6" t="str">
        <f t="shared" si="280"/>
        <v/>
      </c>
      <c r="BF57" s="4" t="str">
        <f t="shared" si="281"/>
        <v/>
      </c>
      <c r="BG57" s="5" t="str">
        <f t="shared" si="282"/>
        <v/>
      </c>
      <c r="BH57" s="10" t="str">
        <f t="shared" si="283"/>
        <v/>
      </c>
      <c r="BI57" s="9" t="str">
        <f t="shared" si="147"/>
        <v/>
      </c>
      <c r="BJ57" s="5" t="str">
        <f t="shared" si="285"/>
        <v/>
      </c>
      <c r="BK57" s="8" t="str">
        <f t="shared" si="286"/>
        <v/>
      </c>
      <c r="BL57" s="173" t="str">
        <f t="shared" si="287"/>
        <v/>
      </c>
      <c r="BM57" s="5" t="str">
        <f t="shared" si="288"/>
        <v/>
      </c>
      <c r="BN57" s="6" t="str">
        <f t="shared" si="289"/>
        <v/>
      </c>
      <c r="BO57" s="4" t="str">
        <f t="shared" si="148"/>
        <v/>
      </c>
      <c r="BP57" s="5" t="str">
        <f t="shared" si="239"/>
        <v/>
      </c>
      <c r="BQ57" s="5" t="str">
        <f t="shared" si="149"/>
        <v/>
      </c>
      <c r="BR57" s="6" t="str">
        <f t="shared" si="150"/>
        <v/>
      </c>
      <c r="BS57" s="4" t="str">
        <f t="shared" si="483"/>
        <v/>
      </c>
      <c r="BT57" s="5" t="str">
        <f t="shared" si="483"/>
        <v/>
      </c>
      <c r="BU57" s="10" t="str">
        <f t="shared" si="119"/>
        <v/>
      </c>
      <c r="BV57" s="9" t="str">
        <f t="shared" si="120"/>
        <v/>
      </c>
      <c r="BW57" s="5" t="str">
        <f t="shared" si="121"/>
        <v/>
      </c>
      <c r="BX57" s="8" t="str">
        <f t="shared" si="122"/>
        <v/>
      </c>
      <c r="BY57" s="173" t="str">
        <f t="shared" si="123"/>
        <v/>
      </c>
      <c r="BZ57" s="5" t="str">
        <f t="shared" si="124"/>
        <v/>
      </c>
      <c r="CA57" s="6" t="str">
        <f t="shared" si="125"/>
        <v/>
      </c>
      <c r="CB57" s="4" t="str">
        <f t="shared" si="151"/>
        <v/>
      </c>
      <c r="CC57" s="5" t="str">
        <f t="shared" si="152"/>
        <v/>
      </c>
      <c r="CD57" s="5" t="str">
        <f t="shared" si="153"/>
        <v/>
      </c>
      <c r="CE57" s="6" t="str">
        <f t="shared" si="154"/>
        <v/>
      </c>
      <c r="CF57" s="4" t="str">
        <f t="shared" si="155"/>
        <v/>
      </c>
      <c r="CG57" s="5" t="str">
        <f t="shared" si="156"/>
        <v/>
      </c>
      <c r="CH57" s="5" t="str">
        <f t="shared" si="157"/>
        <v/>
      </c>
      <c r="CI57" s="4" t="str">
        <f t="shared" si="126"/>
        <v/>
      </c>
      <c r="CJ57" s="5" t="str">
        <f t="shared" si="127"/>
        <v/>
      </c>
      <c r="CK57" s="8" t="str">
        <f t="shared" si="128"/>
        <v/>
      </c>
      <c r="CL57" s="173" t="str">
        <f t="shared" si="129"/>
        <v/>
      </c>
      <c r="CM57" s="5" t="str">
        <f t="shared" si="130"/>
        <v/>
      </c>
      <c r="CN57" s="6" t="str">
        <f t="shared" si="131"/>
        <v/>
      </c>
      <c r="CO57" s="167" t="str">
        <f t="shared" si="305"/>
        <v/>
      </c>
      <c r="CP57" s="4" t="str">
        <f t="shared" si="240"/>
        <v/>
      </c>
      <c r="CQ57" s="5" t="str">
        <f t="shared" si="241"/>
        <v/>
      </c>
      <c r="CR57" s="5" t="str">
        <f t="shared" si="158"/>
        <v/>
      </c>
      <c r="CS57" s="8" t="str">
        <f t="shared" si="159"/>
        <v/>
      </c>
      <c r="CT57" s="9" t="str">
        <f t="shared" si="160"/>
        <v/>
      </c>
      <c r="CU57" s="6" t="str">
        <f t="shared" si="161"/>
        <v/>
      </c>
      <c r="CV57" s="4" t="str">
        <f t="shared" si="242"/>
        <v/>
      </c>
      <c r="CW57" s="5" t="str">
        <f t="shared" si="162"/>
        <v/>
      </c>
      <c r="CX57" s="8" t="str">
        <f t="shared" si="163"/>
        <v/>
      </c>
      <c r="CY57" s="9" t="str">
        <f t="shared" si="164"/>
        <v/>
      </c>
      <c r="CZ57" s="5" t="str">
        <f t="shared" si="165"/>
        <v/>
      </c>
      <c r="DA57" s="6" t="str">
        <f t="shared" si="166"/>
        <v/>
      </c>
      <c r="DB57" s="4" t="str">
        <f t="shared" si="484"/>
        <v/>
      </c>
      <c r="DC57" s="5" t="str">
        <f t="shared" si="484"/>
        <v/>
      </c>
      <c r="DD57" s="10" t="str">
        <f t="shared" si="168"/>
        <v/>
      </c>
      <c r="DE57" s="9" t="str">
        <f t="shared" si="485"/>
        <v/>
      </c>
      <c r="DF57" s="5" t="str">
        <f t="shared" si="485"/>
        <v/>
      </c>
      <c r="DG57" s="10" t="str">
        <f t="shared" si="170"/>
        <v/>
      </c>
      <c r="DH57" s="70" t="str">
        <f t="shared" si="171"/>
        <v/>
      </c>
      <c r="DI57" s="4" t="str">
        <f t="shared" si="172"/>
        <v/>
      </c>
      <c r="DJ57" s="5" t="str">
        <f t="shared" si="173"/>
        <v/>
      </c>
      <c r="DK57" s="10" t="str">
        <f t="shared" si="174"/>
        <v/>
      </c>
      <c r="DL57" s="9" t="str">
        <f t="shared" si="175"/>
        <v/>
      </c>
      <c r="DM57" s="173" t="str">
        <f t="shared" si="176"/>
        <v/>
      </c>
      <c r="DN57" s="178" t="str">
        <f t="shared" si="177"/>
        <v/>
      </c>
      <c r="DO57" s="9" t="str">
        <f t="shared" si="178"/>
        <v/>
      </c>
      <c r="DP57" s="173" t="str">
        <f t="shared" si="179"/>
        <v/>
      </c>
      <c r="DQ57" s="11" t="str">
        <f t="shared" si="180"/>
        <v/>
      </c>
      <c r="DR57" s="173" t="str">
        <f t="shared" si="181"/>
        <v/>
      </c>
      <c r="DS57" s="5" t="str">
        <f t="shared" si="182"/>
        <v/>
      </c>
      <c r="DT57" s="5" t="str">
        <f t="shared" si="183"/>
        <v/>
      </c>
      <c r="DU57" s="5" t="str">
        <f t="shared" si="184"/>
        <v/>
      </c>
      <c r="DV57" s="5" t="str">
        <f t="shared" si="185"/>
        <v/>
      </c>
      <c r="DW57" s="5" t="str">
        <f t="shared" si="186"/>
        <v/>
      </c>
      <c r="DX57" s="167" t="str">
        <f t="shared" si="187"/>
        <v/>
      </c>
      <c r="DY57" s="9" t="str">
        <f t="shared" si="188"/>
        <v/>
      </c>
      <c r="DZ57" s="5" t="str">
        <f t="shared" si="189"/>
        <v/>
      </c>
      <c r="EA57" s="10" t="str">
        <f t="shared" si="190"/>
        <v/>
      </c>
      <c r="EB57" s="6" t="str">
        <f t="shared" si="191"/>
        <v/>
      </c>
      <c r="EC57" s="173" t="str">
        <f t="shared" si="192"/>
        <v/>
      </c>
      <c r="ED57" s="5" t="str">
        <f t="shared" si="193"/>
        <v/>
      </c>
      <c r="EE57" s="4" t="str">
        <f t="shared" si="194"/>
        <v/>
      </c>
      <c r="EF57" s="5" t="str">
        <f t="shared" si="195"/>
        <v/>
      </c>
      <c r="EG57" s="10" t="str">
        <f t="shared" si="196"/>
        <v/>
      </c>
      <c r="EH57" s="9" t="str">
        <f t="shared" si="197"/>
        <v/>
      </c>
      <c r="EI57" s="5" t="str">
        <f t="shared" si="198"/>
        <v/>
      </c>
      <c r="EJ57" s="6" t="str">
        <f t="shared" si="199"/>
        <v/>
      </c>
      <c r="EK57" s="236" t="str">
        <f t="shared" si="200"/>
        <v/>
      </c>
      <c r="EL57" s="238" t="str">
        <f t="shared" si="201"/>
        <v/>
      </c>
      <c r="EM57" s="4" t="str">
        <f t="shared" si="202"/>
        <v/>
      </c>
      <c r="EN57" s="5" t="str">
        <f t="shared" si="203"/>
        <v/>
      </c>
      <c r="EO57" s="10" t="str">
        <f t="shared" si="204"/>
        <v/>
      </c>
      <c r="EP57" s="9" t="str">
        <f t="shared" si="205"/>
        <v/>
      </c>
      <c r="EQ57" s="5" t="str">
        <f t="shared" si="206"/>
        <v/>
      </c>
      <c r="ER57" s="7" t="str">
        <f t="shared" si="207"/>
        <v/>
      </c>
      <c r="ES57" s="21" t="str">
        <f t="shared" si="352"/>
        <v/>
      </c>
      <c r="ET57" s="5" t="str">
        <f t="shared" si="353"/>
        <v/>
      </c>
      <c r="EU57" s="10" t="str">
        <f t="shared" si="354"/>
        <v/>
      </c>
      <c r="EV57" s="174" t="str">
        <f t="shared" si="486"/>
        <v/>
      </c>
      <c r="EW57" s="9" t="str">
        <f t="shared" si="487"/>
        <v/>
      </c>
      <c r="EX57" s="5" t="str">
        <f t="shared" si="488"/>
        <v/>
      </c>
      <c r="EY57" s="6" t="str">
        <f t="shared" si="208"/>
        <v/>
      </c>
      <c r="EZ57" s="51" t="str">
        <f t="shared" si="209"/>
        <v/>
      </c>
      <c r="FA57" s="173" t="str">
        <f t="shared" si="489"/>
        <v/>
      </c>
      <c r="FB57" s="5" t="str">
        <f t="shared" si="490"/>
        <v/>
      </c>
      <c r="FC57" s="6" t="str">
        <f t="shared" si="491"/>
        <v/>
      </c>
      <c r="FD57" s="4" t="str">
        <f t="shared" si="492"/>
        <v/>
      </c>
      <c r="FE57" s="5" t="str">
        <f t="shared" si="493"/>
        <v/>
      </c>
      <c r="FF57" s="7" t="str">
        <f t="shared" si="210"/>
        <v/>
      </c>
      <c r="FG57" s="173" t="str">
        <f t="shared" si="494"/>
        <v/>
      </c>
      <c r="FH57" s="5" t="str">
        <f t="shared" si="495"/>
        <v/>
      </c>
      <c r="FI57" s="10" t="str">
        <f t="shared" si="496"/>
        <v/>
      </c>
      <c r="FJ57" s="279" t="str">
        <f t="shared" si="212"/>
        <v/>
      </c>
      <c r="FK57" s="4" t="str">
        <f t="shared" si="497"/>
        <v/>
      </c>
      <c r="FL57" s="5" t="str">
        <f t="shared" si="213"/>
        <v/>
      </c>
      <c r="FM57" s="8" t="str">
        <f t="shared" si="214"/>
        <v/>
      </c>
      <c r="FN57" s="9" t="str">
        <f t="shared" si="215"/>
        <v/>
      </c>
      <c r="FO57" s="10" t="str">
        <f t="shared" si="498"/>
        <v/>
      </c>
      <c r="FP57" s="277" t="str">
        <f t="shared" si="499"/>
        <v/>
      </c>
      <c r="FQ57" s="173" t="str">
        <f t="shared" si="243"/>
        <v/>
      </c>
      <c r="FR57" s="10" t="str">
        <f t="shared" si="216"/>
        <v/>
      </c>
      <c r="FS57" s="9" t="str">
        <f t="shared" si="217"/>
        <v/>
      </c>
      <c r="FT57" s="6" t="str">
        <f t="shared" si="218"/>
        <v/>
      </c>
      <c r="FU57" s="4" t="str">
        <f t="shared" si="219"/>
        <v/>
      </c>
      <c r="FV57" s="5" t="str">
        <f t="shared" si="220"/>
        <v/>
      </c>
      <c r="FW57" s="8" t="str">
        <f t="shared" si="244"/>
        <v/>
      </c>
      <c r="FX57" s="9" t="str">
        <f t="shared" si="245"/>
        <v/>
      </c>
      <c r="FY57" s="10" t="str">
        <f t="shared" si="500"/>
        <v/>
      </c>
      <c r="FZ57" s="277" t="str">
        <f t="shared" si="246"/>
        <v/>
      </c>
      <c r="GA57" s="177" t="str">
        <f t="shared" si="221"/>
        <v/>
      </c>
      <c r="GB57" s="4" t="str">
        <f t="shared" si="222"/>
        <v/>
      </c>
      <c r="GC57" s="5" t="str">
        <f t="shared" si="223"/>
        <v/>
      </c>
      <c r="GD57" s="10" t="str">
        <f t="shared" si="224"/>
        <v/>
      </c>
      <c r="GE57" s="311" t="str">
        <f t="shared" si="225"/>
        <v/>
      </c>
      <c r="GF57" s="341" t="str">
        <f t="shared" si="247"/>
        <v/>
      </c>
      <c r="GG57" s="285" t="str">
        <f t="shared" si="501"/>
        <v/>
      </c>
      <c r="GH57" s="286" t="str">
        <f t="shared" si="502"/>
        <v/>
      </c>
      <c r="GI57" s="281" t="str">
        <f t="shared" si="503"/>
        <v/>
      </c>
      <c r="GJ57" s="167" t="str">
        <f t="shared" si="226"/>
        <v/>
      </c>
      <c r="GK57" s="174" t="str">
        <f t="shared" si="504"/>
        <v/>
      </c>
      <c r="GL57" s="174" t="str">
        <f t="shared" si="227"/>
        <v/>
      </c>
      <c r="GM57" s="177" t="str">
        <f t="shared" si="248"/>
        <v/>
      </c>
      <c r="GN57" s="280" t="str">
        <f t="shared" si="228"/>
        <v/>
      </c>
      <c r="GO57" s="4" t="str">
        <f t="shared" si="229"/>
        <v/>
      </c>
      <c r="GP57" s="8" t="str">
        <f t="shared" si="249"/>
        <v/>
      </c>
      <c r="GQ57" s="177" t="str">
        <f t="shared" si="230"/>
        <v/>
      </c>
      <c r="GR57" s="371" t="str">
        <f t="shared" si="250"/>
        <v/>
      </c>
      <c r="GS57" s="342" t="str">
        <f t="shared" si="505"/>
        <v/>
      </c>
      <c r="GT57" s="343" t="str">
        <f t="shared" si="506"/>
        <v/>
      </c>
      <c r="GU57" s="344" t="str">
        <f t="shared" si="507"/>
        <v/>
      </c>
      <c r="GV57" s="343" t="str">
        <f t="shared" si="252"/>
        <v/>
      </c>
      <c r="GW57" s="345" t="str">
        <f t="shared" si="508"/>
        <v/>
      </c>
      <c r="GX57" s="346" t="str">
        <f t="shared" si="509"/>
        <v/>
      </c>
      <c r="GY57" s="344" t="str">
        <f t="shared" si="510"/>
        <v/>
      </c>
      <c r="GZ57" s="345" t="str">
        <f t="shared" si="511"/>
        <v/>
      </c>
      <c r="HA57" s="342" t="str">
        <f t="shared" si="512"/>
        <v/>
      </c>
      <c r="HB57" s="5" t="str">
        <f t="shared" si="231"/>
        <v/>
      </c>
      <c r="HC57" s="343" t="str">
        <f t="shared" si="232"/>
        <v/>
      </c>
      <c r="HD57" s="363" t="str">
        <f t="shared" si="233"/>
        <v/>
      </c>
      <c r="HE57" s="344" t="str">
        <f t="shared" si="513"/>
        <v/>
      </c>
      <c r="HF57" s="5" t="str">
        <f t="shared" si="514"/>
        <v/>
      </c>
      <c r="HG57" s="343" t="str">
        <f t="shared" si="234"/>
        <v/>
      </c>
      <c r="HH57" s="349" t="str">
        <f t="shared" si="235"/>
        <v/>
      </c>
      <c r="HI57" s="317" t="str">
        <f t="shared" si="408"/>
        <v/>
      </c>
      <c r="HK57" s="310" t="str">
        <f t="shared" si="459"/>
        <v/>
      </c>
      <c r="HL57" s="348" t="str">
        <f t="shared" si="409"/>
        <v/>
      </c>
      <c r="HM57" s="909" t="str">
        <f t="shared" si="410"/>
        <v/>
      </c>
      <c r="HN57" s="910" t="str">
        <f t="shared" si="411"/>
        <v/>
      </c>
      <c r="HO57" s="911"/>
      <c r="HP57" s="912"/>
      <c r="HQ57" s="910" t="str">
        <f t="shared" si="412"/>
        <v/>
      </c>
      <c r="HR57" s="913" t="str">
        <f t="shared" si="413"/>
        <v/>
      </c>
      <c r="HS57" s="865" t="str">
        <f t="shared" si="460"/>
        <v/>
      </c>
      <c r="HT57" s="875" t="str">
        <f t="shared" si="414"/>
        <v/>
      </c>
      <c r="HU57" s="876" t="str">
        <f t="shared" si="415"/>
        <v/>
      </c>
      <c r="HV57" s="872" t="str">
        <f t="shared" si="416"/>
        <v/>
      </c>
      <c r="HW57" s="866" t="str">
        <f t="shared" si="417"/>
        <v/>
      </c>
      <c r="HX57" s="867" t="str">
        <f t="shared" si="418"/>
        <v/>
      </c>
      <c r="HY57" s="866" t="str">
        <f t="shared" si="419"/>
        <v/>
      </c>
      <c r="HZ57" s="868" t="str">
        <f t="shared" si="420"/>
        <v/>
      </c>
      <c r="IA57" s="869" t="str">
        <f t="shared" si="421"/>
        <v/>
      </c>
      <c r="IB57" s="870" t="str">
        <f t="shared" si="422"/>
        <v/>
      </c>
      <c r="IC57" s="841" t="str">
        <f t="shared" si="423"/>
        <v/>
      </c>
      <c r="ID57" s="351" t="str">
        <f t="shared" si="424"/>
        <v/>
      </c>
      <c r="IE57" s="843" t="str">
        <f t="shared" si="425"/>
        <v/>
      </c>
      <c r="IF57" s="844"/>
      <c r="IG57" s="790" t="str">
        <f>IFERROR(IF($IW57="","",IF($IW57&lt;(((Settings!$C$19/2)*-1)*$IG$8),"Taper","Nose")),"")</f>
        <v/>
      </c>
      <c r="IH57" s="482" t="str">
        <f>IFERROR(IF((((($IY57*COS(RADIANS(180-$JA57)))*COS(RADIANS($JA57)))-(($IZ57*SIN(RADIANS(180-$JA57)))*SIN(RADIANS($JA57))))+$IW57)&lt;(((Settings!$C$19+$IH$8)/2)*-1),"Gage",""),"")</f>
        <v/>
      </c>
      <c r="II57" s="788">
        <f t="shared" si="236"/>
        <v>4.12</v>
      </c>
      <c r="IJ57" s="674" t="str" cm="1">
        <f t="array" ref="IJ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K57" s="677" t="str" cm="1">
        <f t="array" ref="IK57">IFERROR(ROUND(VALUE(IF($IJ57&lt;1,$IJ57+LARGE((IF($M$9:$M$150="",0,$M$9:$M$150)-MOD(IF($M$9:$M$150="",0,$M$9:$M$150),1)),1),$IJ57)),4),"")</f>
        <v/>
      </c>
      <c r="IL57" s="482">
        <f t="shared" si="426"/>
        <v>1613</v>
      </c>
      <c r="IM57" s="482" t="str">
        <f t="shared" si="237"/>
        <v/>
      </c>
      <c r="IN57" s="670" t="str">
        <f t="shared" si="427"/>
        <v/>
      </c>
      <c r="IO57" s="702"/>
      <c r="IP57" s="5" t="str">
        <f t="shared" si="428"/>
        <v/>
      </c>
      <c r="IQ57" s="714"/>
      <c r="IR57" s="9" t="str">
        <f t="shared" si="429"/>
        <v/>
      </c>
      <c r="IS57" s="5" t="str">
        <f t="shared" si="430"/>
        <v/>
      </c>
      <c r="IT57" s="5" t="str">
        <f t="shared" si="431"/>
        <v/>
      </c>
      <c r="IU57" s="5" t="str">
        <f t="shared" si="432"/>
        <v/>
      </c>
      <c r="IV57" s="670" t="str">
        <f t="shared" si="433"/>
        <v/>
      </c>
      <c r="IW57" s="9" t="str">
        <f t="shared" si="434"/>
        <v/>
      </c>
      <c r="IX57" s="5" t="str">
        <f t="shared" si="435"/>
        <v/>
      </c>
      <c r="IY57" s="5" t="str">
        <f t="shared" si="436"/>
        <v/>
      </c>
      <c r="IZ57" s="5" t="str">
        <f t="shared" si="437"/>
        <v/>
      </c>
      <c r="JA57" s="705" t="str">
        <f t="shared" si="438"/>
        <v/>
      </c>
    </row>
    <row r="58" spans="1:261" ht="15" customHeight="1" x14ac:dyDescent="0.25">
      <c r="A58" s="75">
        <f t="shared" si="256"/>
        <v>0.02</v>
      </c>
      <c r="B58" s="578">
        <f t="shared" si="515"/>
        <v>-0.48057004948911514</v>
      </c>
      <c r="C58" s="572">
        <f t="shared" si="516"/>
        <v>-4.3135485029157996</v>
      </c>
      <c r="D58" s="576">
        <f t="shared" si="517"/>
        <v>-0.65533994179153465</v>
      </c>
      <c r="E58" s="580">
        <f t="shared" si="518"/>
        <v>0.90519782704199592</v>
      </c>
      <c r="F58" s="572">
        <f t="shared" si="519"/>
        <v>-0.33477862210177334</v>
      </c>
      <c r="G58" s="579">
        <f t="shared" si="520"/>
        <v>0.2618017725342725</v>
      </c>
      <c r="H58" s="580">
        <f t="shared" si="521"/>
        <v>0.3125</v>
      </c>
      <c r="I58" s="572">
        <f t="shared" si="522"/>
        <v>0.52</v>
      </c>
      <c r="J58" s="483">
        <f t="shared" si="523"/>
        <v>4.1260000000000003</v>
      </c>
      <c r="K58" s="806">
        <f t="shared" si="524"/>
        <v>1613</v>
      </c>
      <c r="L58" s="309"/>
      <c r="M58" s="164">
        <f t="shared" si="267"/>
        <v>4.1260000000000003</v>
      </c>
      <c r="N58" s="575">
        <f t="shared" si="268"/>
        <v>-0.48057004948911514</v>
      </c>
      <c r="O58" s="572">
        <f t="shared" si="269"/>
        <v>-4.3135485029157996</v>
      </c>
      <c r="P58" s="576">
        <f t="shared" si="270"/>
        <v>-0.65533994179153465</v>
      </c>
      <c r="Q58" s="528">
        <f t="shared" si="140"/>
        <v>263.6429239263046</v>
      </c>
      <c r="R58" s="572">
        <f t="shared" si="464"/>
        <v>4.340235968178817</v>
      </c>
      <c r="S58" s="577">
        <f t="shared" si="465"/>
        <v>-0.65533994179153465</v>
      </c>
      <c r="T58" s="578">
        <f t="shared" si="466"/>
        <v>-4.3170562372713901</v>
      </c>
      <c r="U58" s="572">
        <f t="shared" si="467"/>
        <v>0.44796618589944709</v>
      </c>
      <c r="V58" s="579">
        <f t="shared" si="468"/>
        <v>-0.65533994179153465</v>
      </c>
      <c r="W58" s="528">
        <f t="shared" si="253"/>
        <v>174.07581477217559</v>
      </c>
      <c r="X58" s="572">
        <f t="shared" si="469"/>
        <v>4.340235968178817</v>
      </c>
      <c r="Y58" s="573">
        <f t="shared" si="255"/>
        <v>-0.65533994179153465</v>
      </c>
      <c r="Z58" s="575">
        <f t="shared" si="271"/>
        <v>-0.90519782704199592</v>
      </c>
      <c r="AA58" s="572">
        <f t="shared" si="272"/>
        <v>0.33477862210177334</v>
      </c>
      <c r="AB58" s="572">
        <f t="shared" si="273"/>
        <v>-0.2618017725342725</v>
      </c>
      <c r="AC58" s="579">
        <f t="shared" si="470"/>
        <v>1</v>
      </c>
      <c r="AD58" s="580">
        <f t="shared" si="471"/>
        <v>-0.90519782704199592</v>
      </c>
      <c r="AE58" s="572">
        <f t="shared" si="472"/>
        <v>0.33477862210177334</v>
      </c>
      <c r="AF58" s="576">
        <f t="shared" si="473"/>
        <v>-0.2618017725342725</v>
      </c>
      <c r="AG58" s="545">
        <f t="shared" si="474"/>
        <v>51.974073187703624</v>
      </c>
      <c r="AH58" s="546">
        <f t="shared" si="475"/>
        <v>154.84994022621774</v>
      </c>
      <c r="AI58" s="528">
        <f t="shared" si="476"/>
        <v>-74.823000150985678</v>
      </c>
      <c r="AJ58" s="529">
        <f t="shared" si="477"/>
        <v>-110.29642420183819</v>
      </c>
      <c r="AK58" s="578">
        <f t="shared" si="478"/>
        <v>0.93670006434624487</v>
      </c>
      <c r="AL58" s="572">
        <f t="shared" si="479"/>
        <v>-0.23249262644577334</v>
      </c>
      <c r="AM58" s="577">
        <f t="shared" si="480"/>
        <v>-0.2618017725342725</v>
      </c>
      <c r="AN58" s="524">
        <f t="shared" si="481"/>
        <v>-41.606624611766414</v>
      </c>
      <c r="AO58" s="525">
        <f t="shared" si="525"/>
        <v>20.495439001035297</v>
      </c>
      <c r="AP58" s="528">
        <f t="shared" si="482"/>
        <v>-13.939348128142811</v>
      </c>
      <c r="AQ58" s="529">
        <f t="shared" si="274"/>
        <v>1.0503904602268681</v>
      </c>
      <c r="AS58" s="932">
        <f t="shared" si="461"/>
        <v>174.07581477217559</v>
      </c>
      <c r="AT58" s="928">
        <f t="shared" si="275"/>
        <v>-0.40083648760533042</v>
      </c>
      <c r="AU58" s="418"/>
      <c r="AV58" s="164" t="str">
        <f t="shared" si="276"/>
        <v/>
      </c>
      <c r="AW58" s="797" t="str">
        <f>IFERROR(INDEX(MassProp!C$9:C$150,MATCH($M58,MassProp!$B$9:$B$150,0)),"")</f>
        <v/>
      </c>
      <c r="AX58" s="744" t="str">
        <f>IFERROR(INDEX(MassProp!D$9:D$150,MATCH($M58,MassProp!$B$9:$B$150,0)),"")</f>
        <v/>
      </c>
      <c r="AY58" s="731" t="str">
        <f>IFERROR(INDEX(MassProp!E$9:E$150,MATCH($M58,MassProp!$B$9:$B$150,0)),"")</f>
        <v/>
      </c>
      <c r="AZ58" s="297" t="str">
        <f t="shared" si="144"/>
        <v/>
      </c>
      <c r="BA58" s="296" t="str">
        <f t="shared" si="278"/>
        <v/>
      </c>
      <c r="BB58" s="177" t="str">
        <f t="shared" si="145"/>
        <v/>
      </c>
      <c r="BC58" s="9"/>
      <c r="BD58" s="5" t="str">
        <f t="shared" si="146"/>
        <v/>
      </c>
      <c r="BE58" s="6" t="str">
        <f t="shared" si="280"/>
        <v/>
      </c>
      <c r="BF58" s="4" t="str">
        <f t="shared" si="281"/>
        <v/>
      </c>
      <c r="BG58" s="5" t="str">
        <f t="shared" si="282"/>
        <v/>
      </c>
      <c r="BH58" s="10" t="str">
        <f t="shared" si="283"/>
        <v/>
      </c>
      <c r="BI58" s="9" t="str">
        <f t="shared" si="147"/>
        <v/>
      </c>
      <c r="BJ58" s="5" t="str">
        <f t="shared" si="285"/>
        <v/>
      </c>
      <c r="BK58" s="8" t="str">
        <f t="shared" si="286"/>
        <v/>
      </c>
      <c r="BL58" s="173" t="str">
        <f t="shared" si="287"/>
        <v/>
      </c>
      <c r="BM58" s="5" t="str">
        <f t="shared" si="288"/>
        <v/>
      </c>
      <c r="BN58" s="6" t="str">
        <f t="shared" si="289"/>
        <v/>
      </c>
      <c r="BO58" s="4" t="str">
        <f t="shared" si="148"/>
        <v/>
      </c>
      <c r="BP58" s="5" t="str">
        <f t="shared" si="239"/>
        <v/>
      </c>
      <c r="BQ58" s="5" t="str">
        <f t="shared" si="149"/>
        <v/>
      </c>
      <c r="BR58" s="6" t="str">
        <f t="shared" si="150"/>
        <v/>
      </c>
      <c r="BS58" s="4" t="str">
        <f t="shared" si="483"/>
        <v/>
      </c>
      <c r="BT58" s="5" t="str">
        <f t="shared" si="483"/>
        <v/>
      </c>
      <c r="BU58" s="10" t="str">
        <f t="shared" si="119"/>
        <v/>
      </c>
      <c r="BV58" s="9" t="str">
        <f t="shared" si="120"/>
        <v/>
      </c>
      <c r="BW58" s="5" t="str">
        <f t="shared" si="121"/>
        <v/>
      </c>
      <c r="BX58" s="8" t="str">
        <f t="shared" si="122"/>
        <v/>
      </c>
      <c r="BY58" s="173" t="str">
        <f t="shared" si="123"/>
        <v/>
      </c>
      <c r="BZ58" s="5" t="str">
        <f t="shared" si="124"/>
        <v/>
      </c>
      <c r="CA58" s="6" t="str">
        <f t="shared" si="125"/>
        <v/>
      </c>
      <c r="CB58" s="4" t="str">
        <f t="shared" si="151"/>
        <v/>
      </c>
      <c r="CC58" s="5" t="str">
        <f t="shared" si="152"/>
        <v/>
      </c>
      <c r="CD58" s="5" t="str">
        <f t="shared" si="153"/>
        <v/>
      </c>
      <c r="CE58" s="6" t="str">
        <f t="shared" si="154"/>
        <v/>
      </c>
      <c r="CF58" s="4" t="str">
        <f t="shared" si="155"/>
        <v/>
      </c>
      <c r="CG58" s="5" t="str">
        <f t="shared" si="156"/>
        <v/>
      </c>
      <c r="CH58" s="5" t="str">
        <f t="shared" si="157"/>
        <v/>
      </c>
      <c r="CI58" s="4" t="str">
        <f t="shared" si="126"/>
        <v/>
      </c>
      <c r="CJ58" s="5" t="str">
        <f t="shared" si="127"/>
        <v/>
      </c>
      <c r="CK58" s="8" t="str">
        <f t="shared" si="128"/>
        <v/>
      </c>
      <c r="CL58" s="173" t="str">
        <f t="shared" si="129"/>
        <v/>
      </c>
      <c r="CM58" s="5" t="str">
        <f t="shared" si="130"/>
        <v/>
      </c>
      <c r="CN58" s="6" t="str">
        <f t="shared" si="131"/>
        <v/>
      </c>
      <c r="CO58" s="167" t="str">
        <f t="shared" si="305"/>
        <v/>
      </c>
      <c r="CP58" s="4" t="str">
        <f t="shared" si="240"/>
        <v/>
      </c>
      <c r="CQ58" s="5" t="str">
        <f t="shared" si="241"/>
        <v/>
      </c>
      <c r="CR58" s="5" t="str">
        <f t="shared" si="158"/>
        <v/>
      </c>
      <c r="CS58" s="8" t="str">
        <f t="shared" si="159"/>
        <v/>
      </c>
      <c r="CT58" s="9" t="str">
        <f t="shared" si="160"/>
        <v/>
      </c>
      <c r="CU58" s="6" t="str">
        <f t="shared" si="161"/>
        <v/>
      </c>
      <c r="CV58" s="4" t="str">
        <f t="shared" si="242"/>
        <v/>
      </c>
      <c r="CW58" s="5" t="str">
        <f t="shared" si="162"/>
        <v/>
      </c>
      <c r="CX58" s="8" t="str">
        <f t="shared" si="163"/>
        <v/>
      </c>
      <c r="CY58" s="9" t="str">
        <f t="shared" si="164"/>
        <v/>
      </c>
      <c r="CZ58" s="5" t="str">
        <f t="shared" si="165"/>
        <v/>
      </c>
      <c r="DA58" s="6" t="str">
        <f t="shared" si="166"/>
        <v/>
      </c>
      <c r="DB58" s="4" t="str">
        <f t="shared" si="484"/>
        <v/>
      </c>
      <c r="DC58" s="5" t="str">
        <f t="shared" si="484"/>
        <v/>
      </c>
      <c r="DD58" s="10" t="str">
        <f t="shared" si="168"/>
        <v/>
      </c>
      <c r="DE58" s="9" t="str">
        <f t="shared" si="485"/>
        <v/>
      </c>
      <c r="DF58" s="5" t="str">
        <f t="shared" si="485"/>
        <v/>
      </c>
      <c r="DG58" s="10" t="str">
        <f t="shared" si="170"/>
        <v/>
      </c>
      <c r="DH58" s="70" t="str">
        <f t="shared" si="171"/>
        <v/>
      </c>
      <c r="DI58" s="4" t="str">
        <f t="shared" si="172"/>
        <v/>
      </c>
      <c r="DJ58" s="5" t="str">
        <f t="shared" si="173"/>
        <v/>
      </c>
      <c r="DK58" s="10" t="str">
        <f t="shared" si="174"/>
        <v/>
      </c>
      <c r="DL58" s="9" t="str">
        <f t="shared" si="175"/>
        <v/>
      </c>
      <c r="DM58" s="173" t="str">
        <f t="shared" si="176"/>
        <v/>
      </c>
      <c r="DN58" s="178" t="str">
        <f t="shared" si="177"/>
        <v/>
      </c>
      <c r="DO58" s="9" t="str">
        <f t="shared" si="178"/>
        <v/>
      </c>
      <c r="DP58" s="173" t="str">
        <f t="shared" si="179"/>
        <v/>
      </c>
      <c r="DQ58" s="11" t="str">
        <f t="shared" si="180"/>
        <v/>
      </c>
      <c r="DR58" s="173" t="str">
        <f t="shared" si="181"/>
        <v/>
      </c>
      <c r="DS58" s="5" t="str">
        <f t="shared" si="182"/>
        <v/>
      </c>
      <c r="DT58" s="5" t="str">
        <f t="shared" si="183"/>
        <v/>
      </c>
      <c r="DU58" s="5" t="str">
        <f t="shared" si="184"/>
        <v/>
      </c>
      <c r="DV58" s="5" t="str">
        <f t="shared" si="185"/>
        <v/>
      </c>
      <c r="DW58" s="5" t="str">
        <f t="shared" si="186"/>
        <v/>
      </c>
      <c r="DX58" s="167" t="str">
        <f t="shared" si="187"/>
        <v/>
      </c>
      <c r="DY58" s="9" t="str">
        <f t="shared" si="188"/>
        <v/>
      </c>
      <c r="DZ58" s="5" t="str">
        <f t="shared" si="189"/>
        <v/>
      </c>
      <c r="EA58" s="10" t="str">
        <f t="shared" si="190"/>
        <v/>
      </c>
      <c r="EB58" s="6" t="str">
        <f t="shared" si="191"/>
        <v/>
      </c>
      <c r="EC58" s="173" t="str">
        <f t="shared" si="192"/>
        <v/>
      </c>
      <c r="ED58" s="5" t="str">
        <f t="shared" si="193"/>
        <v/>
      </c>
      <c r="EE58" s="4" t="str">
        <f t="shared" si="194"/>
        <v/>
      </c>
      <c r="EF58" s="5" t="str">
        <f t="shared" si="195"/>
        <v/>
      </c>
      <c r="EG58" s="10" t="str">
        <f t="shared" si="196"/>
        <v/>
      </c>
      <c r="EH58" s="9" t="str">
        <f t="shared" si="197"/>
        <v/>
      </c>
      <c r="EI58" s="5" t="str">
        <f t="shared" si="198"/>
        <v/>
      </c>
      <c r="EJ58" s="6" t="str">
        <f t="shared" si="199"/>
        <v/>
      </c>
      <c r="EK58" s="236" t="str">
        <f t="shared" si="200"/>
        <v/>
      </c>
      <c r="EL58" s="238" t="str">
        <f t="shared" si="201"/>
        <v/>
      </c>
      <c r="EM58" s="4" t="str">
        <f t="shared" si="202"/>
        <v/>
      </c>
      <c r="EN58" s="5" t="str">
        <f t="shared" si="203"/>
        <v/>
      </c>
      <c r="EO58" s="10" t="str">
        <f t="shared" si="204"/>
        <v/>
      </c>
      <c r="EP58" s="9" t="str">
        <f t="shared" si="205"/>
        <v/>
      </c>
      <c r="EQ58" s="5" t="str">
        <f t="shared" si="206"/>
        <v/>
      </c>
      <c r="ER58" s="7" t="str">
        <f t="shared" si="207"/>
        <v/>
      </c>
      <c r="ES58" s="21" t="str">
        <f t="shared" si="352"/>
        <v/>
      </c>
      <c r="ET58" s="5" t="str">
        <f t="shared" si="353"/>
        <v/>
      </c>
      <c r="EU58" s="10" t="str">
        <f t="shared" si="354"/>
        <v/>
      </c>
      <c r="EV58" s="174" t="str">
        <f t="shared" si="486"/>
        <v/>
      </c>
      <c r="EW58" s="9" t="str">
        <f t="shared" si="487"/>
        <v/>
      </c>
      <c r="EX58" s="5" t="str">
        <f t="shared" si="488"/>
        <v/>
      </c>
      <c r="EY58" s="6" t="str">
        <f t="shared" si="208"/>
        <v/>
      </c>
      <c r="EZ58" s="51" t="str">
        <f t="shared" si="209"/>
        <v/>
      </c>
      <c r="FA58" s="173" t="str">
        <f t="shared" si="489"/>
        <v/>
      </c>
      <c r="FB58" s="5" t="str">
        <f t="shared" si="490"/>
        <v/>
      </c>
      <c r="FC58" s="6" t="str">
        <f t="shared" si="491"/>
        <v/>
      </c>
      <c r="FD58" s="4" t="str">
        <f t="shared" si="492"/>
        <v/>
      </c>
      <c r="FE58" s="5" t="str">
        <f t="shared" si="493"/>
        <v/>
      </c>
      <c r="FF58" s="7" t="str">
        <f t="shared" si="210"/>
        <v/>
      </c>
      <c r="FG58" s="173" t="str">
        <f t="shared" si="494"/>
        <v/>
      </c>
      <c r="FH58" s="5" t="str">
        <f t="shared" si="495"/>
        <v/>
      </c>
      <c r="FI58" s="10" t="str">
        <f t="shared" si="496"/>
        <v/>
      </c>
      <c r="FJ58" s="279" t="str">
        <f t="shared" si="212"/>
        <v/>
      </c>
      <c r="FK58" s="4" t="str">
        <f t="shared" si="497"/>
        <v/>
      </c>
      <c r="FL58" s="5" t="str">
        <f t="shared" si="213"/>
        <v/>
      </c>
      <c r="FM58" s="8" t="str">
        <f t="shared" si="214"/>
        <v/>
      </c>
      <c r="FN58" s="9" t="str">
        <f t="shared" si="215"/>
        <v/>
      </c>
      <c r="FO58" s="10" t="str">
        <f t="shared" si="498"/>
        <v/>
      </c>
      <c r="FP58" s="277" t="str">
        <f t="shared" si="499"/>
        <v/>
      </c>
      <c r="FQ58" s="173" t="str">
        <f t="shared" si="243"/>
        <v/>
      </c>
      <c r="FR58" s="10" t="str">
        <f t="shared" si="216"/>
        <v/>
      </c>
      <c r="FS58" s="9" t="str">
        <f t="shared" si="217"/>
        <v/>
      </c>
      <c r="FT58" s="6" t="str">
        <f t="shared" si="218"/>
        <v/>
      </c>
      <c r="FU58" s="4" t="str">
        <f t="shared" si="219"/>
        <v/>
      </c>
      <c r="FV58" s="5" t="str">
        <f t="shared" si="220"/>
        <v/>
      </c>
      <c r="FW58" s="8" t="str">
        <f t="shared" si="244"/>
        <v/>
      </c>
      <c r="FX58" s="9" t="str">
        <f t="shared" si="245"/>
        <v/>
      </c>
      <c r="FY58" s="10" t="str">
        <f t="shared" si="500"/>
        <v/>
      </c>
      <c r="FZ58" s="277" t="str">
        <f t="shared" si="246"/>
        <v/>
      </c>
      <c r="GA58" s="177" t="str">
        <f t="shared" si="221"/>
        <v/>
      </c>
      <c r="GB58" s="4" t="str">
        <f t="shared" si="222"/>
        <v/>
      </c>
      <c r="GC58" s="5" t="str">
        <f t="shared" si="223"/>
        <v/>
      </c>
      <c r="GD58" s="10" t="str">
        <f t="shared" si="224"/>
        <v/>
      </c>
      <c r="GE58" s="311" t="str">
        <f t="shared" si="225"/>
        <v/>
      </c>
      <c r="GF58" s="341" t="str">
        <f t="shared" si="247"/>
        <v/>
      </c>
      <c r="GG58" s="285" t="str">
        <f t="shared" si="501"/>
        <v/>
      </c>
      <c r="GH58" s="286" t="str">
        <f t="shared" si="502"/>
        <v/>
      </c>
      <c r="GI58" s="281" t="str">
        <f t="shared" si="503"/>
        <v/>
      </c>
      <c r="GJ58" s="167" t="str">
        <f t="shared" si="226"/>
        <v/>
      </c>
      <c r="GK58" s="174" t="str">
        <f t="shared" si="504"/>
        <v/>
      </c>
      <c r="GL58" s="174" t="str">
        <f t="shared" si="227"/>
        <v/>
      </c>
      <c r="GM58" s="177" t="str">
        <f t="shared" si="248"/>
        <v/>
      </c>
      <c r="GN58" s="280" t="str">
        <f t="shared" si="228"/>
        <v/>
      </c>
      <c r="GO58" s="4" t="str">
        <f t="shared" si="229"/>
        <v/>
      </c>
      <c r="GP58" s="8" t="str">
        <f t="shared" si="249"/>
        <v/>
      </c>
      <c r="GQ58" s="177" t="str">
        <f t="shared" si="230"/>
        <v/>
      </c>
      <c r="GR58" s="371" t="str">
        <f t="shared" si="250"/>
        <v/>
      </c>
      <c r="GS58" s="342" t="str">
        <f t="shared" si="505"/>
        <v/>
      </c>
      <c r="GT58" s="343" t="str">
        <f t="shared" si="506"/>
        <v/>
      </c>
      <c r="GU58" s="344" t="str">
        <f t="shared" si="507"/>
        <v/>
      </c>
      <c r="GV58" s="343" t="str">
        <f t="shared" si="252"/>
        <v/>
      </c>
      <c r="GW58" s="345" t="str">
        <f t="shared" si="508"/>
        <v/>
      </c>
      <c r="GX58" s="346" t="str">
        <f t="shared" si="509"/>
        <v/>
      </c>
      <c r="GY58" s="344" t="str">
        <f t="shared" si="510"/>
        <v/>
      </c>
      <c r="GZ58" s="345" t="str">
        <f t="shared" si="511"/>
        <v/>
      </c>
      <c r="HA58" s="342" t="str">
        <f t="shared" si="512"/>
        <v/>
      </c>
      <c r="HB58" s="5" t="str">
        <f t="shared" si="231"/>
        <v/>
      </c>
      <c r="HC58" s="343" t="str">
        <f t="shared" si="232"/>
        <v/>
      </c>
      <c r="HD58" s="363" t="str">
        <f t="shared" si="233"/>
        <v/>
      </c>
      <c r="HE58" s="344" t="str">
        <f t="shared" si="513"/>
        <v/>
      </c>
      <c r="HF58" s="5" t="str">
        <f t="shared" si="514"/>
        <v/>
      </c>
      <c r="HG58" s="343" t="str">
        <f t="shared" si="234"/>
        <v/>
      </c>
      <c r="HH58" s="349" t="str">
        <f t="shared" si="235"/>
        <v/>
      </c>
      <c r="HI58" s="317" t="str">
        <f t="shared" si="408"/>
        <v/>
      </c>
      <c r="HK58" s="310" t="str">
        <f t="shared" si="459"/>
        <v/>
      </c>
      <c r="HL58" s="348" t="str">
        <f t="shared" si="409"/>
        <v/>
      </c>
      <c r="HM58" s="909" t="str">
        <f t="shared" si="410"/>
        <v/>
      </c>
      <c r="HN58" s="910" t="str">
        <f t="shared" si="411"/>
        <v/>
      </c>
      <c r="HO58" s="911"/>
      <c r="HP58" s="912"/>
      <c r="HQ58" s="910" t="str">
        <f t="shared" si="412"/>
        <v/>
      </c>
      <c r="HR58" s="913" t="str">
        <f t="shared" si="413"/>
        <v/>
      </c>
      <c r="HS58" s="865" t="str">
        <f t="shared" si="460"/>
        <v/>
      </c>
      <c r="HT58" s="875" t="str">
        <f t="shared" si="414"/>
        <v/>
      </c>
      <c r="HU58" s="876" t="str">
        <f t="shared" si="415"/>
        <v/>
      </c>
      <c r="HV58" s="872" t="str">
        <f t="shared" si="416"/>
        <v/>
      </c>
      <c r="HW58" s="866" t="str">
        <f t="shared" si="417"/>
        <v/>
      </c>
      <c r="HX58" s="867" t="str">
        <f t="shared" si="418"/>
        <v/>
      </c>
      <c r="HY58" s="866" t="str">
        <f t="shared" si="419"/>
        <v/>
      </c>
      <c r="HZ58" s="868" t="str">
        <f t="shared" si="420"/>
        <v/>
      </c>
      <c r="IA58" s="869" t="str">
        <f t="shared" si="421"/>
        <v/>
      </c>
      <c r="IB58" s="870" t="str">
        <f t="shared" si="422"/>
        <v/>
      </c>
      <c r="IC58" s="841" t="str">
        <f t="shared" si="423"/>
        <v/>
      </c>
      <c r="ID58" s="351" t="str">
        <f t="shared" si="424"/>
        <v/>
      </c>
      <c r="IE58" s="843" t="str">
        <f t="shared" si="425"/>
        <v/>
      </c>
      <c r="IF58" s="844"/>
      <c r="IG58" s="790" t="str">
        <f>IFERROR(IF($IW58="","",IF($IW58&lt;(((Settings!$C$19/2)*-1)*$IG$8),"Taper","Nose")),"")</f>
        <v/>
      </c>
      <c r="IH58" s="482" t="str">
        <f>IFERROR(IF((((($IY58*COS(RADIANS(180-$JA58)))*COS(RADIANS($JA58)))-(($IZ58*SIN(RADIANS(180-$JA58)))*SIN(RADIANS($JA58))))+$IW58)&lt;(((Settings!$C$19+$IH$8)/2)*-1),"Gage",""),"")</f>
        <v/>
      </c>
      <c r="II58" s="788">
        <f t="shared" si="236"/>
        <v>4.1260000000000003</v>
      </c>
      <c r="IJ58" s="674" t="str" cm="1">
        <f t="array" ref="IJ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K58" s="677" t="str" cm="1">
        <f t="array" ref="IK58">IFERROR(ROUND(VALUE(IF($IJ58&lt;1,$IJ58+LARGE((IF($M$9:$M$150="",0,$M$9:$M$150)-MOD(IF($M$9:$M$150="",0,$M$9:$M$150),1)),1),$IJ58)),4),"")</f>
        <v/>
      </c>
      <c r="IL58" s="482">
        <f t="shared" si="426"/>
        <v>1613</v>
      </c>
      <c r="IM58" s="482" t="str">
        <f t="shared" si="237"/>
        <v/>
      </c>
      <c r="IN58" s="670" t="str">
        <f t="shared" si="427"/>
        <v/>
      </c>
      <c r="IO58" s="702"/>
      <c r="IP58" s="5" t="str">
        <f t="shared" si="428"/>
        <v/>
      </c>
      <c r="IQ58" s="714"/>
      <c r="IR58" s="9" t="str">
        <f t="shared" si="429"/>
        <v/>
      </c>
      <c r="IS58" s="5" t="str">
        <f t="shared" si="430"/>
        <v/>
      </c>
      <c r="IT58" s="5" t="str">
        <f t="shared" si="431"/>
        <v/>
      </c>
      <c r="IU58" s="5" t="str">
        <f t="shared" si="432"/>
        <v/>
      </c>
      <c r="IV58" s="670" t="str">
        <f t="shared" si="433"/>
        <v/>
      </c>
      <c r="IW58" s="9" t="str">
        <f t="shared" si="434"/>
        <v/>
      </c>
      <c r="IX58" s="5" t="str">
        <f t="shared" si="435"/>
        <v/>
      </c>
      <c r="IY58" s="5" t="str">
        <f t="shared" si="436"/>
        <v/>
      </c>
      <c r="IZ58" s="5" t="str">
        <f t="shared" si="437"/>
        <v/>
      </c>
      <c r="JA58" s="705" t="str">
        <f t="shared" si="438"/>
        <v/>
      </c>
    </row>
    <row r="59" spans="1:261" ht="15" customHeight="1" x14ac:dyDescent="0.25">
      <c r="A59" s="75">
        <f t="shared" si="256"/>
        <v>0.02</v>
      </c>
      <c r="B59" s="578">
        <f t="shared" si="515"/>
        <v>-0.58416359895994197</v>
      </c>
      <c r="C59" s="572">
        <f t="shared" si="516"/>
        <v>-4.7666412514490153</v>
      </c>
      <c r="D59" s="576">
        <f t="shared" si="517"/>
        <v>-1.266517934795804</v>
      </c>
      <c r="E59" s="580">
        <f t="shared" si="518"/>
        <v>0.85970717539172348</v>
      </c>
      <c r="F59" s="572">
        <f t="shared" si="519"/>
        <v>-0.46761783235017629</v>
      </c>
      <c r="G59" s="579">
        <f t="shared" si="520"/>
        <v>0.20551675223228635</v>
      </c>
      <c r="H59" s="580">
        <f t="shared" si="521"/>
        <v>0.3125</v>
      </c>
      <c r="I59" s="572">
        <f t="shared" si="522"/>
        <v>0.52</v>
      </c>
      <c r="J59" s="483">
        <f t="shared" si="523"/>
        <v>4.1319999999999997</v>
      </c>
      <c r="K59" s="806">
        <f t="shared" si="524"/>
        <v>1613</v>
      </c>
      <c r="L59" s="309"/>
      <c r="M59" s="164">
        <f t="shared" si="267"/>
        <v>4.1319999999999997</v>
      </c>
      <c r="N59" s="575">
        <f t="shared" si="268"/>
        <v>-0.58416359895994197</v>
      </c>
      <c r="O59" s="572">
        <f t="shared" si="269"/>
        <v>-4.7666412514490153</v>
      </c>
      <c r="P59" s="576">
        <f t="shared" si="270"/>
        <v>-1.266517934795804</v>
      </c>
      <c r="Q59" s="528">
        <f t="shared" si="140"/>
        <v>263.01310140622508</v>
      </c>
      <c r="R59" s="572">
        <f t="shared" si="101"/>
        <v>4.8023031901750297</v>
      </c>
      <c r="S59" s="577">
        <f t="shared" si="102"/>
        <v>-1.266517934795804</v>
      </c>
      <c r="T59" s="578">
        <f t="shared" si="103"/>
        <v>-4.7709187339856847</v>
      </c>
      <c r="U59" s="572">
        <f t="shared" si="104"/>
        <v>0.54813352759130995</v>
      </c>
      <c r="V59" s="579">
        <f t="shared" si="141"/>
        <v>-1.266517934795804</v>
      </c>
      <c r="W59" s="528">
        <f t="shared" si="253"/>
        <v>173.44599225209606</v>
      </c>
      <c r="X59" s="572">
        <f t="shared" si="105"/>
        <v>4.8023031901750297</v>
      </c>
      <c r="Y59" s="573">
        <f t="shared" si="255"/>
        <v>-1.266517934795804</v>
      </c>
      <c r="Z59" s="575">
        <f t="shared" si="271"/>
        <v>-0.85970717539172348</v>
      </c>
      <c r="AA59" s="572">
        <f t="shared" si="272"/>
        <v>0.46761783235017629</v>
      </c>
      <c r="AB59" s="572">
        <f t="shared" si="273"/>
        <v>-0.20551675223228635</v>
      </c>
      <c r="AC59" s="579">
        <f t="shared" si="106"/>
        <v>1</v>
      </c>
      <c r="AD59" s="580">
        <f t="shared" si="142"/>
        <v>-0.85970717539172348</v>
      </c>
      <c r="AE59" s="572">
        <f t="shared" si="107"/>
        <v>0.46761783235017629</v>
      </c>
      <c r="AF59" s="576">
        <f t="shared" si="108"/>
        <v>-0.20551675223228635</v>
      </c>
      <c r="AG59" s="545">
        <f t="shared" si="109"/>
        <v>66.274643145471799</v>
      </c>
      <c r="AH59" s="546">
        <f t="shared" si="110"/>
        <v>149.28372044473016</v>
      </c>
      <c r="AI59" s="528">
        <f t="shared" si="111"/>
        <v>-78.140249101160947</v>
      </c>
      <c r="AJ59" s="529">
        <f t="shared" si="112"/>
        <v>-118.54295738146776</v>
      </c>
      <c r="AK59" s="578">
        <f t="shared" si="238"/>
        <v>0.91020513057467234</v>
      </c>
      <c r="AL59" s="572">
        <f t="shared" si="113"/>
        <v>-0.35956847029103756</v>
      </c>
      <c r="AM59" s="577">
        <f t="shared" si="114"/>
        <v>-0.20551675223228635</v>
      </c>
      <c r="AN59" s="524">
        <f t="shared" si="115"/>
        <v>-60.249226457616452</v>
      </c>
      <c r="AO59" s="525">
        <f t="shared" si="525"/>
        <v>24.466285540690528</v>
      </c>
      <c r="AP59" s="528">
        <f t="shared" si="117"/>
        <v>-21.556058787692816</v>
      </c>
      <c r="AQ59" s="529">
        <f t="shared" si="274"/>
        <v>0.9493436438316567</v>
      </c>
      <c r="AS59" s="932">
        <f t="shared" si="461"/>
        <v>173.44599225209606</v>
      </c>
      <c r="AT59" s="928">
        <f t="shared" si="275"/>
        <v>-1.0111397271094893</v>
      </c>
      <c r="AU59" s="418"/>
      <c r="AV59" s="164" t="str">
        <f t="shared" si="276"/>
        <v/>
      </c>
      <c r="AW59" s="797" t="str">
        <f>IFERROR(INDEX(MassProp!C$9:C$150,MATCH($M59,MassProp!$B$9:$B$150,0)),"")</f>
        <v/>
      </c>
      <c r="AX59" s="744" t="str">
        <f>IFERROR(INDEX(MassProp!D$9:D$150,MATCH($M59,MassProp!$B$9:$B$150,0)),"")</f>
        <v/>
      </c>
      <c r="AY59" s="731" t="str">
        <f>IFERROR(INDEX(MassProp!E$9:E$150,MATCH($M59,MassProp!$B$9:$B$150,0)),"")</f>
        <v/>
      </c>
      <c r="AZ59" s="297" t="str">
        <f t="shared" si="144"/>
        <v/>
      </c>
      <c r="BA59" s="296" t="str">
        <f t="shared" si="278"/>
        <v/>
      </c>
      <c r="BB59" s="177" t="str">
        <f t="shared" si="145"/>
        <v/>
      </c>
      <c r="BC59" s="9"/>
      <c r="BD59" s="5" t="str">
        <f t="shared" si="146"/>
        <v/>
      </c>
      <c r="BE59" s="6" t="str">
        <f t="shared" si="280"/>
        <v/>
      </c>
      <c r="BF59" s="4" t="str">
        <f t="shared" si="281"/>
        <v/>
      </c>
      <c r="BG59" s="5" t="str">
        <f t="shared" si="282"/>
        <v/>
      </c>
      <c r="BH59" s="10" t="str">
        <f t="shared" si="283"/>
        <v/>
      </c>
      <c r="BI59" s="9" t="str">
        <f t="shared" si="147"/>
        <v/>
      </c>
      <c r="BJ59" s="5" t="str">
        <f t="shared" si="285"/>
        <v/>
      </c>
      <c r="BK59" s="8" t="str">
        <f t="shared" si="286"/>
        <v/>
      </c>
      <c r="BL59" s="173" t="str">
        <f t="shared" si="287"/>
        <v/>
      </c>
      <c r="BM59" s="5" t="str">
        <f t="shared" si="288"/>
        <v/>
      </c>
      <c r="BN59" s="6" t="str">
        <f t="shared" si="289"/>
        <v/>
      </c>
      <c r="BO59" s="4" t="str">
        <f t="shared" si="148"/>
        <v/>
      </c>
      <c r="BP59" s="5" t="str">
        <f t="shared" si="239"/>
        <v/>
      </c>
      <c r="BQ59" s="5" t="str">
        <f t="shared" si="149"/>
        <v/>
      </c>
      <c r="BR59" s="6" t="str">
        <f t="shared" si="150"/>
        <v/>
      </c>
      <c r="BS59" s="4" t="str">
        <f t="shared" si="483"/>
        <v/>
      </c>
      <c r="BT59" s="5" t="str">
        <f t="shared" si="483"/>
        <v/>
      </c>
      <c r="BU59" s="10" t="str">
        <f t="shared" si="119"/>
        <v/>
      </c>
      <c r="BV59" s="9" t="str">
        <f t="shared" si="120"/>
        <v/>
      </c>
      <c r="BW59" s="5" t="str">
        <f t="shared" si="121"/>
        <v/>
      </c>
      <c r="BX59" s="8" t="str">
        <f t="shared" si="122"/>
        <v/>
      </c>
      <c r="BY59" s="173" t="str">
        <f t="shared" si="123"/>
        <v/>
      </c>
      <c r="BZ59" s="5" t="str">
        <f t="shared" si="124"/>
        <v/>
      </c>
      <c r="CA59" s="6" t="str">
        <f t="shared" si="125"/>
        <v/>
      </c>
      <c r="CB59" s="4" t="str">
        <f t="shared" si="151"/>
        <v/>
      </c>
      <c r="CC59" s="5" t="str">
        <f t="shared" si="152"/>
        <v/>
      </c>
      <c r="CD59" s="5" t="str">
        <f t="shared" si="153"/>
        <v/>
      </c>
      <c r="CE59" s="6" t="str">
        <f t="shared" si="154"/>
        <v/>
      </c>
      <c r="CF59" s="4" t="str">
        <f t="shared" si="155"/>
        <v/>
      </c>
      <c r="CG59" s="5" t="str">
        <f t="shared" si="156"/>
        <v/>
      </c>
      <c r="CH59" s="5" t="str">
        <f t="shared" si="157"/>
        <v/>
      </c>
      <c r="CI59" s="4" t="str">
        <f t="shared" si="126"/>
        <v/>
      </c>
      <c r="CJ59" s="5" t="str">
        <f t="shared" si="127"/>
        <v/>
      </c>
      <c r="CK59" s="8" t="str">
        <f t="shared" si="128"/>
        <v/>
      </c>
      <c r="CL59" s="173" t="str">
        <f t="shared" si="129"/>
        <v/>
      </c>
      <c r="CM59" s="5" t="str">
        <f t="shared" si="130"/>
        <v/>
      </c>
      <c r="CN59" s="6" t="str">
        <f t="shared" si="131"/>
        <v/>
      </c>
      <c r="CO59" s="167" t="str">
        <f t="shared" si="305"/>
        <v/>
      </c>
      <c r="CP59" s="4" t="str">
        <f t="shared" si="240"/>
        <v/>
      </c>
      <c r="CQ59" s="5" t="str">
        <f t="shared" si="241"/>
        <v/>
      </c>
      <c r="CR59" s="5" t="str">
        <f t="shared" si="158"/>
        <v/>
      </c>
      <c r="CS59" s="8" t="str">
        <f t="shared" si="159"/>
        <v/>
      </c>
      <c r="CT59" s="9" t="str">
        <f t="shared" si="160"/>
        <v/>
      </c>
      <c r="CU59" s="6" t="str">
        <f t="shared" si="161"/>
        <v/>
      </c>
      <c r="CV59" s="4" t="str">
        <f t="shared" si="242"/>
        <v/>
      </c>
      <c r="CW59" s="5" t="str">
        <f t="shared" si="162"/>
        <v/>
      </c>
      <c r="CX59" s="8" t="str">
        <f t="shared" si="163"/>
        <v/>
      </c>
      <c r="CY59" s="9" t="str">
        <f t="shared" si="164"/>
        <v/>
      </c>
      <c r="CZ59" s="5" t="str">
        <f t="shared" si="165"/>
        <v/>
      </c>
      <c r="DA59" s="6" t="str">
        <f t="shared" si="166"/>
        <v/>
      </c>
      <c r="DB59" s="4" t="str">
        <f t="shared" si="484"/>
        <v/>
      </c>
      <c r="DC59" s="5" t="str">
        <f t="shared" si="484"/>
        <v/>
      </c>
      <c r="DD59" s="10" t="str">
        <f t="shared" si="168"/>
        <v/>
      </c>
      <c r="DE59" s="9" t="str">
        <f t="shared" si="485"/>
        <v/>
      </c>
      <c r="DF59" s="5" t="str">
        <f t="shared" si="485"/>
        <v/>
      </c>
      <c r="DG59" s="10" t="str">
        <f t="shared" si="170"/>
        <v/>
      </c>
      <c r="DH59" s="70" t="str">
        <f t="shared" si="171"/>
        <v/>
      </c>
      <c r="DI59" s="4" t="str">
        <f t="shared" si="172"/>
        <v/>
      </c>
      <c r="DJ59" s="5" t="str">
        <f t="shared" si="173"/>
        <v/>
      </c>
      <c r="DK59" s="10" t="str">
        <f t="shared" si="174"/>
        <v/>
      </c>
      <c r="DL59" s="9" t="str">
        <f t="shared" si="175"/>
        <v/>
      </c>
      <c r="DM59" s="173" t="str">
        <f t="shared" si="176"/>
        <v/>
      </c>
      <c r="DN59" s="178" t="str">
        <f t="shared" si="177"/>
        <v/>
      </c>
      <c r="DO59" s="9" t="str">
        <f t="shared" si="178"/>
        <v/>
      </c>
      <c r="DP59" s="173" t="str">
        <f t="shared" si="179"/>
        <v/>
      </c>
      <c r="DQ59" s="11" t="str">
        <f t="shared" si="180"/>
        <v/>
      </c>
      <c r="DR59" s="173" t="str">
        <f t="shared" si="181"/>
        <v/>
      </c>
      <c r="DS59" s="5" t="str">
        <f t="shared" si="182"/>
        <v/>
      </c>
      <c r="DT59" s="5" t="str">
        <f t="shared" si="183"/>
        <v/>
      </c>
      <c r="DU59" s="5" t="str">
        <f t="shared" si="184"/>
        <v/>
      </c>
      <c r="DV59" s="5" t="str">
        <f t="shared" si="185"/>
        <v/>
      </c>
      <c r="DW59" s="5" t="str">
        <f t="shared" si="186"/>
        <v/>
      </c>
      <c r="DX59" s="167" t="str">
        <f t="shared" si="187"/>
        <v/>
      </c>
      <c r="DY59" s="9" t="str">
        <f t="shared" si="188"/>
        <v/>
      </c>
      <c r="DZ59" s="5" t="str">
        <f t="shared" si="189"/>
        <v/>
      </c>
      <c r="EA59" s="10" t="str">
        <f t="shared" si="190"/>
        <v/>
      </c>
      <c r="EB59" s="6" t="str">
        <f t="shared" si="191"/>
        <v/>
      </c>
      <c r="EC59" s="173" t="str">
        <f t="shared" si="192"/>
        <v/>
      </c>
      <c r="ED59" s="5" t="str">
        <f t="shared" si="193"/>
        <v/>
      </c>
      <c r="EE59" s="4" t="str">
        <f t="shared" si="194"/>
        <v/>
      </c>
      <c r="EF59" s="5" t="str">
        <f t="shared" si="195"/>
        <v/>
      </c>
      <c r="EG59" s="10" t="str">
        <f t="shared" si="196"/>
        <v/>
      </c>
      <c r="EH59" s="9" t="str">
        <f t="shared" si="197"/>
        <v/>
      </c>
      <c r="EI59" s="5" t="str">
        <f t="shared" si="198"/>
        <v/>
      </c>
      <c r="EJ59" s="6" t="str">
        <f t="shared" si="199"/>
        <v/>
      </c>
      <c r="EK59" s="236" t="str">
        <f t="shared" si="200"/>
        <v/>
      </c>
      <c r="EL59" s="238" t="str">
        <f t="shared" si="201"/>
        <v/>
      </c>
      <c r="EM59" s="4" t="str">
        <f t="shared" si="202"/>
        <v/>
      </c>
      <c r="EN59" s="5" t="str">
        <f t="shared" si="203"/>
        <v/>
      </c>
      <c r="EO59" s="10" t="str">
        <f t="shared" si="204"/>
        <v/>
      </c>
      <c r="EP59" s="9" t="str">
        <f t="shared" si="205"/>
        <v/>
      </c>
      <c r="EQ59" s="5" t="str">
        <f t="shared" si="206"/>
        <v/>
      </c>
      <c r="ER59" s="7" t="str">
        <f t="shared" si="207"/>
        <v/>
      </c>
      <c r="ES59" s="21" t="str">
        <f t="shared" si="352"/>
        <v/>
      </c>
      <c r="ET59" s="5" t="str">
        <f t="shared" si="353"/>
        <v/>
      </c>
      <c r="EU59" s="10" t="str">
        <f t="shared" si="354"/>
        <v/>
      </c>
      <c r="EV59" s="174" t="str">
        <f t="shared" si="486"/>
        <v/>
      </c>
      <c r="EW59" s="9" t="str">
        <f t="shared" si="487"/>
        <v/>
      </c>
      <c r="EX59" s="5" t="str">
        <f t="shared" si="488"/>
        <v/>
      </c>
      <c r="EY59" s="6" t="str">
        <f t="shared" si="208"/>
        <v/>
      </c>
      <c r="EZ59" s="51" t="str">
        <f t="shared" si="209"/>
        <v/>
      </c>
      <c r="FA59" s="173" t="str">
        <f t="shared" si="489"/>
        <v/>
      </c>
      <c r="FB59" s="5" t="str">
        <f t="shared" si="490"/>
        <v/>
      </c>
      <c r="FC59" s="6" t="str">
        <f t="shared" si="491"/>
        <v/>
      </c>
      <c r="FD59" s="4" t="str">
        <f t="shared" si="492"/>
        <v/>
      </c>
      <c r="FE59" s="5" t="str">
        <f t="shared" si="493"/>
        <v/>
      </c>
      <c r="FF59" s="7" t="str">
        <f t="shared" si="210"/>
        <v/>
      </c>
      <c r="FG59" s="173" t="str">
        <f t="shared" si="494"/>
        <v/>
      </c>
      <c r="FH59" s="5" t="str">
        <f t="shared" si="495"/>
        <v/>
      </c>
      <c r="FI59" s="10" t="str">
        <f t="shared" si="496"/>
        <v/>
      </c>
      <c r="FJ59" s="279" t="str">
        <f t="shared" si="212"/>
        <v/>
      </c>
      <c r="FK59" s="4" t="str">
        <f t="shared" si="497"/>
        <v/>
      </c>
      <c r="FL59" s="5" t="str">
        <f t="shared" si="213"/>
        <v/>
      </c>
      <c r="FM59" s="8" t="str">
        <f t="shared" si="214"/>
        <v/>
      </c>
      <c r="FN59" s="9" t="str">
        <f t="shared" si="215"/>
        <v/>
      </c>
      <c r="FO59" s="10" t="str">
        <f t="shared" si="498"/>
        <v/>
      </c>
      <c r="FP59" s="277" t="str">
        <f t="shared" si="499"/>
        <v/>
      </c>
      <c r="FQ59" s="173" t="str">
        <f t="shared" si="243"/>
        <v/>
      </c>
      <c r="FR59" s="10" t="str">
        <f t="shared" si="216"/>
        <v/>
      </c>
      <c r="FS59" s="9" t="str">
        <f t="shared" si="217"/>
        <v/>
      </c>
      <c r="FT59" s="6" t="str">
        <f t="shared" si="218"/>
        <v/>
      </c>
      <c r="FU59" s="4" t="str">
        <f t="shared" si="219"/>
        <v/>
      </c>
      <c r="FV59" s="5" t="str">
        <f t="shared" si="220"/>
        <v/>
      </c>
      <c r="FW59" s="8" t="str">
        <f t="shared" si="244"/>
        <v/>
      </c>
      <c r="FX59" s="9" t="str">
        <f t="shared" si="245"/>
        <v/>
      </c>
      <c r="FY59" s="10" t="str">
        <f t="shared" si="500"/>
        <v/>
      </c>
      <c r="FZ59" s="277" t="str">
        <f t="shared" si="246"/>
        <v/>
      </c>
      <c r="GA59" s="177" t="str">
        <f t="shared" si="221"/>
        <v/>
      </c>
      <c r="GB59" s="4" t="str">
        <f t="shared" si="222"/>
        <v/>
      </c>
      <c r="GC59" s="5" t="str">
        <f t="shared" si="223"/>
        <v/>
      </c>
      <c r="GD59" s="10" t="str">
        <f t="shared" si="224"/>
        <v/>
      </c>
      <c r="GE59" s="311" t="str">
        <f t="shared" si="225"/>
        <v/>
      </c>
      <c r="GF59" s="341" t="str">
        <f t="shared" si="247"/>
        <v/>
      </c>
      <c r="GG59" s="285" t="str">
        <f t="shared" si="501"/>
        <v/>
      </c>
      <c r="GH59" s="286" t="str">
        <f t="shared" si="502"/>
        <v/>
      </c>
      <c r="GI59" s="281" t="str">
        <f t="shared" si="503"/>
        <v/>
      </c>
      <c r="GJ59" s="167" t="str">
        <f t="shared" si="226"/>
        <v/>
      </c>
      <c r="GK59" s="174" t="str">
        <f t="shared" si="504"/>
        <v/>
      </c>
      <c r="GL59" s="174" t="str">
        <f t="shared" si="227"/>
        <v/>
      </c>
      <c r="GM59" s="177" t="str">
        <f t="shared" si="248"/>
        <v/>
      </c>
      <c r="GN59" s="280" t="str">
        <f t="shared" si="228"/>
        <v/>
      </c>
      <c r="GO59" s="4" t="str">
        <f t="shared" si="229"/>
        <v/>
      </c>
      <c r="GP59" s="8" t="str">
        <f t="shared" si="249"/>
        <v/>
      </c>
      <c r="GQ59" s="177" t="str">
        <f t="shared" si="230"/>
        <v/>
      </c>
      <c r="GR59" s="371" t="str">
        <f t="shared" si="250"/>
        <v/>
      </c>
      <c r="GS59" s="342" t="str">
        <f t="shared" si="505"/>
        <v/>
      </c>
      <c r="GT59" s="343" t="str">
        <f t="shared" si="506"/>
        <v/>
      </c>
      <c r="GU59" s="344" t="str">
        <f t="shared" si="507"/>
        <v/>
      </c>
      <c r="GV59" s="343" t="str">
        <f t="shared" si="252"/>
        <v/>
      </c>
      <c r="GW59" s="345" t="str">
        <f t="shared" si="508"/>
        <v/>
      </c>
      <c r="GX59" s="346" t="str">
        <f t="shared" si="509"/>
        <v/>
      </c>
      <c r="GY59" s="344" t="str">
        <f t="shared" si="510"/>
        <v/>
      </c>
      <c r="GZ59" s="345" t="str">
        <f t="shared" si="511"/>
        <v/>
      </c>
      <c r="HA59" s="342" t="str">
        <f t="shared" si="512"/>
        <v/>
      </c>
      <c r="HB59" s="5" t="str">
        <f t="shared" si="231"/>
        <v/>
      </c>
      <c r="HC59" s="343" t="str">
        <f t="shared" si="232"/>
        <v/>
      </c>
      <c r="HD59" s="363" t="str">
        <f t="shared" si="233"/>
        <v/>
      </c>
      <c r="HE59" s="344" t="str">
        <f t="shared" si="513"/>
        <v/>
      </c>
      <c r="HF59" s="5" t="str">
        <f t="shared" si="514"/>
        <v/>
      </c>
      <c r="HG59" s="343" t="str">
        <f t="shared" si="234"/>
        <v/>
      </c>
      <c r="HH59" s="349" t="str">
        <f t="shared" si="235"/>
        <v/>
      </c>
      <c r="HI59" s="317" t="str">
        <f t="shared" si="408"/>
        <v/>
      </c>
      <c r="HK59" s="310" t="str">
        <f t="shared" si="459"/>
        <v/>
      </c>
      <c r="HL59" s="348" t="str">
        <f t="shared" si="409"/>
        <v/>
      </c>
      <c r="HM59" s="909" t="str">
        <f t="shared" si="410"/>
        <v/>
      </c>
      <c r="HN59" s="910" t="str">
        <f t="shared" si="411"/>
        <v/>
      </c>
      <c r="HO59" s="911"/>
      <c r="HP59" s="912"/>
      <c r="HQ59" s="910" t="str">
        <f t="shared" si="412"/>
        <v/>
      </c>
      <c r="HR59" s="913" t="str">
        <f t="shared" si="413"/>
        <v/>
      </c>
      <c r="HS59" s="865" t="str">
        <f t="shared" si="460"/>
        <v/>
      </c>
      <c r="HT59" s="875" t="str">
        <f t="shared" si="414"/>
        <v/>
      </c>
      <c r="HU59" s="876" t="str">
        <f t="shared" si="415"/>
        <v/>
      </c>
      <c r="HV59" s="872" t="str">
        <f t="shared" si="416"/>
        <v/>
      </c>
      <c r="HW59" s="866" t="str">
        <f t="shared" si="417"/>
        <v/>
      </c>
      <c r="HX59" s="867" t="str">
        <f t="shared" si="418"/>
        <v/>
      </c>
      <c r="HY59" s="866" t="str">
        <f t="shared" si="419"/>
        <v/>
      </c>
      <c r="HZ59" s="868" t="str">
        <f t="shared" si="420"/>
        <v/>
      </c>
      <c r="IA59" s="869" t="str">
        <f t="shared" si="421"/>
        <v/>
      </c>
      <c r="IB59" s="870" t="str">
        <f t="shared" si="422"/>
        <v/>
      </c>
      <c r="IC59" s="841" t="str">
        <f t="shared" si="423"/>
        <v/>
      </c>
      <c r="ID59" s="351" t="str">
        <f t="shared" si="424"/>
        <v/>
      </c>
      <c r="IE59" s="843" t="str">
        <f t="shared" si="425"/>
        <v/>
      </c>
      <c r="IF59" s="844"/>
      <c r="IG59" s="790" t="str">
        <f>IFERROR(IF($IW59="","",IF($IW59&lt;(((Settings!$C$19/2)*-1)*$IG$8),"Taper","Nose")),"")</f>
        <v/>
      </c>
      <c r="IH59" s="482" t="str">
        <f>IFERROR(IF((((($IY59*COS(RADIANS(180-$JA59)))*COS(RADIANS($JA59)))-(($IZ59*SIN(RADIANS(180-$JA59)))*SIN(RADIANS($JA59))))+$IW59)&lt;(((Settings!$C$19+$IH$8)/2)*-1),"Gage",""),"")</f>
        <v/>
      </c>
      <c r="II59" s="788">
        <f t="shared" si="236"/>
        <v>4.1319999999999997</v>
      </c>
      <c r="IJ59" s="674" t="str" cm="1">
        <f t="array" ref="IJ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K59" s="677" t="str" cm="1">
        <f t="array" ref="IK59">IFERROR(ROUND(VALUE(IF($IJ59&lt;1,$IJ59+LARGE((IF($M$9:$M$150="",0,$M$9:$M$150)-MOD(IF($M$9:$M$150="",0,$M$9:$M$150),1)),1),$IJ59)),4),"")</f>
        <v/>
      </c>
      <c r="IL59" s="482">
        <f t="shared" si="426"/>
        <v>1613</v>
      </c>
      <c r="IM59" s="482" t="str">
        <f t="shared" si="237"/>
        <v/>
      </c>
      <c r="IN59" s="670" t="str">
        <f t="shared" si="427"/>
        <v/>
      </c>
      <c r="IO59" s="702"/>
      <c r="IP59" s="5" t="str">
        <f t="shared" si="428"/>
        <v/>
      </c>
      <c r="IQ59" s="714"/>
      <c r="IR59" s="9" t="str">
        <f t="shared" si="429"/>
        <v/>
      </c>
      <c r="IS59" s="5" t="str">
        <f t="shared" si="430"/>
        <v/>
      </c>
      <c r="IT59" s="5" t="str">
        <f t="shared" si="431"/>
        <v/>
      </c>
      <c r="IU59" s="5" t="str">
        <f t="shared" si="432"/>
        <v/>
      </c>
      <c r="IV59" s="670" t="str">
        <f t="shared" si="433"/>
        <v/>
      </c>
      <c r="IW59" s="9" t="str">
        <f t="shared" si="434"/>
        <v/>
      </c>
      <c r="IX59" s="5" t="str">
        <f t="shared" si="435"/>
        <v/>
      </c>
      <c r="IY59" s="5" t="str">
        <f t="shared" si="436"/>
        <v/>
      </c>
      <c r="IZ59" s="5" t="str">
        <f t="shared" si="437"/>
        <v/>
      </c>
      <c r="JA59" s="705" t="str">
        <f t="shared" si="438"/>
        <v/>
      </c>
    </row>
    <row r="60" spans="1:261" ht="15" customHeight="1" x14ac:dyDescent="0.25">
      <c r="A60" s="75">
        <f t="shared" si="256"/>
        <v>0.02</v>
      </c>
      <c r="B60" s="578">
        <f t="shared" si="515"/>
        <v>-0.63797788643531916</v>
      </c>
      <c r="C60" s="572">
        <f t="shared" si="516"/>
        <v>-4.9757189291050254</v>
      </c>
      <c r="D60" s="576">
        <f t="shared" si="517"/>
        <v>-2.0017629003171078</v>
      </c>
      <c r="E60" s="580">
        <f t="shared" si="518"/>
        <v>0.81263488385279681</v>
      </c>
      <c r="F60" s="572">
        <f t="shared" si="519"/>
        <v>-0.57537849562887078</v>
      </c>
      <c r="G60" s="579">
        <f t="shared" si="520"/>
        <v>9.2542597291242992E-2</v>
      </c>
      <c r="H60" s="580">
        <f t="shared" si="521"/>
        <v>0.3125</v>
      </c>
      <c r="I60" s="572">
        <f t="shared" si="522"/>
        <v>0.52</v>
      </c>
      <c r="J60" s="483">
        <f t="shared" si="523"/>
        <v>4.1379999999999999</v>
      </c>
      <c r="K60" s="806">
        <f t="shared" si="524"/>
        <v>1613</v>
      </c>
      <c r="L60" s="309"/>
      <c r="M60" s="164">
        <f t="shared" si="267"/>
        <v>4.1379999999999999</v>
      </c>
      <c r="N60" s="575">
        <f t="shared" si="268"/>
        <v>-0.63797788643531916</v>
      </c>
      <c r="O60" s="572">
        <f t="shared" si="269"/>
        <v>-4.9757189291050254</v>
      </c>
      <c r="P60" s="576">
        <f t="shared" si="270"/>
        <v>-2.0017629003171078</v>
      </c>
      <c r="Q60" s="528">
        <f t="shared" si="140"/>
        <v>262.69350178927374</v>
      </c>
      <c r="R60" s="572">
        <f t="shared" si="101"/>
        <v>5.0164523963688259</v>
      </c>
      <c r="S60" s="577">
        <f t="shared" si="102"/>
        <v>-2.0017629003171078</v>
      </c>
      <c r="T60" s="578">
        <f t="shared" si="103"/>
        <v>-4.980397027229464</v>
      </c>
      <c r="U60" s="572">
        <f t="shared" si="104"/>
        <v>0.60036663481447017</v>
      </c>
      <c r="V60" s="579">
        <f t="shared" si="141"/>
        <v>-2.0017629003171078</v>
      </c>
      <c r="W60" s="528">
        <f t="shared" si="253"/>
        <v>173.12639263514473</v>
      </c>
      <c r="X60" s="572">
        <f t="shared" si="105"/>
        <v>5.0164523963688259</v>
      </c>
      <c r="Y60" s="573">
        <f t="shared" si="255"/>
        <v>-2.0017629003171078</v>
      </c>
      <c r="Z60" s="575">
        <f t="shared" si="271"/>
        <v>-0.81263488385279681</v>
      </c>
      <c r="AA60" s="572">
        <f t="shared" si="272"/>
        <v>0.57537849562887078</v>
      </c>
      <c r="AB60" s="572">
        <f t="shared" si="273"/>
        <v>-9.2542597291242992E-2</v>
      </c>
      <c r="AC60" s="579">
        <f t="shared" si="106"/>
        <v>1</v>
      </c>
      <c r="AD60" s="580">
        <f t="shared" si="142"/>
        <v>-0.81263488385279681</v>
      </c>
      <c r="AE60" s="572">
        <f t="shared" si="107"/>
        <v>0.57537849562887078</v>
      </c>
      <c r="AF60" s="576">
        <f t="shared" si="108"/>
        <v>-9.2542597291242992E-2</v>
      </c>
      <c r="AG60" s="545">
        <f t="shared" si="109"/>
        <v>80.86292635997377</v>
      </c>
      <c r="AH60" s="546">
        <f t="shared" si="110"/>
        <v>144.35417137186309</v>
      </c>
      <c r="AI60" s="528">
        <f t="shared" si="111"/>
        <v>-84.690102166621159</v>
      </c>
      <c r="AJ60" s="529">
        <f t="shared" si="112"/>
        <v>-125.30004346385974</v>
      </c>
      <c r="AK60" s="578">
        <f t="shared" si="238"/>
        <v>0.87921127962295287</v>
      </c>
      <c r="AL60" s="572">
        <f t="shared" si="113"/>
        <v>-0.46735788585447097</v>
      </c>
      <c r="AM60" s="577">
        <f t="shared" si="114"/>
        <v>-9.2542597291242992E-2</v>
      </c>
      <c r="AN60" s="524">
        <f t="shared" si="115"/>
        <v>-78.799617313561896</v>
      </c>
      <c r="AO60" s="525">
        <f t="shared" si="525"/>
        <v>28.452633559226971</v>
      </c>
      <c r="AP60" s="528">
        <f t="shared" si="117"/>
        <v>-27.99354525313349</v>
      </c>
      <c r="AQ60" s="529">
        <f t="shared" si="274"/>
        <v>0.90882370809614055</v>
      </c>
      <c r="AS60" s="932">
        <f t="shared" si="461"/>
        <v>173.12639263514473</v>
      </c>
      <c r="AT60" s="928">
        <f t="shared" si="275"/>
        <v>-1.7459408042739164</v>
      </c>
      <c r="AU60" s="418"/>
      <c r="AV60" s="164" t="str">
        <f t="shared" si="276"/>
        <v/>
      </c>
      <c r="AW60" s="797" t="str">
        <f>IFERROR(INDEX(MassProp!C$9:C$150,MATCH($M60,MassProp!$B$9:$B$150,0)),"")</f>
        <v/>
      </c>
      <c r="AX60" s="744" t="str">
        <f>IFERROR(INDEX(MassProp!D$9:D$150,MATCH($M60,MassProp!$B$9:$B$150,0)),"")</f>
        <v/>
      </c>
      <c r="AY60" s="731" t="str">
        <f>IFERROR(INDEX(MassProp!E$9:E$150,MATCH($M60,MassProp!$B$9:$B$150,0)),"")</f>
        <v/>
      </c>
      <c r="AZ60" s="297" t="str">
        <f t="shared" si="144"/>
        <v/>
      </c>
      <c r="BA60" s="296" t="str">
        <f t="shared" si="278"/>
        <v/>
      </c>
      <c r="BB60" s="177" t="str">
        <f t="shared" si="145"/>
        <v/>
      </c>
      <c r="BC60" s="9"/>
      <c r="BD60" s="5" t="str">
        <f t="shared" si="146"/>
        <v/>
      </c>
      <c r="BE60" s="6" t="str">
        <f t="shared" si="280"/>
        <v/>
      </c>
      <c r="BF60" s="4" t="str">
        <f t="shared" si="281"/>
        <v/>
      </c>
      <c r="BG60" s="5" t="str">
        <f t="shared" si="282"/>
        <v/>
      </c>
      <c r="BH60" s="10" t="str">
        <f t="shared" si="283"/>
        <v/>
      </c>
      <c r="BI60" s="9" t="str">
        <f t="shared" si="147"/>
        <v/>
      </c>
      <c r="BJ60" s="5" t="str">
        <f t="shared" si="285"/>
        <v/>
      </c>
      <c r="BK60" s="8" t="str">
        <f t="shared" si="286"/>
        <v/>
      </c>
      <c r="BL60" s="173" t="str">
        <f t="shared" si="287"/>
        <v/>
      </c>
      <c r="BM60" s="5" t="str">
        <f t="shared" si="288"/>
        <v/>
      </c>
      <c r="BN60" s="6" t="str">
        <f t="shared" si="289"/>
        <v/>
      </c>
      <c r="BO60" s="4" t="str">
        <f t="shared" si="148"/>
        <v/>
      </c>
      <c r="BP60" s="5" t="str">
        <f t="shared" si="239"/>
        <v/>
      </c>
      <c r="BQ60" s="5" t="str">
        <f t="shared" si="149"/>
        <v/>
      </c>
      <c r="BR60" s="6" t="str">
        <f t="shared" si="150"/>
        <v/>
      </c>
      <c r="BS60" s="4" t="str">
        <f t="shared" si="483"/>
        <v/>
      </c>
      <c r="BT60" s="5" t="str">
        <f t="shared" si="483"/>
        <v/>
      </c>
      <c r="BU60" s="10" t="str">
        <f t="shared" si="119"/>
        <v/>
      </c>
      <c r="BV60" s="9" t="str">
        <f t="shared" si="120"/>
        <v/>
      </c>
      <c r="BW60" s="5" t="str">
        <f t="shared" si="121"/>
        <v/>
      </c>
      <c r="BX60" s="8" t="str">
        <f t="shared" si="122"/>
        <v/>
      </c>
      <c r="BY60" s="173" t="str">
        <f t="shared" si="123"/>
        <v/>
      </c>
      <c r="BZ60" s="5" t="str">
        <f t="shared" si="124"/>
        <v/>
      </c>
      <c r="CA60" s="6" t="str">
        <f t="shared" si="125"/>
        <v/>
      </c>
      <c r="CB60" s="4" t="str">
        <f t="shared" si="151"/>
        <v/>
      </c>
      <c r="CC60" s="5" t="str">
        <f t="shared" si="152"/>
        <v/>
      </c>
      <c r="CD60" s="5" t="str">
        <f t="shared" si="153"/>
        <v/>
      </c>
      <c r="CE60" s="6" t="str">
        <f t="shared" si="154"/>
        <v/>
      </c>
      <c r="CF60" s="4" t="str">
        <f t="shared" si="155"/>
        <v/>
      </c>
      <c r="CG60" s="5" t="str">
        <f t="shared" si="156"/>
        <v/>
      </c>
      <c r="CH60" s="5" t="str">
        <f t="shared" si="157"/>
        <v/>
      </c>
      <c r="CI60" s="4" t="str">
        <f t="shared" si="126"/>
        <v/>
      </c>
      <c r="CJ60" s="5" t="str">
        <f t="shared" si="127"/>
        <v/>
      </c>
      <c r="CK60" s="8" t="str">
        <f t="shared" si="128"/>
        <v/>
      </c>
      <c r="CL60" s="173" t="str">
        <f t="shared" si="129"/>
        <v/>
      </c>
      <c r="CM60" s="5" t="str">
        <f t="shared" si="130"/>
        <v/>
      </c>
      <c r="CN60" s="6" t="str">
        <f t="shared" si="131"/>
        <v/>
      </c>
      <c r="CO60" s="167" t="str">
        <f t="shared" si="305"/>
        <v/>
      </c>
      <c r="CP60" s="4" t="str">
        <f t="shared" si="240"/>
        <v/>
      </c>
      <c r="CQ60" s="5" t="str">
        <f t="shared" si="241"/>
        <v/>
      </c>
      <c r="CR60" s="5" t="str">
        <f t="shared" si="158"/>
        <v/>
      </c>
      <c r="CS60" s="8" t="str">
        <f t="shared" si="159"/>
        <v/>
      </c>
      <c r="CT60" s="9" t="str">
        <f t="shared" si="160"/>
        <v/>
      </c>
      <c r="CU60" s="6" t="str">
        <f t="shared" si="161"/>
        <v/>
      </c>
      <c r="CV60" s="4" t="str">
        <f t="shared" si="242"/>
        <v/>
      </c>
      <c r="CW60" s="5" t="str">
        <f t="shared" si="162"/>
        <v/>
      </c>
      <c r="CX60" s="8" t="str">
        <f t="shared" si="163"/>
        <v/>
      </c>
      <c r="CY60" s="9" t="str">
        <f t="shared" si="164"/>
        <v/>
      </c>
      <c r="CZ60" s="5" t="str">
        <f t="shared" si="165"/>
        <v/>
      </c>
      <c r="DA60" s="6" t="str">
        <f t="shared" si="166"/>
        <v/>
      </c>
      <c r="DB60" s="4" t="str">
        <f t="shared" si="484"/>
        <v/>
      </c>
      <c r="DC60" s="5" t="str">
        <f t="shared" si="484"/>
        <v/>
      </c>
      <c r="DD60" s="10" t="str">
        <f t="shared" si="168"/>
        <v/>
      </c>
      <c r="DE60" s="9" t="str">
        <f t="shared" si="485"/>
        <v/>
      </c>
      <c r="DF60" s="5" t="str">
        <f t="shared" si="485"/>
        <v/>
      </c>
      <c r="DG60" s="10" t="str">
        <f t="shared" si="170"/>
        <v/>
      </c>
      <c r="DH60" s="70" t="str">
        <f t="shared" si="171"/>
        <v/>
      </c>
      <c r="DI60" s="4" t="str">
        <f t="shared" si="172"/>
        <v/>
      </c>
      <c r="DJ60" s="5" t="str">
        <f t="shared" si="173"/>
        <v/>
      </c>
      <c r="DK60" s="10" t="str">
        <f t="shared" si="174"/>
        <v/>
      </c>
      <c r="DL60" s="9" t="str">
        <f t="shared" si="175"/>
        <v/>
      </c>
      <c r="DM60" s="173" t="str">
        <f t="shared" si="176"/>
        <v/>
      </c>
      <c r="DN60" s="178" t="str">
        <f t="shared" si="177"/>
        <v/>
      </c>
      <c r="DO60" s="9" t="str">
        <f t="shared" si="178"/>
        <v/>
      </c>
      <c r="DP60" s="173" t="str">
        <f t="shared" si="179"/>
        <v/>
      </c>
      <c r="DQ60" s="11" t="str">
        <f t="shared" si="180"/>
        <v/>
      </c>
      <c r="DR60" s="173" t="str">
        <f t="shared" si="181"/>
        <v/>
      </c>
      <c r="DS60" s="5" t="str">
        <f t="shared" si="182"/>
        <v/>
      </c>
      <c r="DT60" s="5" t="str">
        <f t="shared" si="183"/>
        <v/>
      </c>
      <c r="DU60" s="5" t="str">
        <f t="shared" si="184"/>
        <v/>
      </c>
      <c r="DV60" s="5" t="str">
        <f t="shared" si="185"/>
        <v/>
      </c>
      <c r="DW60" s="5" t="str">
        <f t="shared" si="186"/>
        <v/>
      </c>
      <c r="DX60" s="167" t="str">
        <f t="shared" si="187"/>
        <v/>
      </c>
      <c r="DY60" s="9" t="str">
        <f t="shared" si="188"/>
        <v/>
      </c>
      <c r="DZ60" s="5" t="str">
        <f t="shared" si="189"/>
        <v/>
      </c>
      <c r="EA60" s="10" t="str">
        <f t="shared" si="190"/>
        <v/>
      </c>
      <c r="EB60" s="6" t="str">
        <f t="shared" si="191"/>
        <v/>
      </c>
      <c r="EC60" s="173" t="str">
        <f t="shared" si="192"/>
        <v/>
      </c>
      <c r="ED60" s="5" t="str">
        <f t="shared" si="193"/>
        <v/>
      </c>
      <c r="EE60" s="4" t="str">
        <f t="shared" si="194"/>
        <v/>
      </c>
      <c r="EF60" s="5" t="str">
        <f t="shared" si="195"/>
        <v/>
      </c>
      <c r="EG60" s="10" t="str">
        <f t="shared" si="196"/>
        <v/>
      </c>
      <c r="EH60" s="9" t="str">
        <f t="shared" si="197"/>
        <v/>
      </c>
      <c r="EI60" s="5" t="str">
        <f t="shared" si="198"/>
        <v/>
      </c>
      <c r="EJ60" s="6" t="str">
        <f t="shared" si="199"/>
        <v/>
      </c>
      <c r="EK60" s="236" t="str">
        <f t="shared" si="200"/>
        <v/>
      </c>
      <c r="EL60" s="238" t="str">
        <f t="shared" si="201"/>
        <v/>
      </c>
      <c r="EM60" s="4" t="str">
        <f t="shared" si="202"/>
        <v/>
      </c>
      <c r="EN60" s="5" t="str">
        <f t="shared" si="203"/>
        <v/>
      </c>
      <c r="EO60" s="10" t="str">
        <f t="shared" si="204"/>
        <v/>
      </c>
      <c r="EP60" s="9" t="str">
        <f t="shared" si="205"/>
        <v/>
      </c>
      <c r="EQ60" s="5" t="str">
        <f t="shared" si="206"/>
        <v/>
      </c>
      <c r="ER60" s="7" t="str">
        <f t="shared" si="207"/>
        <v/>
      </c>
      <c r="ES60" s="21" t="str">
        <f t="shared" si="352"/>
        <v/>
      </c>
      <c r="ET60" s="5" t="str">
        <f t="shared" si="353"/>
        <v/>
      </c>
      <c r="EU60" s="10" t="str">
        <f t="shared" si="354"/>
        <v/>
      </c>
      <c r="EV60" s="174" t="str">
        <f t="shared" si="486"/>
        <v/>
      </c>
      <c r="EW60" s="9" t="str">
        <f t="shared" si="487"/>
        <v/>
      </c>
      <c r="EX60" s="5" t="str">
        <f t="shared" si="488"/>
        <v/>
      </c>
      <c r="EY60" s="6" t="str">
        <f t="shared" si="208"/>
        <v/>
      </c>
      <c r="EZ60" s="51" t="str">
        <f t="shared" si="209"/>
        <v/>
      </c>
      <c r="FA60" s="173" t="str">
        <f t="shared" si="489"/>
        <v/>
      </c>
      <c r="FB60" s="5" t="str">
        <f t="shared" si="490"/>
        <v/>
      </c>
      <c r="FC60" s="6" t="str">
        <f t="shared" si="491"/>
        <v/>
      </c>
      <c r="FD60" s="4" t="str">
        <f t="shared" si="492"/>
        <v/>
      </c>
      <c r="FE60" s="5" t="str">
        <f t="shared" si="493"/>
        <v/>
      </c>
      <c r="FF60" s="7" t="str">
        <f t="shared" si="210"/>
        <v/>
      </c>
      <c r="FG60" s="173" t="str">
        <f t="shared" si="494"/>
        <v/>
      </c>
      <c r="FH60" s="5" t="str">
        <f t="shared" si="495"/>
        <v/>
      </c>
      <c r="FI60" s="10" t="str">
        <f t="shared" si="496"/>
        <v/>
      </c>
      <c r="FJ60" s="279" t="str">
        <f t="shared" si="212"/>
        <v/>
      </c>
      <c r="FK60" s="4" t="str">
        <f t="shared" si="497"/>
        <v/>
      </c>
      <c r="FL60" s="5" t="str">
        <f t="shared" si="213"/>
        <v/>
      </c>
      <c r="FM60" s="8" t="str">
        <f t="shared" si="214"/>
        <v/>
      </c>
      <c r="FN60" s="9" t="str">
        <f t="shared" si="215"/>
        <v/>
      </c>
      <c r="FO60" s="10" t="str">
        <f t="shared" si="498"/>
        <v/>
      </c>
      <c r="FP60" s="277" t="str">
        <f t="shared" si="499"/>
        <v/>
      </c>
      <c r="FQ60" s="173" t="str">
        <f t="shared" si="243"/>
        <v/>
      </c>
      <c r="FR60" s="10" t="str">
        <f t="shared" si="216"/>
        <v/>
      </c>
      <c r="FS60" s="9" t="str">
        <f t="shared" si="217"/>
        <v/>
      </c>
      <c r="FT60" s="6" t="str">
        <f t="shared" si="218"/>
        <v/>
      </c>
      <c r="FU60" s="4" t="str">
        <f t="shared" si="219"/>
        <v/>
      </c>
      <c r="FV60" s="5" t="str">
        <f t="shared" si="220"/>
        <v/>
      </c>
      <c r="FW60" s="8" t="str">
        <f t="shared" si="244"/>
        <v/>
      </c>
      <c r="FX60" s="9" t="str">
        <f t="shared" si="245"/>
        <v/>
      </c>
      <c r="FY60" s="10" t="str">
        <f t="shared" si="500"/>
        <v/>
      </c>
      <c r="FZ60" s="277" t="str">
        <f t="shared" si="246"/>
        <v/>
      </c>
      <c r="GA60" s="177" t="str">
        <f t="shared" si="221"/>
        <v/>
      </c>
      <c r="GB60" s="4" t="str">
        <f t="shared" si="222"/>
        <v/>
      </c>
      <c r="GC60" s="5" t="str">
        <f t="shared" si="223"/>
        <v/>
      </c>
      <c r="GD60" s="10" t="str">
        <f t="shared" si="224"/>
        <v/>
      </c>
      <c r="GE60" s="311" t="str">
        <f t="shared" si="225"/>
        <v/>
      </c>
      <c r="GF60" s="341" t="str">
        <f t="shared" si="247"/>
        <v/>
      </c>
      <c r="GG60" s="285" t="str">
        <f t="shared" si="501"/>
        <v/>
      </c>
      <c r="GH60" s="286" t="str">
        <f t="shared" si="502"/>
        <v/>
      </c>
      <c r="GI60" s="281" t="str">
        <f t="shared" si="503"/>
        <v/>
      </c>
      <c r="GJ60" s="167" t="str">
        <f t="shared" si="226"/>
        <v/>
      </c>
      <c r="GK60" s="174" t="str">
        <f t="shared" si="504"/>
        <v/>
      </c>
      <c r="GL60" s="174" t="str">
        <f t="shared" si="227"/>
        <v/>
      </c>
      <c r="GM60" s="177" t="str">
        <f t="shared" si="248"/>
        <v/>
      </c>
      <c r="GN60" s="280" t="str">
        <f t="shared" si="228"/>
        <v/>
      </c>
      <c r="GO60" s="4" t="str">
        <f t="shared" si="229"/>
        <v/>
      </c>
      <c r="GP60" s="8" t="str">
        <f t="shared" si="249"/>
        <v/>
      </c>
      <c r="GQ60" s="177" t="str">
        <f t="shared" si="230"/>
        <v/>
      </c>
      <c r="GR60" s="371" t="str">
        <f t="shared" si="250"/>
        <v/>
      </c>
      <c r="GS60" s="342" t="str">
        <f t="shared" si="505"/>
        <v/>
      </c>
      <c r="GT60" s="343" t="str">
        <f t="shared" si="506"/>
        <v/>
      </c>
      <c r="GU60" s="344" t="str">
        <f t="shared" si="507"/>
        <v/>
      </c>
      <c r="GV60" s="343" t="str">
        <f t="shared" si="252"/>
        <v/>
      </c>
      <c r="GW60" s="345" t="str">
        <f t="shared" si="508"/>
        <v/>
      </c>
      <c r="GX60" s="346" t="str">
        <f t="shared" si="509"/>
        <v/>
      </c>
      <c r="GY60" s="344" t="str">
        <f t="shared" si="510"/>
        <v/>
      </c>
      <c r="GZ60" s="345" t="str">
        <f t="shared" si="511"/>
        <v/>
      </c>
      <c r="HA60" s="342" t="str">
        <f t="shared" si="512"/>
        <v/>
      </c>
      <c r="HB60" s="5" t="str">
        <f t="shared" si="231"/>
        <v/>
      </c>
      <c r="HC60" s="343" t="str">
        <f t="shared" si="232"/>
        <v/>
      </c>
      <c r="HD60" s="363" t="str">
        <f t="shared" si="233"/>
        <v/>
      </c>
      <c r="HE60" s="344" t="str">
        <f t="shared" si="513"/>
        <v/>
      </c>
      <c r="HF60" s="5" t="str">
        <f t="shared" si="514"/>
        <v/>
      </c>
      <c r="HG60" s="343" t="str">
        <f t="shared" si="234"/>
        <v/>
      </c>
      <c r="HH60" s="349" t="str">
        <f t="shared" si="235"/>
        <v/>
      </c>
      <c r="HI60" s="317" t="str">
        <f t="shared" si="408"/>
        <v/>
      </c>
      <c r="HK60" s="310" t="str">
        <f t="shared" si="459"/>
        <v/>
      </c>
      <c r="HL60" s="348" t="str">
        <f t="shared" si="409"/>
        <v/>
      </c>
      <c r="HM60" s="909" t="str">
        <f t="shared" si="410"/>
        <v/>
      </c>
      <c r="HN60" s="910" t="str">
        <f t="shared" si="411"/>
        <v/>
      </c>
      <c r="HO60" s="911"/>
      <c r="HP60" s="912"/>
      <c r="HQ60" s="910" t="str">
        <f t="shared" si="412"/>
        <v/>
      </c>
      <c r="HR60" s="913" t="str">
        <f t="shared" si="413"/>
        <v/>
      </c>
      <c r="HS60" s="865" t="str">
        <f t="shared" si="460"/>
        <v/>
      </c>
      <c r="HT60" s="875" t="str">
        <f t="shared" si="414"/>
        <v/>
      </c>
      <c r="HU60" s="876" t="str">
        <f t="shared" si="415"/>
        <v/>
      </c>
      <c r="HV60" s="872" t="str">
        <f t="shared" si="416"/>
        <v/>
      </c>
      <c r="HW60" s="866" t="str">
        <f t="shared" si="417"/>
        <v/>
      </c>
      <c r="HX60" s="867" t="str">
        <f t="shared" si="418"/>
        <v/>
      </c>
      <c r="HY60" s="866" t="str">
        <f t="shared" si="419"/>
        <v/>
      </c>
      <c r="HZ60" s="868" t="str">
        <f t="shared" si="420"/>
        <v/>
      </c>
      <c r="IA60" s="869" t="str">
        <f t="shared" si="421"/>
        <v/>
      </c>
      <c r="IB60" s="870" t="str">
        <f t="shared" si="422"/>
        <v/>
      </c>
      <c r="IC60" s="841" t="str">
        <f t="shared" si="423"/>
        <v/>
      </c>
      <c r="ID60" s="351" t="str">
        <f t="shared" si="424"/>
        <v/>
      </c>
      <c r="IE60" s="843" t="str">
        <f t="shared" si="425"/>
        <v/>
      </c>
      <c r="IF60" s="844"/>
      <c r="IG60" s="790" t="str">
        <f>IFERROR(IF($IW60="","",IF($IW60&lt;(((Settings!$C$19/2)*-1)*$IG$8),"Taper","Nose")),"")</f>
        <v/>
      </c>
      <c r="IH60" s="482" t="str">
        <f>IFERROR(IF((((($IY60*COS(RADIANS(180-$JA60)))*COS(RADIANS($JA60)))-(($IZ60*SIN(RADIANS(180-$JA60)))*SIN(RADIANS($JA60))))+$IW60)&lt;(((Settings!$C$19+$IH$8)/2)*-1),"Gage",""),"")</f>
        <v/>
      </c>
      <c r="II60" s="788">
        <f t="shared" si="236"/>
        <v>4.1379999999999999</v>
      </c>
      <c r="IJ60" s="674" t="str" cm="1">
        <f t="array" ref="IJ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K60" s="677" t="str" cm="1">
        <f t="array" ref="IK60">IFERROR(ROUND(VALUE(IF($IJ60&lt;1,$IJ60+LARGE((IF($M$9:$M$150="",0,$M$9:$M$150)-MOD(IF($M$9:$M$150="",0,$M$9:$M$150),1)),1),$IJ60)),4),"")</f>
        <v/>
      </c>
      <c r="IL60" s="482">
        <f t="shared" si="426"/>
        <v>1613</v>
      </c>
      <c r="IM60" s="482" t="str">
        <f t="shared" si="237"/>
        <v/>
      </c>
      <c r="IN60" s="670" t="str">
        <f t="shared" si="427"/>
        <v/>
      </c>
      <c r="IO60" s="702"/>
      <c r="IP60" s="5" t="str">
        <f t="shared" si="428"/>
        <v/>
      </c>
      <c r="IQ60" s="714"/>
      <c r="IR60" s="9" t="str">
        <f t="shared" si="429"/>
        <v/>
      </c>
      <c r="IS60" s="5" t="str">
        <f t="shared" si="430"/>
        <v/>
      </c>
      <c r="IT60" s="5" t="str">
        <f t="shared" si="431"/>
        <v/>
      </c>
      <c r="IU60" s="5" t="str">
        <f t="shared" si="432"/>
        <v/>
      </c>
      <c r="IV60" s="670" t="str">
        <f t="shared" si="433"/>
        <v/>
      </c>
      <c r="IW60" s="9" t="str">
        <f t="shared" si="434"/>
        <v/>
      </c>
      <c r="IX60" s="5" t="str">
        <f t="shared" si="435"/>
        <v/>
      </c>
      <c r="IY60" s="5" t="str">
        <f t="shared" si="436"/>
        <v/>
      </c>
      <c r="IZ60" s="5" t="str">
        <f t="shared" si="437"/>
        <v/>
      </c>
      <c r="JA60" s="705" t="str">
        <f t="shared" si="438"/>
        <v/>
      </c>
    </row>
    <row r="61" spans="1:261" ht="15" customHeight="1" x14ac:dyDescent="0.25">
      <c r="A61" s="75">
        <f t="shared" si="256"/>
        <v>0.02</v>
      </c>
      <c r="B61" s="578">
        <f t="shared" si="515"/>
        <v>-0.65058205619978804</v>
      </c>
      <c r="C61" s="572">
        <f t="shared" si="516"/>
        <v>-5.0130495405414068</v>
      </c>
      <c r="D61" s="576">
        <f t="shared" si="517"/>
        <v>-2.7585876733747279</v>
      </c>
      <c r="E61" s="580">
        <f t="shared" si="518"/>
        <v>0.79699137125783814</v>
      </c>
      <c r="F61" s="572">
        <f t="shared" si="519"/>
        <v>-0.60241839011964027</v>
      </c>
      <c r="G61" s="579">
        <f t="shared" si="520"/>
        <v>4.3552696658323085E-2</v>
      </c>
      <c r="H61" s="580">
        <f t="shared" si="521"/>
        <v>0.3125</v>
      </c>
      <c r="I61" s="572">
        <f t="shared" si="522"/>
        <v>0.52</v>
      </c>
      <c r="J61" s="483">
        <f t="shared" si="523"/>
        <v>4.1440000000000001</v>
      </c>
      <c r="K61" s="806">
        <f t="shared" si="524"/>
        <v>1613</v>
      </c>
      <c r="L61" s="82"/>
      <c r="M61" s="164">
        <f t="shared" si="267"/>
        <v>4.1440000000000001</v>
      </c>
      <c r="N61" s="575">
        <f t="shared" si="268"/>
        <v>-0.65058205619978804</v>
      </c>
      <c r="O61" s="572">
        <f t="shared" si="269"/>
        <v>-5.0130495405414068</v>
      </c>
      <c r="P61" s="576">
        <f t="shared" si="270"/>
        <v>-2.7585876733747279</v>
      </c>
      <c r="Q61" s="528">
        <f t="shared" si="140"/>
        <v>262.60561321426366</v>
      </c>
      <c r="R61" s="572">
        <f t="shared" si="101"/>
        <v>5.0550887932628399</v>
      </c>
      <c r="S61" s="577">
        <f t="shared" si="102"/>
        <v>-2.7585876733747279</v>
      </c>
      <c r="T61" s="578">
        <f t="shared" si="103"/>
        <v>-5.0178218014548115</v>
      </c>
      <c r="U61" s="572">
        <f t="shared" si="104"/>
        <v>0.6126884009154584</v>
      </c>
      <c r="V61" s="579">
        <f t="shared" si="141"/>
        <v>-2.7585876733747279</v>
      </c>
      <c r="W61" s="528">
        <f t="shared" si="253"/>
        <v>173.03850406013464</v>
      </c>
      <c r="X61" s="572">
        <f t="shared" si="105"/>
        <v>5.0550887932628399</v>
      </c>
      <c r="Y61" s="573">
        <f t="shared" si="255"/>
        <v>-2.7585876733747279</v>
      </c>
      <c r="Z61" s="575">
        <f t="shared" si="271"/>
        <v>-0.79699137125783814</v>
      </c>
      <c r="AA61" s="572">
        <f t="shared" si="272"/>
        <v>0.60241839011964027</v>
      </c>
      <c r="AB61" s="572">
        <f t="shared" si="273"/>
        <v>-4.3552696658323085E-2</v>
      </c>
      <c r="AC61" s="579">
        <f t="shared" si="106"/>
        <v>1</v>
      </c>
      <c r="AD61" s="580">
        <f t="shared" si="142"/>
        <v>-0.79699137125783814</v>
      </c>
      <c r="AE61" s="572">
        <f t="shared" si="107"/>
        <v>0.60241839011964027</v>
      </c>
      <c r="AF61" s="576">
        <f t="shared" si="108"/>
        <v>-4.3552696658323085E-2</v>
      </c>
      <c r="AG61" s="545">
        <f t="shared" si="109"/>
        <v>85.86491427819783</v>
      </c>
      <c r="AH61" s="546">
        <f t="shared" si="110"/>
        <v>142.84375234894344</v>
      </c>
      <c r="AI61" s="528">
        <f t="shared" si="111"/>
        <v>-87.50382473077525</v>
      </c>
      <c r="AJ61" s="529">
        <f t="shared" si="112"/>
        <v>-127.08438153848491</v>
      </c>
      <c r="AK61" s="578">
        <f t="shared" si="238"/>
        <v>0.86789372093390571</v>
      </c>
      <c r="AL61" s="572">
        <f t="shared" si="113"/>
        <v>-0.4948369951582926</v>
      </c>
      <c r="AM61" s="577">
        <f t="shared" si="114"/>
        <v>-4.3552696658323085E-2</v>
      </c>
      <c r="AN61" s="524">
        <f t="shared" si="115"/>
        <v>-84.970117416838406</v>
      </c>
      <c r="AO61" s="525">
        <f t="shared" si="525"/>
        <v>29.785208788526909</v>
      </c>
      <c r="AP61" s="528">
        <f t="shared" si="117"/>
        <v>-29.68999475274855</v>
      </c>
      <c r="AQ61" s="529">
        <f t="shared" si="274"/>
        <v>0.9018786567270104</v>
      </c>
      <c r="AS61" s="932">
        <f t="shared" si="461"/>
        <v>173.03850406013464</v>
      </c>
      <c r="AT61" s="928">
        <f t="shared" si="275"/>
        <v>-2.5026435098662447</v>
      </c>
      <c r="AU61" s="418"/>
      <c r="AV61" s="164" t="str">
        <f t="shared" si="276"/>
        <v/>
      </c>
      <c r="AW61" s="797" t="str">
        <f>IFERROR(INDEX(MassProp!C$9:C$150,MATCH($M61,MassProp!$B$9:$B$150,0)),"")</f>
        <v/>
      </c>
      <c r="AX61" s="744" t="str">
        <f>IFERROR(INDEX(MassProp!D$9:D$150,MATCH($M61,MassProp!$B$9:$B$150,0)),"")</f>
        <v/>
      </c>
      <c r="AY61" s="731" t="str">
        <f>IFERROR(INDEX(MassProp!E$9:E$150,MATCH($M61,MassProp!$B$9:$B$150,0)),"")</f>
        <v/>
      </c>
      <c r="AZ61" s="297" t="str">
        <f t="shared" si="144"/>
        <v/>
      </c>
      <c r="BA61" s="296" t="str">
        <f t="shared" si="278"/>
        <v/>
      </c>
      <c r="BB61" s="177" t="str">
        <f t="shared" si="145"/>
        <v/>
      </c>
      <c r="BC61" s="9"/>
      <c r="BD61" s="5" t="str">
        <f t="shared" si="146"/>
        <v/>
      </c>
      <c r="BE61" s="6" t="str">
        <f t="shared" si="280"/>
        <v/>
      </c>
      <c r="BF61" s="4" t="str">
        <f t="shared" si="281"/>
        <v/>
      </c>
      <c r="BG61" s="5" t="str">
        <f t="shared" si="282"/>
        <v/>
      </c>
      <c r="BH61" s="10" t="str">
        <f t="shared" si="283"/>
        <v/>
      </c>
      <c r="BI61" s="9" t="str">
        <f t="shared" si="147"/>
        <v/>
      </c>
      <c r="BJ61" s="5" t="str">
        <f t="shared" si="285"/>
        <v/>
      </c>
      <c r="BK61" s="8" t="str">
        <f t="shared" si="286"/>
        <v/>
      </c>
      <c r="BL61" s="173" t="str">
        <f t="shared" si="287"/>
        <v/>
      </c>
      <c r="BM61" s="5" t="str">
        <f t="shared" si="288"/>
        <v/>
      </c>
      <c r="BN61" s="6" t="str">
        <f t="shared" si="289"/>
        <v/>
      </c>
      <c r="BO61" s="4" t="str">
        <f t="shared" si="148"/>
        <v/>
      </c>
      <c r="BP61" s="5" t="str">
        <f t="shared" si="239"/>
        <v/>
      </c>
      <c r="BQ61" s="5" t="str">
        <f t="shared" si="149"/>
        <v/>
      </c>
      <c r="BR61" s="6" t="str">
        <f t="shared" si="150"/>
        <v/>
      </c>
      <c r="BS61" s="4" t="str">
        <f t="shared" si="483"/>
        <v/>
      </c>
      <c r="BT61" s="5" t="str">
        <f t="shared" si="483"/>
        <v/>
      </c>
      <c r="BU61" s="10" t="str">
        <f t="shared" si="119"/>
        <v/>
      </c>
      <c r="BV61" s="9" t="str">
        <f t="shared" si="120"/>
        <v/>
      </c>
      <c r="BW61" s="5" t="str">
        <f t="shared" si="121"/>
        <v/>
      </c>
      <c r="BX61" s="8" t="str">
        <f t="shared" si="122"/>
        <v/>
      </c>
      <c r="BY61" s="173" t="str">
        <f t="shared" si="123"/>
        <v/>
      </c>
      <c r="BZ61" s="5" t="str">
        <f t="shared" si="124"/>
        <v/>
      </c>
      <c r="CA61" s="6" t="str">
        <f t="shared" si="125"/>
        <v/>
      </c>
      <c r="CB61" s="4" t="str">
        <f t="shared" si="151"/>
        <v/>
      </c>
      <c r="CC61" s="5" t="str">
        <f t="shared" si="152"/>
        <v/>
      </c>
      <c r="CD61" s="5" t="str">
        <f t="shared" si="153"/>
        <v/>
      </c>
      <c r="CE61" s="6" t="str">
        <f t="shared" si="154"/>
        <v/>
      </c>
      <c r="CF61" s="4" t="str">
        <f t="shared" si="155"/>
        <v/>
      </c>
      <c r="CG61" s="5" t="str">
        <f t="shared" si="156"/>
        <v/>
      </c>
      <c r="CH61" s="5" t="str">
        <f t="shared" si="157"/>
        <v/>
      </c>
      <c r="CI61" s="4" t="str">
        <f t="shared" si="126"/>
        <v/>
      </c>
      <c r="CJ61" s="5" t="str">
        <f t="shared" si="127"/>
        <v/>
      </c>
      <c r="CK61" s="8" t="str">
        <f t="shared" si="128"/>
        <v/>
      </c>
      <c r="CL61" s="173" t="str">
        <f t="shared" si="129"/>
        <v/>
      </c>
      <c r="CM61" s="5" t="str">
        <f t="shared" si="130"/>
        <v/>
      </c>
      <c r="CN61" s="6" t="str">
        <f t="shared" si="131"/>
        <v/>
      </c>
      <c r="CO61" s="167" t="str">
        <f t="shared" si="305"/>
        <v/>
      </c>
      <c r="CP61" s="4" t="str">
        <f t="shared" si="240"/>
        <v/>
      </c>
      <c r="CQ61" s="5" t="str">
        <f t="shared" si="241"/>
        <v/>
      </c>
      <c r="CR61" s="5" t="str">
        <f t="shared" si="158"/>
        <v/>
      </c>
      <c r="CS61" s="8" t="str">
        <f t="shared" si="159"/>
        <v/>
      </c>
      <c r="CT61" s="9" t="str">
        <f t="shared" si="160"/>
        <v/>
      </c>
      <c r="CU61" s="6" t="str">
        <f t="shared" si="161"/>
        <v/>
      </c>
      <c r="CV61" s="4" t="str">
        <f t="shared" si="242"/>
        <v/>
      </c>
      <c r="CW61" s="5" t="str">
        <f t="shared" si="162"/>
        <v/>
      </c>
      <c r="CX61" s="8" t="str">
        <f t="shared" si="163"/>
        <v/>
      </c>
      <c r="CY61" s="9" t="str">
        <f t="shared" si="164"/>
        <v/>
      </c>
      <c r="CZ61" s="5" t="str">
        <f t="shared" si="165"/>
        <v/>
      </c>
      <c r="DA61" s="6" t="str">
        <f t="shared" si="166"/>
        <v/>
      </c>
      <c r="DB61" s="4" t="str">
        <f t="shared" si="484"/>
        <v/>
      </c>
      <c r="DC61" s="5" t="str">
        <f t="shared" si="484"/>
        <v/>
      </c>
      <c r="DD61" s="10" t="str">
        <f t="shared" si="168"/>
        <v/>
      </c>
      <c r="DE61" s="9" t="str">
        <f t="shared" si="485"/>
        <v/>
      </c>
      <c r="DF61" s="5" t="str">
        <f t="shared" si="485"/>
        <v/>
      </c>
      <c r="DG61" s="10" t="str">
        <f t="shared" si="170"/>
        <v/>
      </c>
      <c r="DH61" s="70" t="str">
        <f t="shared" si="171"/>
        <v/>
      </c>
      <c r="DI61" s="4" t="str">
        <f t="shared" si="172"/>
        <v/>
      </c>
      <c r="DJ61" s="5" t="str">
        <f t="shared" si="173"/>
        <v/>
      </c>
      <c r="DK61" s="10" t="str">
        <f t="shared" si="174"/>
        <v/>
      </c>
      <c r="DL61" s="9" t="str">
        <f t="shared" si="175"/>
        <v/>
      </c>
      <c r="DM61" s="173" t="str">
        <f t="shared" si="176"/>
        <v/>
      </c>
      <c r="DN61" s="178" t="str">
        <f t="shared" si="177"/>
        <v/>
      </c>
      <c r="DO61" s="9" t="str">
        <f t="shared" si="178"/>
        <v/>
      </c>
      <c r="DP61" s="173" t="str">
        <f t="shared" si="179"/>
        <v/>
      </c>
      <c r="DQ61" s="11" t="str">
        <f t="shared" si="180"/>
        <v/>
      </c>
      <c r="DR61" s="173" t="str">
        <f t="shared" si="181"/>
        <v/>
      </c>
      <c r="DS61" s="5" t="str">
        <f t="shared" si="182"/>
        <v/>
      </c>
      <c r="DT61" s="5" t="str">
        <f t="shared" si="183"/>
        <v/>
      </c>
      <c r="DU61" s="5" t="str">
        <f t="shared" si="184"/>
        <v/>
      </c>
      <c r="DV61" s="5" t="str">
        <f t="shared" si="185"/>
        <v/>
      </c>
      <c r="DW61" s="5" t="str">
        <f t="shared" si="186"/>
        <v/>
      </c>
      <c r="DX61" s="167" t="str">
        <f t="shared" si="187"/>
        <v/>
      </c>
      <c r="DY61" s="9" t="str">
        <f t="shared" si="188"/>
        <v/>
      </c>
      <c r="DZ61" s="5" t="str">
        <f t="shared" si="189"/>
        <v/>
      </c>
      <c r="EA61" s="10" t="str">
        <f t="shared" si="190"/>
        <v/>
      </c>
      <c r="EB61" s="6" t="str">
        <f t="shared" si="191"/>
        <v/>
      </c>
      <c r="EC61" s="173" t="str">
        <f t="shared" si="192"/>
        <v/>
      </c>
      <c r="ED61" s="5" t="str">
        <f t="shared" si="193"/>
        <v/>
      </c>
      <c r="EE61" s="4" t="str">
        <f t="shared" si="194"/>
        <v/>
      </c>
      <c r="EF61" s="5" t="str">
        <f t="shared" si="195"/>
        <v/>
      </c>
      <c r="EG61" s="10" t="str">
        <f t="shared" si="196"/>
        <v/>
      </c>
      <c r="EH61" s="9" t="str">
        <f t="shared" si="197"/>
        <v/>
      </c>
      <c r="EI61" s="5" t="str">
        <f t="shared" si="198"/>
        <v/>
      </c>
      <c r="EJ61" s="6" t="str">
        <f t="shared" si="199"/>
        <v/>
      </c>
      <c r="EK61" s="236" t="str">
        <f t="shared" si="200"/>
        <v/>
      </c>
      <c r="EL61" s="238" t="str">
        <f t="shared" si="201"/>
        <v/>
      </c>
      <c r="EM61" s="4" t="str">
        <f t="shared" si="202"/>
        <v/>
      </c>
      <c r="EN61" s="5" t="str">
        <f t="shared" si="203"/>
        <v/>
      </c>
      <c r="EO61" s="10" t="str">
        <f t="shared" si="204"/>
        <v/>
      </c>
      <c r="EP61" s="9" t="str">
        <f t="shared" si="205"/>
        <v/>
      </c>
      <c r="EQ61" s="5" t="str">
        <f t="shared" si="206"/>
        <v/>
      </c>
      <c r="ER61" s="7" t="str">
        <f t="shared" si="207"/>
        <v/>
      </c>
      <c r="ES61" s="21" t="str">
        <f t="shared" si="352"/>
        <v/>
      </c>
      <c r="ET61" s="5" t="str">
        <f t="shared" si="353"/>
        <v/>
      </c>
      <c r="EU61" s="10" t="str">
        <f t="shared" si="354"/>
        <v/>
      </c>
      <c r="EV61" s="174" t="str">
        <f t="shared" si="486"/>
        <v/>
      </c>
      <c r="EW61" s="9" t="str">
        <f t="shared" si="487"/>
        <v/>
      </c>
      <c r="EX61" s="5" t="str">
        <f t="shared" si="488"/>
        <v/>
      </c>
      <c r="EY61" s="6" t="str">
        <f t="shared" si="208"/>
        <v/>
      </c>
      <c r="EZ61" s="51" t="str">
        <f t="shared" si="209"/>
        <v/>
      </c>
      <c r="FA61" s="173" t="str">
        <f t="shared" si="489"/>
        <v/>
      </c>
      <c r="FB61" s="5" t="str">
        <f t="shared" si="490"/>
        <v/>
      </c>
      <c r="FC61" s="6" t="str">
        <f t="shared" si="491"/>
        <v/>
      </c>
      <c r="FD61" s="4" t="str">
        <f t="shared" si="492"/>
        <v/>
      </c>
      <c r="FE61" s="5" t="str">
        <f t="shared" si="493"/>
        <v/>
      </c>
      <c r="FF61" s="7" t="str">
        <f t="shared" si="210"/>
        <v/>
      </c>
      <c r="FG61" s="173" t="str">
        <f t="shared" si="494"/>
        <v/>
      </c>
      <c r="FH61" s="5" t="str">
        <f t="shared" si="495"/>
        <v/>
      </c>
      <c r="FI61" s="10" t="str">
        <f t="shared" si="496"/>
        <v/>
      </c>
      <c r="FJ61" s="279" t="str">
        <f t="shared" si="212"/>
        <v/>
      </c>
      <c r="FK61" s="4" t="str">
        <f t="shared" si="497"/>
        <v/>
      </c>
      <c r="FL61" s="5" t="str">
        <f t="shared" si="213"/>
        <v/>
      </c>
      <c r="FM61" s="8" t="str">
        <f t="shared" si="214"/>
        <v/>
      </c>
      <c r="FN61" s="9" t="str">
        <f t="shared" si="215"/>
        <v/>
      </c>
      <c r="FO61" s="10" t="str">
        <f t="shared" si="498"/>
        <v/>
      </c>
      <c r="FP61" s="277" t="str">
        <f t="shared" si="499"/>
        <v/>
      </c>
      <c r="FQ61" s="173" t="str">
        <f t="shared" si="243"/>
        <v/>
      </c>
      <c r="FR61" s="10" t="str">
        <f t="shared" si="216"/>
        <v/>
      </c>
      <c r="FS61" s="9" t="str">
        <f t="shared" si="217"/>
        <v/>
      </c>
      <c r="FT61" s="6" t="str">
        <f t="shared" si="218"/>
        <v/>
      </c>
      <c r="FU61" s="4" t="str">
        <f t="shared" si="219"/>
        <v/>
      </c>
      <c r="FV61" s="5" t="str">
        <f t="shared" si="220"/>
        <v/>
      </c>
      <c r="FW61" s="8" t="str">
        <f t="shared" si="244"/>
        <v/>
      </c>
      <c r="FX61" s="9" t="str">
        <f t="shared" si="245"/>
        <v/>
      </c>
      <c r="FY61" s="10" t="str">
        <f t="shared" si="500"/>
        <v/>
      </c>
      <c r="FZ61" s="277" t="str">
        <f t="shared" si="246"/>
        <v/>
      </c>
      <c r="GA61" s="177" t="str">
        <f t="shared" si="221"/>
        <v/>
      </c>
      <c r="GB61" s="4" t="str">
        <f t="shared" si="222"/>
        <v/>
      </c>
      <c r="GC61" s="5" t="str">
        <f t="shared" si="223"/>
        <v/>
      </c>
      <c r="GD61" s="10" t="str">
        <f t="shared" si="224"/>
        <v/>
      </c>
      <c r="GE61" s="311" t="str">
        <f t="shared" si="225"/>
        <v/>
      </c>
      <c r="GF61" s="341" t="str">
        <f t="shared" si="247"/>
        <v/>
      </c>
      <c r="GG61" s="285" t="str">
        <f t="shared" si="501"/>
        <v/>
      </c>
      <c r="GH61" s="286" t="str">
        <f t="shared" si="502"/>
        <v/>
      </c>
      <c r="GI61" s="281" t="str">
        <f t="shared" si="503"/>
        <v/>
      </c>
      <c r="GJ61" s="167" t="str">
        <f t="shared" si="226"/>
        <v/>
      </c>
      <c r="GK61" s="174" t="str">
        <f t="shared" si="504"/>
        <v/>
      </c>
      <c r="GL61" s="174" t="str">
        <f t="shared" si="227"/>
        <v/>
      </c>
      <c r="GM61" s="177" t="str">
        <f t="shared" si="248"/>
        <v/>
      </c>
      <c r="GN61" s="280" t="str">
        <f t="shared" si="228"/>
        <v/>
      </c>
      <c r="GO61" s="4" t="str">
        <f t="shared" si="229"/>
        <v/>
      </c>
      <c r="GP61" s="8" t="str">
        <f t="shared" si="249"/>
        <v/>
      </c>
      <c r="GQ61" s="177" t="str">
        <f t="shared" si="230"/>
        <v/>
      </c>
      <c r="GR61" s="371" t="str">
        <f t="shared" si="250"/>
        <v/>
      </c>
      <c r="GS61" s="342" t="str">
        <f t="shared" si="505"/>
        <v/>
      </c>
      <c r="GT61" s="343" t="str">
        <f t="shared" si="506"/>
        <v/>
      </c>
      <c r="GU61" s="344" t="str">
        <f t="shared" si="507"/>
        <v/>
      </c>
      <c r="GV61" s="343" t="str">
        <f t="shared" si="252"/>
        <v/>
      </c>
      <c r="GW61" s="345" t="str">
        <f t="shared" si="508"/>
        <v/>
      </c>
      <c r="GX61" s="346" t="str">
        <f t="shared" si="509"/>
        <v/>
      </c>
      <c r="GY61" s="344" t="str">
        <f t="shared" si="510"/>
        <v/>
      </c>
      <c r="GZ61" s="345" t="str">
        <f t="shared" si="511"/>
        <v/>
      </c>
      <c r="HA61" s="342" t="str">
        <f t="shared" si="512"/>
        <v/>
      </c>
      <c r="HB61" s="5" t="str">
        <f t="shared" si="231"/>
        <v/>
      </c>
      <c r="HC61" s="343" t="str">
        <f t="shared" si="232"/>
        <v/>
      </c>
      <c r="HD61" s="363" t="str">
        <f t="shared" si="233"/>
        <v/>
      </c>
      <c r="HE61" s="344" t="str">
        <f t="shared" si="513"/>
        <v/>
      </c>
      <c r="HF61" s="5" t="str">
        <f t="shared" si="514"/>
        <v/>
      </c>
      <c r="HG61" s="343" t="str">
        <f t="shared" si="234"/>
        <v/>
      </c>
      <c r="HH61" s="349" t="str">
        <f t="shared" si="235"/>
        <v/>
      </c>
      <c r="HI61" s="317" t="str">
        <f t="shared" si="408"/>
        <v/>
      </c>
      <c r="HK61" s="310" t="str">
        <f t="shared" si="459"/>
        <v/>
      </c>
      <c r="HL61" s="348" t="str">
        <f t="shared" si="409"/>
        <v/>
      </c>
      <c r="HM61" s="909" t="str">
        <f t="shared" si="410"/>
        <v/>
      </c>
      <c r="HN61" s="910" t="str">
        <f t="shared" si="411"/>
        <v/>
      </c>
      <c r="HO61" s="911"/>
      <c r="HP61" s="912"/>
      <c r="HQ61" s="910" t="str">
        <f t="shared" si="412"/>
        <v/>
      </c>
      <c r="HR61" s="913" t="str">
        <f t="shared" si="413"/>
        <v/>
      </c>
      <c r="HS61" s="865" t="str">
        <f t="shared" si="460"/>
        <v/>
      </c>
      <c r="HT61" s="875" t="str">
        <f t="shared" si="414"/>
        <v/>
      </c>
      <c r="HU61" s="876" t="str">
        <f t="shared" si="415"/>
        <v/>
      </c>
      <c r="HV61" s="872" t="str">
        <f t="shared" si="416"/>
        <v/>
      </c>
      <c r="HW61" s="866" t="str">
        <f t="shared" si="417"/>
        <v/>
      </c>
      <c r="HX61" s="867" t="str">
        <f t="shared" si="418"/>
        <v/>
      </c>
      <c r="HY61" s="866" t="str">
        <f t="shared" si="419"/>
        <v/>
      </c>
      <c r="HZ61" s="868" t="str">
        <f t="shared" si="420"/>
        <v/>
      </c>
      <c r="IA61" s="869" t="str">
        <f t="shared" si="421"/>
        <v/>
      </c>
      <c r="IB61" s="870" t="str">
        <f t="shared" si="422"/>
        <v/>
      </c>
      <c r="IC61" s="841" t="str">
        <f t="shared" si="423"/>
        <v/>
      </c>
      <c r="ID61" s="351" t="str">
        <f t="shared" si="424"/>
        <v/>
      </c>
      <c r="IE61" s="843" t="str">
        <f t="shared" si="425"/>
        <v/>
      </c>
      <c r="IF61" s="844"/>
      <c r="IG61" s="790" t="str">
        <f>IFERROR(IF($IW61="","",IF($IW61&lt;(((Settings!$C$19/2)*-1)*$IG$8),"Taper","Nose")),"")</f>
        <v/>
      </c>
      <c r="IH61" s="482" t="str">
        <f>IFERROR(IF((((($IY61*COS(RADIANS(180-$JA61)))*COS(RADIANS($JA61)))-(($IZ61*SIN(RADIANS(180-$JA61)))*SIN(RADIANS($JA61))))+$IW61)&lt;(((Settings!$C$19+$IH$8)/2)*-1),"Gage",""),"")</f>
        <v/>
      </c>
      <c r="II61" s="788">
        <f t="shared" si="236"/>
        <v>4.1440000000000001</v>
      </c>
      <c r="IJ61" s="674" t="str" cm="1">
        <f t="array" ref="IJ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K61" s="677" t="str" cm="1">
        <f t="array" ref="IK61">IFERROR(ROUND(VALUE(IF($IJ61&lt;1,$IJ61+LARGE((IF($M$9:$M$150="",0,$M$9:$M$150)-MOD(IF($M$9:$M$150="",0,$M$9:$M$150),1)),1),$IJ61)),4),"")</f>
        <v/>
      </c>
      <c r="IL61" s="482">
        <f t="shared" si="426"/>
        <v>1613</v>
      </c>
      <c r="IM61" s="482" t="str">
        <f t="shared" si="237"/>
        <v/>
      </c>
      <c r="IN61" s="670" t="str">
        <f t="shared" si="427"/>
        <v/>
      </c>
      <c r="IO61" s="702"/>
      <c r="IP61" s="5" t="str">
        <f t="shared" si="428"/>
        <v/>
      </c>
      <c r="IQ61" s="714"/>
      <c r="IR61" s="9" t="str">
        <f t="shared" si="429"/>
        <v/>
      </c>
      <c r="IS61" s="5" t="str">
        <f t="shared" si="430"/>
        <v/>
      </c>
      <c r="IT61" s="5" t="str">
        <f t="shared" si="431"/>
        <v/>
      </c>
      <c r="IU61" s="5" t="str">
        <f t="shared" si="432"/>
        <v/>
      </c>
      <c r="IV61" s="670" t="str">
        <f t="shared" si="433"/>
        <v/>
      </c>
      <c r="IW61" s="9" t="str">
        <f t="shared" si="434"/>
        <v/>
      </c>
      <c r="IX61" s="5" t="str">
        <f t="shared" si="435"/>
        <v/>
      </c>
      <c r="IY61" s="5" t="str">
        <f t="shared" si="436"/>
        <v/>
      </c>
      <c r="IZ61" s="5" t="str">
        <f t="shared" si="437"/>
        <v/>
      </c>
      <c r="JA61" s="705" t="str">
        <f t="shared" si="438"/>
        <v/>
      </c>
    </row>
    <row r="62" spans="1:261" ht="15" customHeight="1" x14ac:dyDescent="0.25">
      <c r="A62" s="75">
        <f t="shared" si="256"/>
        <v>0</v>
      </c>
      <c r="B62" s="578">
        <f t="shared" si="515"/>
        <v>-1.3817959091770449</v>
      </c>
      <c r="C62" s="572">
        <f t="shared" si="516"/>
        <v>-3.4197354218450564</v>
      </c>
      <c r="D62" s="576">
        <f t="shared" si="517"/>
        <v>-0.28120491982203843</v>
      </c>
      <c r="E62" s="580">
        <f t="shared" si="518"/>
        <v>-0.12813359435070973</v>
      </c>
      <c r="F62" s="572">
        <f t="shared" si="519"/>
        <v>-0.31711122345876397</v>
      </c>
      <c r="G62" s="579">
        <f t="shared" si="520"/>
        <v>0.93969263802333458</v>
      </c>
      <c r="H62" s="580">
        <f t="shared" si="521"/>
        <v>0.255</v>
      </c>
      <c r="I62" s="572">
        <f t="shared" si="522"/>
        <v>0.41499999999999992</v>
      </c>
      <c r="J62" s="483">
        <f t="shared" si="523"/>
        <v>4.22</v>
      </c>
      <c r="K62" s="806" t="str">
        <f t="shared" si="524"/>
        <v>CPS-32193r1</v>
      </c>
      <c r="L62" s="309"/>
      <c r="M62" s="164">
        <f t="shared" si="267"/>
        <v>4.22</v>
      </c>
      <c r="N62" s="575">
        <f t="shared" si="268"/>
        <v>-1.3817959091770449</v>
      </c>
      <c r="O62" s="572">
        <f t="shared" si="269"/>
        <v>-3.4197354218450564</v>
      </c>
      <c r="P62" s="576">
        <f t="shared" si="270"/>
        <v>-0.28120491982203843</v>
      </c>
      <c r="Q62" s="528">
        <f t="shared" si="140"/>
        <v>247.99808275534156</v>
      </c>
      <c r="R62" s="572">
        <f t="shared" si="101"/>
        <v>3.6883533304226974</v>
      </c>
      <c r="S62" s="577">
        <f t="shared" si="102"/>
        <v>-0.28120491982203843</v>
      </c>
      <c r="T62" s="578">
        <f t="shared" si="103"/>
        <v>-3.4300776976734135</v>
      </c>
      <c r="U62" s="572">
        <f t="shared" si="104"/>
        <v>1.3559193478830727</v>
      </c>
      <c r="V62" s="579">
        <f t="shared" si="141"/>
        <v>-0.28120491982203843</v>
      </c>
      <c r="W62" s="528">
        <f t="shared" si="253"/>
        <v>158.43097360121254</v>
      </c>
      <c r="X62" s="572">
        <f t="shared" si="105"/>
        <v>3.6883533304226974</v>
      </c>
      <c r="Y62" s="573">
        <f t="shared" si="255"/>
        <v>-0.28120491982203843</v>
      </c>
      <c r="Z62" s="575">
        <f t="shared" si="271"/>
        <v>0.12813359435070973</v>
      </c>
      <c r="AA62" s="572">
        <f t="shared" si="272"/>
        <v>0.31711122345876397</v>
      </c>
      <c r="AB62" s="572">
        <f t="shared" si="273"/>
        <v>-0.93969263802333458</v>
      </c>
      <c r="AC62" s="579">
        <f t="shared" si="106"/>
        <v>1</v>
      </c>
      <c r="AD62" s="580">
        <f t="shared" si="142"/>
        <v>0.12813359435070973</v>
      </c>
      <c r="AE62" s="572">
        <f t="shared" si="107"/>
        <v>0.31711122345876397</v>
      </c>
      <c r="AF62" s="576">
        <f t="shared" si="108"/>
        <v>-0.93969263802333458</v>
      </c>
      <c r="AG62" s="545">
        <f t="shared" si="109"/>
        <v>18.647620613622315</v>
      </c>
      <c r="AH62" s="546">
        <f t="shared" si="110"/>
        <v>82.638246844054265</v>
      </c>
      <c r="AI62" s="528">
        <f t="shared" si="111"/>
        <v>-19.999997112357679</v>
      </c>
      <c r="AJ62" s="529">
        <f t="shared" si="112"/>
        <v>157.99808275534156</v>
      </c>
      <c r="AK62" s="578">
        <f t="shared" si="238"/>
        <v>4.163336342344337E-17</v>
      </c>
      <c r="AL62" s="572">
        <f t="shared" si="113"/>
        <v>-0.3420200959662259</v>
      </c>
      <c r="AM62" s="577">
        <f t="shared" si="114"/>
        <v>-0.93969263802333458</v>
      </c>
      <c r="AN62" s="524">
        <f t="shared" si="115"/>
        <v>-19.99999711235769</v>
      </c>
      <c r="AO62" s="525">
        <f t="shared" si="525"/>
        <v>0</v>
      </c>
      <c r="AP62" s="528">
        <f t="shared" si="117"/>
        <v>-90</v>
      </c>
      <c r="AQ62" s="529">
        <f t="shared" si="274"/>
        <v>1.235984078834075</v>
      </c>
      <c r="AS62" s="932">
        <f t="shared" si="461"/>
        <v>158.43097360121254</v>
      </c>
      <c r="AT62" s="928">
        <f t="shared" si="275"/>
        <v>-4.9725195650522358E-3</v>
      </c>
      <c r="AU62" s="418"/>
      <c r="AV62" s="164" t="str">
        <f t="shared" si="276"/>
        <v/>
      </c>
      <c r="AW62" s="797" t="str">
        <f>IFERROR(INDEX(MassProp!C$9:C$150,MATCH($M62,MassProp!$B$9:$B$150,0)),"")</f>
        <v/>
      </c>
      <c r="AX62" s="744" t="str">
        <f>IFERROR(INDEX(MassProp!D$9:D$150,MATCH($M62,MassProp!$B$9:$B$150,0)),"")</f>
        <v/>
      </c>
      <c r="AY62" s="731" t="str">
        <f>IFERROR(INDEX(MassProp!E$9:E$150,MATCH($M62,MassProp!$B$9:$B$150,0)),"")</f>
        <v/>
      </c>
      <c r="AZ62" s="297" t="str">
        <f t="shared" si="144"/>
        <v/>
      </c>
      <c r="BA62" s="296" t="str">
        <f t="shared" si="278"/>
        <v/>
      </c>
      <c r="BB62" s="177" t="str">
        <f t="shared" si="145"/>
        <v/>
      </c>
      <c r="BC62" s="9"/>
      <c r="BD62" s="5" t="str">
        <f t="shared" si="146"/>
        <v/>
      </c>
      <c r="BE62" s="6" t="str">
        <f t="shared" si="280"/>
        <v/>
      </c>
      <c r="BF62" s="4" t="str">
        <f t="shared" si="281"/>
        <v/>
      </c>
      <c r="BG62" s="5" t="str">
        <f t="shared" si="282"/>
        <v/>
      </c>
      <c r="BH62" s="10" t="str">
        <f t="shared" si="283"/>
        <v/>
      </c>
      <c r="BI62" s="9" t="str">
        <f t="shared" si="147"/>
        <v/>
      </c>
      <c r="BJ62" s="5" t="str">
        <f t="shared" si="285"/>
        <v/>
      </c>
      <c r="BK62" s="8" t="str">
        <f t="shared" si="286"/>
        <v/>
      </c>
      <c r="BL62" s="173" t="str">
        <f t="shared" si="287"/>
        <v/>
      </c>
      <c r="BM62" s="5" t="str">
        <f t="shared" si="288"/>
        <v/>
      </c>
      <c r="BN62" s="6" t="str">
        <f t="shared" si="289"/>
        <v/>
      </c>
      <c r="BO62" s="4" t="str">
        <f t="shared" si="148"/>
        <v/>
      </c>
      <c r="BP62" s="5" t="str">
        <f t="shared" si="239"/>
        <v/>
      </c>
      <c r="BQ62" s="5" t="str">
        <f t="shared" si="149"/>
        <v/>
      </c>
      <c r="BR62" s="6" t="str">
        <f t="shared" si="150"/>
        <v/>
      </c>
      <c r="BS62" s="4" t="str">
        <f t="shared" si="483"/>
        <v/>
      </c>
      <c r="BT62" s="5" t="str">
        <f t="shared" si="483"/>
        <v/>
      </c>
      <c r="BU62" s="10" t="str">
        <f t="shared" si="119"/>
        <v/>
      </c>
      <c r="BV62" s="9" t="str">
        <f t="shared" si="120"/>
        <v/>
      </c>
      <c r="BW62" s="5" t="str">
        <f t="shared" si="121"/>
        <v/>
      </c>
      <c r="BX62" s="8" t="str">
        <f t="shared" si="122"/>
        <v/>
      </c>
      <c r="BY62" s="173" t="str">
        <f t="shared" si="123"/>
        <v/>
      </c>
      <c r="BZ62" s="5" t="str">
        <f t="shared" si="124"/>
        <v/>
      </c>
      <c r="CA62" s="6" t="str">
        <f t="shared" si="125"/>
        <v/>
      </c>
      <c r="CB62" s="4" t="str">
        <f t="shared" si="151"/>
        <v/>
      </c>
      <c r="CC62" s="5" t="str">
        <f t="shared" si="152"/>
        <v/>
      </c>
      <c r="CD62" s="5" t="str">
        <f t="shared" si="153"/>
        <v/>
      </c>
      <c r="CE62" s="6" t="str">
        <f t="shared" si="154"/>
        <v/>
      </c>
      <c r="CF62" s="4" t="str">
        <f t="shared" si="155"/>
        <v/>
      </c>
      <c r="CG62" s="5" t="str">
        <f t="shared" si="156"/>
        <v/>
      </c>
      <c r="CH62" s="5" t="str">
        <f t="shared" si="157"/>
        <v/>
      </c>
      <c r="CI62" s="4" t="str">
        <f t="shared" si="126"/>
        <v/>
      </c>
      <c r="CJ62" s="5" t="str">
        <f t="shared" si="127"/>
        <v/>
      </c>
      <c r="CK62" s="8" t="str">
        <f t="shared" si="128"/>
        <v/>
      </c>
      <c r="CL62" s="173" t="str">
        <f t="shared" si="129"/>
        <v/>
      </c>
      <c r="CM62" s="5" t="str">
        <f t="shared" si="130"/>
        <v/>
      </c>
      <c r="CN62" s="6" t="str">
        <f t="shared" si="131"/>
        <v/>
      </c>
      <c r="CO62" s="167" t="str">
        <f t="shared" si="305"/>
        <v/>
      </c>
      <c r="CP62" s="4" t="str">
        <f t="shared" si="240"/>
        <v/>
      </c>
      <c r="CQ62" s="5" t="str">
        <f t="shared" si="241"/>
        <v/>
      </c>
      <c r="CR62" s="5" t="str">
        <f t="shared" si="158"/>
        <v/>
      </c>
      <c r="CS62" s="8" t="str">
        <f t="shared" si="159"/>
        <v/>
      </c>
      <c r="CT62" s="9" t="str">
        <f t="shared" si="160"/>
        <v/>
      </c>
      <c r="CU62" s="6" t="str">
        <f t="shared" si="161"/>
        <v/>
      </c>
      <c r="CV62" s="4" t="str">
        <f t="shared" si="242"/>
        <v/>
      </c>
      <c r="CW62" s="5" t="str">
        <f t="shared" si="162"/>
        <v/>
      </c>
      <c r="CX62" s="8" t="str">
        <f t="shared" si="163"/>
        <v/>
      </c>
      <c r="CY62" s="9" t="str">
        <f t="shared" si="164"/>
        <v/>
      </c>
      <c r="CZ62" s="5" t="str">
        <f t="shared" si="165"/>
        <v/>
      </c>
      <c r="DA62" s="6" t="str">
        <f t="shared" si="166"/>
        <v/>
      </c>
      <c r="DB62" s="4" t="str">
        <f t="shared" si="484"/>
        <v/>
      </c>
      <c r="DC62" s="5" t="str">
        <f t="shared" si="484"/>
        <v/>
      </c>
      <c r="DD62" s="10" t="str">
        <f t="shared" si="168"/>
        <v/>
      </c>
      <c r="DE62" s="9" t="str">
        <f t="shared" si="485"/>
        <v/>
      </c>
      <c r="DF62" s="5" t="str">
        <f t="shared" si="485"/>
        <v/>
      </c>
      <c r="DG62" s="10" t="str">
        <f t="shared" si="170"/>
        <v/>
      </c>
      <c r="DH62" s="70" t="str">
        <f t="shared" si="171"/>
        <v/>
      </c>
      <c r="DI62" s="4" t="str">
        <f t="shared" si="172"/>
        <v/>
      </c>
      <c r="DJ62" s="5" t="str">
        <f t="shared" si="173"/>
        <v/>
      </c>
      <c r="DK62" s="10" t="str">
        <f t="shared" si="174"/>
        <v/>
      </c>
      <c r="DL62" s="9" t="str">
        <f t="shared" si="175"/>
        <v/>
      </c>
      <c r="DM62" s="173" t="str">
        <f t="shared" si="176"/>
        <v/>
      </c>
      <c r="DN62" s="178" t="str">
        <f t="shared" si="177"/>
        <v/>
      </c>
      <c r="DO62" s="9" t="str">
        <f t="shared" si="178"/>
        <v/>
      </c>
      <c r="DP62" s="173" t="str">
        <f t="shared" si="179"/>
        <v/>
      </c>
      <c r="DQ62" s="11" t="str">
        <f t="shared" si="180"/>
        <v/>
      </c>
      <c r="DR62" s="173" t="str">
        <f t="shared" si="181"/>
        <v/>
      </c>
      <c r="DS62" s="5" t="str">
        <f t="shared" si="182"/>
        <v/>
      </c>
      <c r="DT62" s="5" t="str">
        <f t="shared" si="183"/>
        <v/>
      </c>
      <c r="DU62" s="5" t="str">
        <f t="shared" si="184"/>
        <v/>
      </c>
      <c r="DV62" s="5" t="str">
        <f t="shared" si="185"/>
        <v/>
      </c>
      <c r="DW62" s="5" t="str">
        <f t="shared" si="186"/>
        <v/>
      </c>
      <c r="DX62" s="167" t="str">
        <f t="shared" si="187"/>
        <v/>
      </c>
      <c r="DY62" s="9" t="str">
        <f t="shared" si="188"/>
        <v/>
      </c>
      <c r="DZ62" s="5" t="str">
        <f t="shared" si="189"/>
        <v/>
      </c>
      <c r="EA62" s="10" t="str">
        <f t="shared" si="190"/>
        <v/>
      </c>
      <c r="EB62" s="6" t="str">
        <f t="shared" si="191"/>
        <v/>
      </c>
      <c r="EC62" s="173" t="str">
        <f t="shared" si="192"/>
        <v/>
      </c>
      <c r="ED62" s="5" t="str">
        <f t="shared" si="193"/>
        <v/>
      </c>
      <c r="EE62" s="4" t="str">
        <f t="shared" si="194"/>
        <v/>
      </c>
      <c r="EF62" s="5" t="str">
        <f t="shared" si="195"/>
        <v/>
      </c>
      <c r="EG62" s="10" t="str">
        <f t="shared" si="196"/>
        <v/>
      </c>
      <c r="EH62" s="9" t="str">
        <f t="shared" si="197"/>
        <v/>
      </c>
      <c r="EI62" s="5" t="str">
        <f t="shared" si="198"/>
        <v/>
      </c>
      <c r="EJ62" s="6" t="str">
        <f t="shared" si="199"/>
        <v/>
      </c>
      <c r="EK62" s="236" t="str">
        <f t="shared" si="200"/>
        <v/>
      </c>
      <c r="EL62" s="238" t="str">
        <f t="shared" si="201"/>
        <v/>
      </c>
      <c r="EM62" s="4" t="str">
        <f t="shared" si="202"/>
        <v/>
      </c>
      <c r="EN62" s="5" t="str">
        <f t="shared" si="203"/>
        <v/>
      </c>
      <c r="EO62" s="10" t="str">
        <f t="shared" si="204"/>
        <v/>
      </c>
      <c r="EP62" s="9" t="str">
        <f t="shared" si="205"/>
        <v/>
      </c>
      <c r="EQ62" s="5" t="str">
        <f t="shared" si="206"/>
        <v/>
      </c>
      <c r="ER62" s="7" t="str">
        <f t="shared" si="207"/>
        <v/>
      </c>
      <c r="ES62" s="21" t="str">
        <f t="shared" si="352"/>
        <v/>
      </c>
      <c r="ET62" s="5" t="str">
        <f t="shared" si="353"/>
        <v/>
      </c>
      <c r="EU62" s="10" t="str">
        <f t="shared" si="354"/>
        <v/>
      </c>
      <c r="EV62" s="174" t="str">
        <f t="shared" si="486"/>
        <v/>
      </c>
      <c r="EW62" s="9" t="str">
        <f t="shared" si="487"/>
        <v/>
      </c>
      <c r="EX62" s="5" t="str">
        <f t="shared" si="488"/>
        <v/>
      </c>
      <c r="EY62" s="6" t="str">
        <f t="shared" si="208"/>
        <v/>
      </c>
      <c r="EZ62" s="51" t="str">
        <f t="shared" si="209"/>
        <v/>
      </c>
      <c r="FA62" s="173" t="str">
        <f t="shared" si="489"/>
        <v/>
      </c>
      <c r="FB62" s="5" t="str">
        <f t="shared" si="490"/>
        <v/>
      </c>
      <c r="FC62" s="6" t="str">
        <f t="shared" si="491"/>
        <v/>
      </c>
      <c r="FD62" s="4" t="str">
        <f t="shared" si="492"/>
        <v/>
      </c>
      <c r="FE62" s="5" t="str">
        <f t="shared" si="493"/>
        <v/>
      </c>
      <c r="FF62" s="7" t="str">
        <f t="shared" si="210"/>
        <v/>
      </c>
      <c r="FG62" s="173" t="str">
        <f t="shared" si="494"/>
        <v/>
      </c>
      <c r="FH62" s="5" t="str">
        <f t="shared" si="495"/>
        <v/>
      </c>
      <c r="FI62" s="10" t="str">
        <f t="shared" si="496"/>
        <v/>
      </c>
      <c r="FJ62" s="279" t="str">
        <f t="shared" si="212"/>
        <v/>
      </c>
      <c r="FK62" s="4" t="str">
        <f t="shared" si="497"/>
        <v/>
      </c>
      <c r="FL62" s="5" t="str">
        <f t="shared" si="213"/>
        <v/>
      </c>
      <c r="FM62" s="8" t="str">
        <f t="shared" si="214"/>
        <v/>
      </c>
      <c r="FN62" s="9" t="str">
        <f t="shared" si="215"/>
        <v/>
      </c>
      <c r="FO62" s="10" t="str">
        <f t="shared" si="498"/>
        <v/>
      </c>
      <c r="FP62" s="277" t="str">
        <f t="shared" si="499"/>
        <v/>
      </c>
      <c r="FQ62" s="173" t="str">
        <f t="shared" si="243"/>
        <v/>
      </c>
      <c r="FR62" s="10" t="str">
        <f t="shared" si="216"/>
        <v/>
      </c>
      <c r="FS62" s="9" t="str">
        <f t="shared" si="217"/>
        <v/>
      </c>
      <c r="FT62" s="6" t="str">
        <f t="shared" si="218"/>
        <v/>
      </c>
      <c r="FU62" s="4" t="str">
        <f t="shared" si="219"/>
        <v/>
      </c>
      <c r="FV62" s="5" t="str">
        <f t="shared" si="220"/>
        <v/>
      </c>
      <c r="FW62" s="8" t="str">
        <f t="shared" si="244"/>
        <v/>
      </c>
      <c r="FX62" s="9" t="str">
        <f t="shared" si="245"/>
        <v/>
      </c>
      <c r="FY62" s="10" t="str">
        <f t="shared" si="500"/>
        <v/>
      </c>
      <c r="FZ62" s="277" t="str">
        <f t="shared" si="246"/>
        <v/>
      </c>
      <c r="GA62" s="177" t="str">
        <f t="shared" si="221"/>
        <v/>
      </c>
      <c r="GB62" s="4" t="str">
        <f t="shared" si="222"/>
        <v/>
      </c>
      <c r="GC62" s="5" t="str">
        <f t="shared" si="223"/>
        <v/>
      </c>
      <c r="GD62" s="10" t="str">
        <f t="shared" si="224"/>
        <v/>
      </c>
      <c r="GE62" s="311" t="str">
        <f t="shared" si="225"/>
        <v/>
      </c>
      <c r="GF62" s="341" t="str">
        <f t="shared" si="247"/>
        <v/>
      </c>
      <c r="GG62" s="285" t="str">
        <f t="shared" si="501"/>
        <v/>
      </c>
      <c r="GH62" s="286" t="str">
        <f t="shared" si="502"/>
        <v/>
      </c>
      <c r="GI62" s="281" t="str">
        <f t="shared" si="503"/>
        <v/>
      </c>
      <c r="GJ62" s="167" t="str">
        <f t="shared" si="226"/>
        <v/>
      </c>
      <c r="GK62" s="174" t="str">
        <f t="shared" si="504"/>
        <v/>
      </c>
      <c r="GL62" s="174" t="str">
        <f t="shared" si="227"/>
        <v/>
      </c>
      <c r="GM62" s="177" t="str">
        <f t="shared" si="248"/>
        <v/>
      </c>
      <c r="GN62" s="280" t="str">
        <f t="shared" si="228"/>
        <v/>
      </c>
      <c r="GO62" s="4" t="str">
        <f t="shared" si="229"/>
        <v/>
      </c>
      <c r="GP62" s="8" t="str">
        <f t="shared" si="249"/>
        <v/>
      </c>
      <c r="GQ62" s="177" t="str">
        <f t="shared" si="230"/>
        <v/>
      </c>
      <c r="GR62" s="371" t="str">
        <f t="shared" si="250"/>
        <v/>
      </c>
      <c r="GS62" s="342" t="str">
        <f t="shared" si="505"/>
        <v/>
      </c>
      <c r="GT62" s="343" t="str">
        <f t="shared" si="506"/>
        <v/>
      </c>
      <c r="GU62" s="344" t="str">
        <f t="shared" si="507"/>
        <v/>
      </c>
      <c r="GV62" s="343" t="str">
        <f t="shared" si="252"/>
        <v/>
      </c>
      <c r="GW62" s="345" t="str">
        <f t="shared" si="508"/>
        <v/>
      </c>
      <c r="GX62" s="346" t="str">
        <f t="shared" si="509"/>
        <v/>
      </c>
      <c r="GY62" s="344" t="str">
        <f t="shared" si="510"/>
        <v/>
      </c>
      <c r="GZ62" s="345" t="str">
        <f t="shared" si="511"/>
        <v/>
      </c>
      <c r="HA62" s="342" t="str">
        <f t="shared" si="512"/>
        <v/>
      </c>
      <c r="HB62" s="5" t="str">
        <f t="shared" si="231"/>
        <v/>
      </c>
      <c r="HC62" s="343" t="str">
        <f t="shared" si="232"/>
        <v/>
      </c>
      <c r="HD62" s="363" t="str">
        <f t="shared" si="233"/>
        <v/>
      </c>
      <c r="HE62" s="344" t="str">
        <f t="shared" si="513"/>
        <v/>
      </c>
      <c r="HF62" s="5" t="str">
        <f t="shared" si="514"/>
        <v/>
      </c>
      <c r="HG62" s="343" t="str">
        <f t="shared" si="234"/>
        <v/>
      </c>
      <c r="HH62" s="349" t="str">
        <f t="shared" si="235"/>
        <v/>
      </c>
      <c r="HI62" s="317" t="str">
        <f t="shared" si="408"/>
        <v/>
      </c>
      <c r="HK62" s="310" t="str">
        <f t="shared" si="459"/>
        <v/>
      </c>
      <c r="HL62" s="348" t="str">
        <f t="shared" si="409"/>
        <v/>
      </c>
      <c r="HM62" s="909" t="str">
        <f t="shared" si="410"/>
        <v/>
      </c>
      <c r="HN62" s="910" t="str">
        <f t="shared" si="411"/>
        <v/>
      </c>
      <c r="HO62" s="911"/>
      <c r="HP62" s="912"/>
      <c r="HQ62" s="910" t="str">
        <f t="shared" si="412"/>
        <v/>
      </c>
      <c r="HR62" s="913" t="str">
        <f t="shared" si="413"/>
        <v/>
      </c>
      <c r="HS62" s="865" t="str">
        <f t="shared" si="460"/>
        <v/>
      </c>
      <c r="HT62" s="875" t="str">
        <f t="shared" si="414"/>
        <v/>
      </c>
      <c r="HU62" s="876" t="str">
        <f t="shared" si="415"/>
        <v/>
      </c>
      <c r="HV62" s="872" t="str">
        <f t="shared" si="416"/>
        <v/>
      </c>
      <c r="HW62" s="866" t="str">
        <f t="shared" si="417"/>
        <v/>
      </c>
      <c r="HX62" s="867" t="str">
        <f t="shared" si="418"/>
        <v/>
      </c>
      <c r="HY62" s="866" t="str">
        <f t="shared" si="419"/>
        <v/>
      </c>
      <c r="HZ62" s="868" t="str">
        <f t="shared" si="420"/>
        <v/>
      </c>
      <c r="IA62" s="869" t="str">
        <f t="shared" si="421"/>
        <v/>
      </c>
      <c r="IB62" s="870" t="str">
        <f t="shared" si="422"/>
        <v/>
      </c>
      <c r="IC62" s="841" t="str">
        <f t="shared" si="423"/>
        <v/>
      </c>
      <c r="ID62" s="351" t="str">
        <f t="shared" si="424"/>
        <v/>
      </c>
      <c r="IE62" s="843" t="str">
        <f t="shared" si="425"/>
        <v/>
      </c>
      <c r="IF62" s="844"/>
      <c r="IG62" s="790" t="str">
        <f>IFERROR(IF($IW62="","",IF($IW62&lt;(((Settings!$C$19/2)*-1)*$IG$8),"Taper","Nose")),"")</f>
        <v>Nose</v>
      </c>
      <c r="IH62" s="482" t="str">
        <f>IFERROR(IF((((($IY62*COS(RADIANS(180-$JA62)))*COS(RADIANS($JA62)))-(($IZ62*SIN(RADIANS(180-$JA62)))*SIN(RADIANS($JA62))))+$IW62)&lt;(((Settings!$C$19+$IH$8)/2)*-1),"Gage",""),"")</f>
        <v/>
      </c>
      <c r="II62" s="788">
        <f t="shared" si="236"/>
        <v>4.22</v>
      </c>
      <c r="IJ62" s="674" cm="1">
        <f t="array" ref="IJ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>4.12</v>
      </c>
      <c r="IK62" s="677" cm="1">
        <f t="array" ref="IK62">IFERROR(ROUND(VALUE(IF($IJ62&lt;1,$IJ62+LARGE((IF($M$9:$M$150="",0,$M$9:$M$150)-MOD(IF($M$9:$M$150="",0,$M$9:$M$150),1)),1),$IJ62)),4),"")</f>
        <v>4.12</v>
      </c>
      <c r="IL62" s="482">
        <f t="shared" si="426"/>
        <v>1613</v>
      </c>
      <c r="IM62" s="482" t="str">
        <f t="shared" si="237"/>
        <v>CPS-32193r1</v>
      </c>
      <c r="IN62" s="670">
        <f t="shared" si="427"/>
        <v>16.32243457947277</v>
      </c>
      <c r="IO62" s="702">
        <v>6.1979482292752998E-2</v>
      </c>
      <c r="IP62" s="5">
        <f t="shared" si="428"/>
        <v>1.72</v>
      </c>
      <c r="IQ62" s="714">
        <v>860</v>
      </c>
      <c r="IR62" s="9">
        <f t="shared" si="429"/>
        <v>-3.690665647678546</v>
      </c>
      <c r="IS62" s="5">
        <f t="shared" si="430"/>
        <v>-0.24835308133578413</v>
      </c>
      <c r="IT62" s="5">
        <f t="shared" si="431"/>
        <v>0.3125</v>
      </c>
      <c r="IU62" s="5">
        <f t="shared" si="432"/>
        <v>0.29955620469898403</v>
      </c>
      <c r="IV62" s="670">
        <f t="shared" si="433"/>
        <v>22.793338283804125</v>
      </c>
      <c r="IW62" s="9">
        <f t="shared" si="434"/>
        <v>-3.6883533304226974</v>
      </c>
      <c r="IX62" s="5">
        <f t="shared" si="435"/>
        <v>-0.28120491982203843</v>
      </c>
      <c r="IY62" s="5">
        <f t="shared" si="436"/>
        <v>0.255</v>
      </c>
      <c r="IZ62" s="5">
        <f t="shared" si="437"/>
        <v>0.255</v>
      </c>
      <c r="JA62" s="705">
        <f t="shared" si="438"/>
        <v>19.99999711235769</v>
      </c>
    </row>
    <row r="63" spans="1:261" ht="15" customHeight="1" x14ac:dyDescent="0.25">
      <c r="A63" s="75">
        <f t="shared" si="256"/>
        <v>0</v>
      </c>
      <c r="B63" s="578">
        <f t="shared" si="515"/>
        <v>-1.5184291916044943</v>
      </c>
      <c r="C63" s="572">
        <f t="shared" si="516"/>
        <v>-4.0386743166618224</v>
      </c>
      <c r="D63" s="576">
        <f t="shared" si="517"/>
        <v>-0.6740116129023761</v>
      </c>
      <c r="E63" s="580">
        <f t="shared" si="518"/>
        <v>-0.2308809968203244</v>
      </c>
      <c r="F63" s="572">
        <f t="shared" si="519"/>
        <v>-0.61409063868050251</v>
      </c>
      <c r="G63" s="579">
        <f t="shared" si="520"/>
        <v>0.75470964800526175</v>
      </c>
      <c r="H63" s="580">
        <f t="shared" si="521"/>
        <v>0.255</v>
      </c>
      <c r="I63" s="572">
        <f t="shared" si="522"/>
        <v>0.41499999999999992</v>
      </c>
      <c r="J63" s="483">
        <f t="shared" si="523"/>
        <v>4.226</v>
      </c>
      <c r="K63" s="806" t="str">
        <f t="shared" si="524"/>
        <v>CPS-32193r1</v>
      </c>
      <c r="L63" s="309"/>
      <c r="M63" s="164">
        <f t="shared" si="267"/>
        <v>4.226</v>
      </c>
      <c r="N63" s="575">
        <f t="shared" si="268"/>
        <v>-1.5184291916044943</v>
      </c>
      <c r="O63" s="572">
        <f t="shared" si="269"/>
        <v>-4.0386743166618224</v>
      </c>
      <c r="P63" s="576">
        <f t="shared" si="270"/>
        <v>-0.6740116129023761</v>
      </c>
      <c r="Q63" s="528">
        <f t="shared" si="140"/>
        <v>249.39513587595451</v>
      </c>
      <c r="R63" s="572">
        <f t="shared" si="101"/>
        <v>4.3146862511636366</v>
      </c>
      <c r="S63" s="577">
        <f t="shared" si="102"/>
        <v>-0.6740116129023761</v>
      </c>
      <c r="T63" s="578">
        <f t="shared" si="103"/>
        <v>-4.0500312321950513</v>
      </c>
      <c r="U63" s="572">
        <f t="shared" si="104"/>
        <v>1.4878724623519153</v>
      </c>
      <c r="V63" s="579">
        <f t="shared" si="141"/>
        <v>-0.6740116129023761</v>
      </c>
      <c r="W63" s="528">
        <f t="shared" si="253"/>
        <v>159.82802672182549</v>
      </c>
      <c r="X63" s="572">
        <f t="shared" si="105"/>
        <v>4.3146862511636366</v>
      </c>
      <c r="Y63" s="573">
        <f t="shared" si="255"/>
        <v>-0.6740116129023761</v>
      </c>
      <c r="Z63" s="575">
        <f t="shared" si="271"/>
        <v>0.2308809968203244</v>
      </c>
      <c r="AA63" s="572">
        <f t="shared" si="272"/>
        <v>0.61409063868050251</v>
      </c>
      <c r="AB63" s="572">
        <f t="shared" si="273"/>
        <v>-0.75470964800526175</v>
      </c>
      <c r="AC63" s="579">
        <f t="shared" si="106"/>
        <v>1</v>
      </c>
      <c r="AD63" s="580">
        <f t="shared" si="142"/>
        <v>0.2308809968203244</v>
      </c>
      <c r="AE63" s="572">
        <f t="shared" si="107"/>
        <v>0.61409063868050251</v>
      </c>
      <c r="AF63" s="576">
        <f t="shared" si="108"/>
        <v>-0.75470964800526175</v>
      </c>
      <c r="AG63" s="545">
        <f t="shared" si="109"/>
        <v>39.134490999472639</v>
      </c>
      <c r="AH63" s="546">
        <f t="shared" si="110"/>
        <v>76.651054749415735</v>
      </c>
      <c r="AI63" s="528">
        <f t="shared" si="111"/>
        <v>-40.999994080333252</v>
      </c>
      <c r="AJ63" s="529">
        <f t="shared" si="112"/>
        <v>159.39513587595448</v>
      </c>
      <c r="AK63" s="578">
        <f t="shared" si="238"/>
        <v>-2.4980018054066022E-16</v>
      </c>
      <c r="AL63" s="572">
        <f t="shared" si="113"/>
        <v>-0.65605895101566447</v>
      </c>
      <c r="AM63" s="577">
        <f t="shared" si="114"/>
        <v>-0.75470964800526175</v>
      </c>
      <c r="AN63" s="524">
        <f t="shared" si="115"/>
        <v>-40.999994080333266</v>
      </c>
      <c r="AO63" s="525">
        <f t="shared" si="525"/>
        <v>0</v>
      </c>
      <c r="AP63" s="528">
        <f t="shared" si="117"/>
        <v>-90.000000000000014</v>
      </c>
      <c r="AQ63" s="529">
        <f t="shared" si="274"/>
        <v>1.0566090149978431</v>
      </c>
      <c r="AS63" s="932">
        <f t="shared" si="461"/>
        <v>159.82802672182549</v>
      </c>
      <c r="AT63" s="928">
        <f t="shared" si="275"/>
        <v>-0.39971956420179677</v>
      </c>
      <c r="AU63" s="418"/>
      <c r="AV63" s="164" t="str">
        <f t="shared" si="276"/>
        <v/>
      </c>
      <c r="AW63" s="797" t="str">
        <f>IFERROR(INDEX(MassProp!C$9:C$150,MATCH($M63,MassProp!$B$9:$B$150,0)),"")</f>
        <v/>
      </c>
      <c r="AX63" s="744" t="str">
        <f>IFERROR(INDEX(MassProp!D$9:D$150,MATCH($M63,MassProp!$B$9:$B$150,0)),"")</f>
        <v/>
      </c>
      <c r="AY63" s="731" t="str">
        <f>IFERROR(INDEX(MassProp!E$9:E$150,MATCH($M63,MassProp!$B$9:$B$150,0)),"")</f>
        <v/>
      </c>
      <c r="AZ63" s="297" t="str">
        <f t="shared" si="144"/>
        <v/>
      </c>
      <c r="BA63" s="296" t="str">
        <f t="shared" si="278"/>
        <v/>
      </c>
      <c r="BB63" s="177" t="str">
        <f t="shared" si="145"/>
        <v/>
      </c>
      <c r="BC63" s="9"/>
      <c r="BD63" s="5" t="str">
        <f t="shared" si="146"/>
        <v/>
      </c>
      <c r="BE63" s="6" t="str">
        <f t="shared" si="280"/>
        <v/>
      </c>
      <c r="BF63" s="4" t="str">
        <f t="shared" si="281"/>
        <v/>
      </c>
      <c r="BG63" s="5" t="str">
        <f t="shared" si="282"/>
        <v/>
      </c>
      <c r="BH63" s="10" t="str">
        <f t="shared" si="283"/>
        <v/>
      </c>
      <c r="BI63" s="9" t="str">
        <f t="shared" si="147"/>
        <v/>
      </c>
      <c r="BJ63" s="5" t="str">
        <f t="shared" si="285"/>
        <v/>
      </c>
      <c r="BK63" s="8" t="str">
        <f t="shared" si="286"/>
        <v/>
      </c>
      <c r="BL63" s="173" t="str">
        <f t="shared" si="287"/>
        <v/>
      </c>
      <c r="BM63" s="5" t="str">
        <f t="shared" si="288"/>
        <v/>
      </c>
      <c r="BN63" s="6" t="str">
        <f t="shared" si="289"/>
        <v/>
      </c>
      <c r="BO63" s="4" t="str">
        <f t="shared" si="148"/>
        <v/>
      </c>
      <c r="BP63" s="5" t="str">
        <f t="shared" si="239"/>
        <v/>
      </c>
      <c r="BQ63" s="5" t="str">
        <f t="shared" si="149"/>
        <v/>
      </c>
      <c r="BR63" s="6" t="str">
        <f t="shared" si="150"/>
        <v/>
      </c>
      <c r="BS63" s="4" t="str">
        <f t="shared" si="483"/>
        <v/>
      </c>
      <c r="BT63" s="5" t="str">
        <f t="shared" si="483"/>
        <v/>
      </c>
      <c r="BU63" s="10" t="str">
        <f t="shared" si="119"/>
        <v/>
      </c>
      <c r="BV63" s="9" t="str">
        <f t="shared" si="120"/>
        <v/>
      </c>
      <c r="BW63" s="5" t="str">
        <f t="shared" si="121"/>
        <v/>
      </c>
      <c r="BX63" s="8" t="str">
        <f t="shared" si="122"/>
        <v/>
      </c>
      <c r="BY63" s="173" t="str">
        <f t="shared" si="123"/>
        <v/>
      </c>
      <c r="BZ63" s="5" t="str">
        <f t="shared" si="124"/>
        <v/>
      </c>
      <c r="CA63" s="6" t="str">
        <f t="shared" si="125"/>
        <v/>
      </c>
      <c r="CB63" s="4" t="str">
        <f t="shared" si="151"/>
        <v/>
      </c>
      <c r="CC63" s="5" t="str">
        <f t="shared" si="152"/>
        <v/>
      </c>
      <c r="CD63" s="5" t="str">
        <f t="shared" si="153"/>
        <v/>
      </c>
      <c r="CE63" s="6" t="str">
        <f t="shared" si="154"/>
        <v/>
      </c>
      <c r="CF63" s="4" t="str">
        <f t="shared" si="155"/>
        <v/>
      </c>
      <c r="CG63" s="5" t="str">
        <f t="shared" si="156"/>
        <v/>
      </c>
      <c r="CH63" s="5" t="str">
        <f t="shared" si="157"/>
        <v/>
      </c>
      <c r="CI63" s="4" t="str">
        <f t="shared" si="126"/>
        <v/>
      </c>
      <c r="CJ63" s="5" t="str">
        <f t="shared" si="127"/>
        <v/>
      </c>
      <c r="CK63" s="8" t="str">
        <f t="shared" si="128"/>
        <v/>
      </c>
      <c r="CL63" s="173" t="str">
        <f t="shared" si="129"/>
        <v/>
      </c>
      <c r="CM63" s="5" t="str">
        <f t="shared" si="130"/>
        <v/>
      </c>
      <c r="CN63" s="6" t="str">
        <f t="shared" si="131"/>
        <v/>
      </c>
      <c r="CO63" s="167" t="str">
        <f t="shared" si="305"/>
        <v/>
      </c>
      <c r="CP63" s="4" t="str">
        <f t="shared" si="240"/>
        <v/>
      </c>
      <c r="CQ63" s="5" t="str">
        <f t="shared" si="241"/>
        <v/>
      </c>
      <c r="CR63" s="5" t="str">
        <f t="shared" si="158"/>
        <v/>
      </c>
      <c r="CS63" s="8" t="str">
        <f t="shared" si="159"/>
        <v/>
      </c>
      <c r="CT63" s="9" t="str">
        <f t="shared" si="160"/>
        <v/>
      </c>
      <c r="CU63" s="6" t="str">
        <f t="shared" si="161"/>
        <v/>
      </c>
      <c r="CV63" s="4" t="str">
        <f t="shared" si="242"/>
        <v/>
      </c>
      <c r="CW63" s="5" t="str">
        <f t="shared" si="162"/>
        <v/>
      </c>
      <c r="CX63" s="8" t="str">
        <f t="shared" si="163"/>
        <v/>
      </c>
      <c r="CY63" s="9" t="str">
        <f t="shared" si="164"/>
        <v/>
      </c>
      <c r="CZ63" s="5" t="str">
        <f t="shared" si="165"/>
        <v/>
      </c>
      <c r="DA63" s="6" t="str">
        <f t="shared" si="166"/>
        <v/>
      </c>
      <c r="DB63" s="4" t="str">
        <f t="shared" si="484"/>
        <v/>
      </c>
      <c r="DC63" s="5" t="str">
        <f t="shared" si="484"/>
        <v/>
      </c>
      <c r="DD63" s="10" t="str">
        <f t="shared" si="168"/>
        <v/>
      </c>
      <c r="DE63" s="9" t="str">
        <f t="shared" si="485"/>
        <v/>
      </c>
      <c r="DF63" s="5" t="str">
        <f t="shared" si="485"/>
        <v/>
      </c>
      <c r="DG63" s="10" t="str">
        <f t="shared" si="170"/>
        <v/>
      </c>
      <c r="DH63" s="70" t="str">
        <f t="shared" si="171"/>
        <v/>
      </c>
      <c r="DI63" s="4" t="str">
        <f t="shared" si="172"/>
        <v/>
      </c>
      <c r="DJ63" s="5" t="str">
        <f t="shared" si="173"/>
        <v/>
      </c>
      <c r="DK63" s="10" t="str">
        <f t="shared" si="174"/>
        <v/>
      </c>
      <c r="DL63" s="9" t="str">
        <f t="shared" si="175"/>
        <v/>
      </c>
      <c r="DM63" s="173" t="str">
        <f t="shared" si="176"/>
        <v/>
      </c>
      <c r="DN63" s="178" t="str">
        <f t="shared" si="177"/>
        <v/>
      </c>
      <c r="DO63" s="9" t="str">
        <f t="shared" si="178"/>
        <v/>
      </c>
      <c r="DP63" s="173" t="str">
        <f t="shared" si="179"/>
        <v/>
      </c>
      <c r="DQ63" s="11" t="str">
        <f t="shared" si="180"/>
        <v/>
      </c>
      <c r="DR63" s="173" t="str">
        <f t="shared" si="181"/>
        <v/>
      </c>
      <c r="DS63" s="5" t="str">
        <f t="shared" si="182"/>
        <v/>
      </c>
      <c r="DT63" s="5" t="str">
        <f t="shared" si="183"/>
        <v/>
      </c>
      <c r="DU63" s="5" t="str">
        <f t="shared" si="184"/>
        <v/>
      </c>
      <c r="DV63" s="5" t="str">
        <f t="shared" si="185"/>
        <v/>
      </c>
      <c r="DW63" s="5" t="str">
        <f t="shared" si="186"/>
        <v/>
      </c>
      <c r="DX63" s="167" t="str">
        <f t="shared" si="187"/>
        <v/>
      </c>
      <c r="DY63" s="9" t="str">
        <f t="shared" si="188"/>
        <v/>
      </c>
      <c r="DZ63" s="5" t="str">
        <f t="shared" si="189"/>
        <v/>
      </c>
      <c r="EA63" s="10" t="str">
        <f t="shared" si="190"/>
        <v/>
      </c>
      <c r="EB63" s="6" t="str">
        <f t="shared" si="191"/>
        <v/>
      </c>
      <c r="EC63" s="173" t="str">
        <f t="shared" si="192"/>
        <v/>
      </c>
      <c r="ED63" s="5" t="str">
        <f t="shared" si="193"/>
        <v/>
      </c>
      <c r="EE63" s="4" t="str">
        <f t="shared" si="194"/>
        <v/>
      </c>
      <c r="EF63" s="5" t="str">
        <f t="shared" si="195"/>
        <v/>
      </c>
      <c r="EG63" s="10" t="str">
        <f t="shared" si="196"/>
        <v/>
      </c>
      <c r="EH63" s="9" t="str">
        <f t="shared" si="197"/>
        <v/>
      </c>
      <c r="EI63" s="5" t="str">
        <f t="shared" si="198"/>
        <v/>
      </c>
      <c r="EJ63" s="6" t="str">
        <f t="shared" si="199"/>
        <v/>
      </c>
      <c r="EK63" s="236" t="str">
        <f t="shared" si="200"/>
        <v/>
      </c>
      <c r="EL63" s="238" t="str">
        <f t="shared" si="201"/>
        <v/>
      </c>
      <c r="EM63" s="4" t="str">
        <f t="shared" si="202"/>
        <v/>
      </c>
      <c r="EN63" s="5" t="str">
        <f t="shared" si="203"/>
        <v/>
      </c>
      <c r="EO63" s="10" t="str">
        <f t="shared" si="204"/>
        <v/>
      </c>
      <c r="EP63" s="9" t="str">
        <f t="shared" si="205"/>
        <v/>
      </c>
      <c r="EQ63" s="5" t="str">
        <f t="shared" si="206"/>
        <v/>
      </c>
      <c r="ER63" s="7" t="str">
        <f t="shared" si="207"/>
        <v/>
      </c>
      <c r="ES63" s="21" t="str">
        <f t="shared" si="352"/>
        <v/>
      </c>
      <c r="ET63" s="5" t="str">
        <f t="shared" si="353"/>
        <v/>
      </c>
      <c r="EU63" s="10" t="str">
        <f t="shared" si="354"/>
        <v/>
      </c>
      <c r="EV63" s="174" t="str">
        <f t="shared" si="486"/>
        <v/>
      </c>
      <c r="EW63" s="9" t="str">
        <f t="shared" si="487"/>
        <v/>
      </c>
      <c r="EX63" s="5" t="str">
        <f t="shared" si="488"/>
        <v/>
      </c>
      <c r="EY63" s="6" t="str">
        <f t="shared" si="208"/>
        <v/>
      </c>
      <c r="EZ63" s="51" t="str">
        <f t="shared" si="209"/>
        <v/>
      </c>
      <c r="FA63" s="173" t="str">
        <f t="shared" si="489"/>
        <v/>
      </c>
      <c r="FB63" s="5" t="str">
        <f t="shared" si="490"/>
        <v/>
      </c>
      <c r="FC63" s="6" t="str">
        <f t="shared" si="491"/>
        <v/>
      </c>
      <c r="FD63" s="4" t="str">
        <f t="shared" si="492"/>
        <v/>
      </c>
      <c r="FE63" s="5" t="str">
        <f t="shared" si="493"/>
        <v/>
      </c>
      <c r="FF63" s="7" t="str">
        <f t="shared" si="210"/>
        <v/>
      </c>
      <c r="FG63" s="173" t="str">
        <f t="shared" si="494"/>
        <v/>
      </c>
      <c r="FH63" s="5" t="str">
        <f t="shared" si="495"/>
        <v/>
      </c>
      <c r="FI63" s="10" t="str">
        <f t="shared" si="496"/>
        <v/>
      </c>
      <c r="FJ63" s="279" t="str">
        <f t="shared" si="212"/>
        <v/>
      </c>
      <c r="FK63" s="4" t="str">
        <f t="shared" si="497"/>
        <v/>
      </c>
      <c r="FL63" s="5" t="str">
        <f t="shared" si="213"/>
        <v/>
      </c>
      <c r="FM63" s="8" t="str">
        <f t="shared" si="214"/>
        <v/>
      </c>
      <c r="FN63" s="9" t="str">
        <f t="shared" si="215"/>
        <v/>
      </c>
      <c r="FO63" s="10" t="str">
        <f t="shared" si="498"/>
        <v/>
      </c>
      <c r="FP63" s="277" t="str">
        <f t="shared" si="499"/>
        <v/>
      </c>
      <c r="FQ63" s="173" t="str">
        <f t="shared" si="243"/>
        <v/>
      </c>
      <c r="FR63" s="10" t="str">
        <f t="shared" si="216"/>
        <v/>
      </c>
      <c r="FS63" s="9" t="str">
        <f t="shared" si="217"/>
        <v/>
      </c>
      <c r="FT63" s="6" t="str">
        <f t="shared" si="218"/>
        <v/>
      </c>
      <c r="FU63" s="4" t="str">
        <f t="shared" si="219"/>
        <v/>
      </c>
      <c r="FV63" s="5" t="str">
        <f t="shared" si="220"/>
        <v/>
      </c>
      <c r="FW63" s="8" t="str">
        <f t="shared" si="244"/>
        <v/>
      </c>
      <c r="FX63" s="9" t="str">
        <f t="shared" si="245"/>
        <v/>
      </c>
      <c r="FY63" s="10" t="str">
        <f t="shared" si="500"/>
        <v/>
      </c>
      <c r="FZ63" s="277" t="str">
        <f t="shared" si="246"/>
        <v/>
      </c>
      <c r="GA63" s="177" t="str">
        <f t="shared" si="221"/>
        <v/>
      </c>
      <c r="GB63" s="4" t="str">
        <f t="shared" si="222"/>
        <v/>
      </c>
      <c r="GC63" s="5" t="str">
        <f t="shared" si="223"/>
        <v/>
      </c>
      <c r="GD63" s="10" t="str">
        <f t="shared" si="224"/>
        <v/>
      </c>
      <c r="GE63" s="311" t="str">
        <f t="shared" si="225"/>
        <v/>
      </c>
      <c r="GF63" s="341" t="str">
        <f t="shared" si="247"/>
        <v/>
      </c>
      <c r="GG63" s="285" t="str">
        <f t="shared" si="501"/>
        <v/>
      </c>
      <c r="GH63" s="286" t="str">
        <f t="shared" si="502"/>
        <v/>
      </c>
      <c r="GI63" s="281" t="str">
        <f t="shared" si="503"/>
        <v/>
      </c>
      <c r="GJ63" s="167" t="str">
        <f t="shared" si="226"/>
        <v/>
      </c>
      <c r="GK63" s="174" t="str">
        <f t="shared" si="504"/>
        <v/>
      </c>
      <c r="GL63" s="174" t="str">
        <f t="shared" si="227"/>
        <v/>
      </c>
      <c r="GM63" s="177" t="str">
        <f t="shared" si="248"/>
        <v/>
      </c>
      <c r="GN63" s="280" t="str">
        <f t="shared" si="228"/>
        <v/>
      </c>
      <c r="GO63" s="4" t="str">
        <f t="shared" si="229"/>
        <v/>
      </c>
      <c r="GP63" s="8" t="str">
        <f t="shared" si="249"/>
        <v/>
      </c>
      <c r="GQ63" s="177" t="str">
        <f t="shared" si="230"/>
        <v/>
      </c>
      <c r="GR63" s="371" t="str">
        <f t="shared" si="250"/>
        <v/>
      </c>
      <c r="GS63" s="342" t="str">
        <f t="shared" si="505"/>
        <v/>
      </c>
      <c r="GT63" s="343" t="str">
        <f t="shared" si="506"/>
        <v/>
      </c>
      <c r="GU63" s="344" t="str">
        <f t="shared" si="507"/>
        <v/>
      </c>
      <c r="GV63" s="343" t="str">
        <f t="shared" si="252"/>
        <v/>
      </c>
      <c r="GW63" s="345" t="str">
        <f t="shared" si="508"/>
        <v/>
      </c>
      <c r="GX63" s="346" t="str">
        <f t="shared" si="509"/>
        <v/>
      </c>
      <c r="GY63" s="344" t="str">
        <f t="shared" si="510"/>
        <v/>
      </c>
      <c r="GZ63" s="345" t="str">
        <f t="shared" si="511"/>
        <v/>
      </c>
      <c r="HA63" s="342" t="str">
        <f t="shared" si="512"/>
        <v/>
      </c>
      <c r="HB63" s="5" t="str">
        <f t="shared" si="231"/>
        <v/>
      </c>
      <c r="HC63" s="343" t="str">
        <f t="shared" si="232"/>
        <v/>
      </c>
      <c r="HD63" s="363" t="str">
        <f t="shared" si="233"/>
        <v/>
      </c>
      <c r="HE63" s="344" t="str">
        <f t="shared" si="513"/>
        <v/>
      </c>
      <c r="HF63" s="5" t="str">
        <f t="shared" si="514"/>
        <v/>
      </c>
      <c r="HG63" s="343" t="str">
        <f t="shared" si="234"/>
        <v/>
      </c>
      <c r="HH63" s="349" t="str">
        <f t="shared" si="235"/>
        <v/>
      </c>
      <c r="HI63" s="317" t="str">
        <f t="shared" si="408"/>
        <v/>
      </c>
      <c r="HK63" s="310" t="str">
        <f t="shared" si="459"/>
        <v/>
      </c>
      <c r="HL63" s="348" t="str">
        <f t="shared" si="409"/>
        <v/>
      </c>
      <c r="HM63" s="909" t="str">
        <f t="shared" si="410"/>
        <v/>
      </c>
      <c r="HN63" s="910" t="str">
        <f t="shared" si="411"/>
        <v/>
      </c>
      <c r="HO63" s="911"/>
      <c r="HP63" s="912"/>
      <c r="HQ63" s="910" t="str">
        <f t="shared" si="412"/>
        <v/>
      </c>
      <c r="HR63" s="913" t="str">
        <f t="shared" si="413"/>
        <v/>
      </c>
      <c r="HS63" s="865" t="str">
        <f t="shared" si="460"/>
        <v/>
      </c>
      <c r="HT63" s="875" t="str">
        <f t="shared" si="414"/>
        <v/>
      </c>
      <c r="HU63" s="876" t="str">
        <f t="shared" si="415"/>
        <v/>
      </c>
      <c r="HV63" s="872" t="str">
        <f t="shared" si="416"/>
        <v/>
      </c>
      <c r="HW63" s="866" t="str">
        <f t="shared" si="417"/>
        <v/>
      </c>
      <c r="HX63" s="867" t="str">
        <f t="shared" si="418"/>
        <v/>
      </c>
      <c r="HY63" s="866" t="str">
        <f t="shared" si="419"/>
        <v/>
      </c>
      <c r="HZ63" s="868" t="str">
        <f t="shared" si="420"/>
        <v/>
      </c>
      <c r="IA63" s="869" t="str">
        <f t="shared" si="421"/>
        <v/>
      </c>
      <c r="IB63" s="870" t="str">
        <f t="shared" si="422"/>
        <v/>
      </c>
      <c r="IC63" s="841" t="str">
        <f t="shared" si="423"/>
        <v/>
      </c>
      <c r="ID63" s="351" t="str">
        <f t="shared" si="424"/>
        <v/>
      </c>
      <c r="IE63" s="843" t="str">
        <f t="shared" si="425"/>
        <v/>
      </c>
      <c r="IF63" s="844"/>
      <c r="IG63" s="790" t="str">
        <f>IFERROR(IF($IW63="","",IF($IW63&lt;(((Settings!$C$19/2)*-1)*$IG$8),"Taper","Nose")),"")</f>
        <v>Taper</v>
      </c>
      <c r="IH63" s="482" t="str">
        <f>IFERROR(IF((((($IY63*COS(RADIANS(180-$JA63)))*COS(RADIANS($JA63)))-(($IZ63*SIN(RADIANS(180-$JA63)))*SIN(RADIANS($JA63))))+$IW63)&lt;(((Settings!$C$19+$IH$8)/2)*-1),"Gage",""),"")</f>
        <v/>
      </c>
      <c r="II63" s="788">
        <f t="shared" si="236"/>
        <v>4.226</v>
      </c>
      <c r="IJ63" s="674" cm="1">
        <f t="array" ref="IJ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>4.1260000000000003</v>
      </c>
      <c r="IK63" s="677" cm="1">
        <f t="array" ref="IK63">IFERROR(ROUND(VALUE(IF($IJ63&lt;1,$IJ63+LARGE((IF($M$9:$M$150="",0,$M$9:$M$150)-MOD(IF($M$9:$M$150="",0,$M$9:$M$150),1)),1),$IJ63)),4),"")</f>
        <v>4.1260000000000003</v>
      </c>
      <c r="IL63" s="482">
        <f t="shared" si="426"/>
        <v>1613</v>
      </c>
      <c r="IM63" s="482" t="str">
        <f t="shared" si="237"/>
        <v>CPS-32193r1</v>
      </c>
      <c r="IN63" s="670">
        <f t="shared" si="427"/>
        <v>14.247788050350096</v>
      </c>
      <c r="IO63" s="702">
        <v>6.2943098240733394E-2</v>
      </c>
      <c r="IP63" s="5">
        <f t="shared" si="428"/>
        <v>1.6</v>
      </c>
      <c r="IQ63" s="714">
        <v>800</v>
      </c>
      <c r="IR63" s="9">
        <f t="shared" si="429"/>
        <v>-4.340235968178817</v>
      </c>
      <c r="IS63" s="5">
        <f t="shared" si="430"/>
        <v>-0.65533994179153465</v>
      </c>
      <c r="IT63" s="5">
        <f t="shared" si="431"/>
        <v>0.3125</v>
      </c>
      <c r="IU63" s="5">
        <f t="shared" si="432"/>
        <v>0.29271877010820152</v>
      </c>
      <c r="IV63" s="670">
        <f t="shared" si="433"/>
        <v>41.606624611766414</v>
      </c>
      <c r="IW63" s="9">
        <f t="shared" si="434"/>
        <v>-4.3146862511636366</v>
      </c>
      <c r="IX63" s="5">
        <f t="shared" si="435"/>
        <v>-0.6740116129023761</v>
      </c>
      <c r="IY63" s="5">
        <f t="shared" si="436"/>
        <v>0.255</v>
      </c>
      <c r="IZ63" s="5">
        <f t="shared" si="437"/>
        <v>0.255</v>
      </c>
      <c r="JA63" s="705">
        <f t="shared" si="438"/>
        <v>40.999994080333266</v>
      </c>
    </row>
    <row r="64" spans="1:261" ht="15" customHeight="1" x14ac:dyDescent="0.25">
      <c r="A64" s="75">
        <f t="shared" si="256"/>
        <v>0</v>
      </c>
      <c r="B64" s="578">
        <f t="shared" si="515"/>
        <v>-1.6235434139114382</v>
      </c>
      <c r="C64" s="572">
        <f t="shared" si="516"/>
        <v>-4.5000894150190582</v>
      </c>
      <c r="D64" s="576">
        <f t="shared" si="517"/>
        <v>-1.2986389817050208</v>
      </c>
      <c r="E64" s="580">
        <f t="shared" si="518"/>
        <v>-0.29964513295383793</v>
      </c>
      <c r="F64" s="572">
        <f t="shared" si="519"/>
        <v>-0.83054747998324641</v>
      </c>
      <c r="G64" s="579">
        <f t="shared" si="520"/>
        <v>0.46947170073451266</v>
      </c>
      <c r="H64" s="580">
        <f t="shared" si="521"/>
        <v>0.255</v>
      </c>
      <c r="I64" s="572">
        <f t="shared" si="522"/>
        <v>0.41499999999999992</v>
      </c>
      <c r="J64" s="483">
        <f t="shared" si="523"/>
        <v>4.2320000000000002</v>
      </c>
      <c r="K64" s="806" t="str">
        <f t="shared" si="524"/>
        <v>CPS-32193r1</v>
      </c>
      <c r="L64" s="309"/>
      <c r="M64" s="164">
        <f t="shared" si="267"/>
        <v>4.2320000000000002</v>
      </c>
      <c r="N64" s="575">
        <f t="shared" si="268"/>
        <v>-1.6235434139114382</v>
      </c>
      <c r="O64" s="572">
        <f t="shared" si="269"/>
        <v>-4.5000894150190582</v>
      </c>
      <c r="P64" s="576">
        <f t="shared" si="270"/>
        <v>-1.2986389817050208</v>
      </c>
      <c r="Q64" s="528">
        <f t="shared" si="140"/>
        <v>250.1615571709952</v>
      </c>
      <c r="R64" s="572">
        <f t="shared" si="101"/>
        <v>4.7840043854517713</v>
      </c>
      <c r="S64" s="577">
        <f t="shared" si="102"/>
        <v>-1.2986389817050208</v>
      </c>
      <c r="T64" s="578">
        <f t="shared" si="103"/>
        <v>-4.5122273303370255</v>
      </c>
      <c r="U64" s="572">
        <f t="shared" si="104"/>
        <v>1.5894975556386939</v>
      </c>
      <c r="V64" s="579">
        <f t="shared" si="141"/>
        <v>-1.2986389817050208</v>
      </c>
      <c r="W64" s="528">
        <f t="shared" si="253"/>
        <v>160.59444801686618</v>
      </c>
      <c r="X64" s="572">
        <f t="shared" si="105"/>
        <v>4.7840043854517713</v>
      </c>
      <c r="Y64" s="573">
        <f t="shared" si="255"/>
        <v>-1.2986389817050208</v>
      </c>
      <c r="Z64" s="575">
        <f t="shared" si="271"/>
        <v>0.29964513295383793</v>
      </c>
      <c r="AA64" s="572">
        <f t="shared" si="272"/>
        <v>0.83054747998324641</v>
      </c>
      <c r="AB64" s="572">
        <f t="shared" si="273"/>
        <v>-0.46947170073451266</v>
      </c>
      <c r="AC64" s="579">
        <f t="shared" si="106"/>
        <v>1</v>
      </c>
      <c r="AD64" s="580">
        <f t="shared" si="142"/>
        <v>0.29964513295383793</v>
      </c>
      <c r="AE64" s="572">
        <f t="shared" si="107"/>
        <v>0.83054747998324641</v>
      </c>
      <c r="AF64" s="576">
        <f t="shared" si="108"/>
        <v>-0.46947170073451266</v>
      </c>
      <c r="AG64" s="545">
        <f t="shared" si="109"/>
        <v>60.522447348078408</v>
      </c>
      <c r="AH64" s="546">
        <f t="shared" si="110"/>
        <v>72.563709760030974</v>
      </c>
      <c r="AI64" s="528">
        <f t="shared" si="111"/>
        <v>-61.99999104830885</v>
      </c>
      <c r="AJ64" s="529">
        <f t="shared" si="112"/>
        <v>160.16155717099517</v>
      </c>
      <c r="AK64" s="578">
        <f t="shared" si="238"/>
        <v>-8.8817841970012523E-16</v>
      </c>
      <c r="AL64" s="572">
        <f t="shared" si="113"/>
        <v>-0.88294751951032979</v>
      </c>
      <c r="AM64" s="577">
        <f t="shared" si="114"/>
        <v>-0.46947170073451266</v>
      </c>
      <c r="AN64" s="524">
        <f t="shared" si="115"/>
        <v>-61.99999104830885</v>
      </c>
      <c r="AO64" s="525">
        <f t="shared" si="525"/>
        <v>0</v>
      </c>
      <c r="AP64" s="528">
        <f t="shared" si="117"/>
        <v>-90.000000000000057</v>
      </c>
      <c r="AQ64" s="529">
        <f t="shared" si="274"/>
        <v>0.95297421249029002</v>
      </c>
      <c r="AS64" s="932">
        <f t="shared" si="461"/>
        <v>160.59444801686618</v>
      </c>
      <c r="AT64" s="928">
        <f t="shared" si="275"/>
        <v>-1.0254114070253313</v>
      </c>
      <c r="AU64" s="418"/>
      <c r="AV64" s="164" t="str">
        <f t="shared" si="276"/>
        <v/>
      </c>
      <c r="AW64" s="797" t="str">
        <f>IFERROR(INDEX(MassProp!C$9:C$150,MATCH($M64,MassProp!$B$9:$B$150,0)),"")</f>
        <v/>
      </c>
      <c r="AX64" s="744" t="str">
        <f>IFERROR(INDEX(MassProp!D$9:D$150,MATCH($M64,MassProp!$B$9:$B$150,0)),"")</f>
        <v/>
      </c>
      <c r="AY64" s="731" t="str">
        <f>IFERROR(INDEX(MassProp!E$9:E$150,MATCH($M64,MassProp!$B$9:$B$150,0)),"")</f>
        <v/>
      </c>
      <c r="AZ64" s="297" t="str">
        <f t="shared" si="144"/>
        <v/>
      </c>
      <c r="BA64" s="296" t="str">
        <f t="shared" si="278"/>
        <v/>
      </c>
      <c r="BB64" s="177" t="str">
        <f t="shared" si="145"/>
        <v/>
      </c>
      <c r="BC64" s="9"/>
      <c r="BD64" s="5" t="str">
        <f t="shared" si="146"/>
        <v/>
      </c>
      <c r="BE64" s="6" t="str">
        <f t="shared" si="280"/>
        <v/>
      </c>
      <c r="BF64" s="4" t="str">
        <f t="shared" si="281"/>
        <v/>
      </c>
      <c r="BG64" s="5" t="str">
        <f t="shared" si="282"/>
        <v/>
      </c>
      <c r="BH64" s="10" t="str">
        <f t="shared" si="283"/>
        <v/>
      </c>
      <c r="BI64" s="9" t="str">
        <f t="shared" si="147"/>
        <v/>
      </c>
      <c r="BJ64" s="5" t="str">
        <f t="shared" si="285"/>
        <v/>
      </c>
      <c r="BK64" s="8" t="str">
        <f t="shared" si="286"/>
        <v/>
      </c>
      <c r="BL64" s="173" t="str">
        <f t="shared" si="287"/>
        <v/>
      </c>
      <c r="BM64" s="5" t="str">
        <f t="shared" si="288"/>
        <v/>
      </c>
      <c r="BN64" s="6" t="str">
        <f t="shared" si="289"/>
        <v/>
      </c>
      <c r="BO64" s="4" t="str">
        <f t="shared" si="148"/>
        <v/>
      </c>
      <c r="BP64" s="5" t="str">
        <f t="shared" si="239"/>
        <v/>
      </c>
      <c r="BQ64" s="5" t="str">
        <f t="shared" si="149"/>
        <v/>
      </c>
      <c r="BR64" s="6" t="str">
        <f t="shared" si="150"/>
        <v/>
      </c>
      <c r="BS64" s="4" t="str">
        <f t="shared" si="483"/>
        <v/>
      </c>
      <c r="BT64" s="5" t="str">
        <f t="shared" si="483"/>
        <v/>
      </c>
      <c r="BU64" s="10" t="str">
        <f t="shared" si="119"/>
        <v/>
      </c>
      <c r="BV64" s="9" t="str">
        <f t="shared" si="120"/>
        <v/>
      </c>
      <c r="BW64" s="5" t="str">
        <f t="shared" si="121"/>
        <v/>
      </c>
      <c r="BX64" s="8" t="str">
        <f t="shared" si="122"/>
        <v/>
      </c>
      <c r="BY64" s="173" t="str">
        <f t="shared" si="123"/>
        <v/>
      </c>
      <c r="BZ64" s="5" t="str">
        <f t="shared" si="124"/>
        <v/>
      </c>
      <c r="CA64" s="6" t="str">
        <f t="shared" si="125"/>
        <v/>
      </c>
      <c r="CB64" s="4" t="str">
        <f t="shared" si="151"/>
        <v/>
      </c>
      <c r="CC64" s="5" t="str">
        <f t="shared" si="152"/>
        <v/>
      </c>
      <c r="CD64" s="5" t="str">
        <f t="shared" si="153"/>
        <v/>
      </c>
      <c r="CE64" s="6" t="str">
        <f t="shared" si="154"/>
        <v/>
      </c>
      <c r="CF64" s="4" t="str">
        <f t="shared" si="155"/>
        <v/>
      </c>
      <c r="CG64" s="5" t="str">
        <f t="shared" si="156"/>
        <v/>
      </c>
      <c r="CH64" s="5" t="str">
        <f t="shared" si="157"/>
        <v/>
      </c>
      <c r="CI64" s="4" t="str">
        <f t="shared" si="126"/>
        <v/>
      </c>
      <c r="CJ64" s="5" t="str">
        <f t="shared" si="127"/>
        <v/>
      </c>
      <c r="CK64" s="8" t="str">
        <f t="shared" si="128"/>
        <v/>
      </c>
      <c r="CL64" s="173" t="str">
        <f t="shared" si="129"/>
        <v/>
      </c>
      <c r="CM64" s="5" t="str">
        <f t="shared" si="130"/>
        <v/>
      </c>
      <c r="CN64" s="6" t="str">
        <f t="shared" si="131"/>
        <v/>
      </c>
      <c r="CO64" s="167" t="str">
        <f t="shared" si="305"/>
        <v/>
      </c>
      <c r="CP64" s="4" t="str">
        <f t="shared" si="240"/>
        <v/>
      </c>
      <c r="CQ64" s="5" t="str">
        <f t="shared" si="241"/>
        <v/>
      </c>
      <c r="CR64" s="5" t="str">
        <f t="shared" si="158"/>
        <v/>
      </c>
      <c r="CS64" s="8" t="str">
        <f t="shared" si="159"/>
        <v/>
      </c>
      <c r="CT64" s="9" t="str">
        <f t="shared" si="160"/>
        <v/>
      </c>
      <c r="CU64" s="6" t="str">
        <f t="shared" si="161"/>
        <v/>
      </c>
      <c r="CV64" s="4" t="str">
        <f t="shared" si="242"/>
        <v/>
      </c>
      <c r="CW64" s="5" t="str">
        <f t="shared" si="162"/>
        <v/>
      </c>
      <c r="CX64" s="8" t="str">
        <f t="shared" si="163"/>
        <v/>
      </c>
      <c r="CY64" s="9" t="str">
        <f t="shared" si="164"/>
        <v/>
      </c>
      <c r="CZ64" s="5" t="str">
        <f t="shared" si="165"/>
        <v/>
      </c>
      <c r="DA64" s="6" t="str">
        <f t="shared" si="166"/>
        <v/>
      </c>
      <c r="DB64" s="4" t="str">
        <f t="shared" si="484"/>
        <v/>
      </c>
      <c r="DC64" s="5" t="str">
        <f t="shared" si="484"/>
        <v/>
      </c>
      <c r="DD64" s="10" t="str">
        <f t="shared" si="168"/>
        <v/>
      </c>
      <c r="DE64" s="9" t="str">
        <f t="shared" si="485"/>
        <v/>
      </c>
      <c r="DF64" s="5" t="str">
        <f t="shared" si="485"/>
        <v/>
      </c>
      <c r="DG64" s="10" t="str">
        <f t="shared" si="170"/>
        <v/>
      </c>
      <c r="DH64" s="70" t="str">
        <f t="shared" si="171"/>
        <v/>
      </c>
      <c r="DI64" s="4" t="str">
        <f t="shared" si="172"/>
        <v/>
      </c>
      <c r="DJ64" s="5" t="str">
        <f t="shared" si="173"/>
        <v/>
      </c>
      <c r="DK64" s="10" t="str">
        <f t="shared" si="174"/>
        <v/>
      </c>
      <c r="DL64" s="9" t="str">
        <f t="shared" si="175"/>
        <v/>
      </c>
      <c r="DM64" s="173" t="str">
        <f t="shared" si="176"/>
        <v/>
      </c>
      <c r="DN64" s="178" t="str">
        <f t="shared" si="177"/>
        <v/>
      </c>
      <c r="DO64" s="9" t="str">
        <f t="shared" si="178"/>
        <v/>
      </c>
      <c r="DP64" s="173" t="str">
        <f t="shared" si="179"/>
        <v/>
      </c>
      <c r="DQ64" s="11" t="str">
        <f t="shared" si="180"/>
        <v/>
      </c>
      <c r="DR64" s="173" t="str">
        <f t="shared" si="181"/>
        <v/>
      </c>
      <c r="DS64" s="5" t="str">
        <f t="shared" si="182"/>
        <v/>
      </c>
      <c r="DT64" s="5" t="str">
        <f t="shared" si="183"/>
        <v/>
      </c>
      <c r="DU64" s="5" t="str">
        <f t="shared" si="184"/>
        <v/>
      </c>
      <c r="DV64" s="5" t="str">
        <f t="shared" si="185"/>
        <v/>
      </c>
      <c r="DW64" s="5" t="str">
        <f t="shared" si="186"/>
        <v/>
      </c>
      <c r="DX64" s="167" t="str">
        <f t="shared" si="187"/>
        <v/>
      </c>
      <c r="DY64" s="9" t="str">
        <f t="shared" si="188"/>
        <v/>
      </c>
      <c r="DZ64" s="5" t="str">
        <f t="shared" si="189"/>
        <v/>
      </c>
      <c r="EA64" s="10" t="str">
        <f t="shared" si="190"/>
        <v/>
      </c>
      <c r="EB64" s="6" t="str">
        <f t="shared" si="191"/>
        <v/>
      </c>
      <c r="EC64" s="173" t="str">
        <f t="shared" si="192"/>
        <v/>
      </c>
      <c r="ED64" s="5" t="str">
        <f t="shared" si="193"/>
        <v/>
      </c>
      <c r="EE64" s="4" t="str">
        <f t="shared" si="194"/>
        <v/>
      </c>
      <c r="EF64" s="5" t="str">
        <f t="shared" si="195"/>
        <v/>
      </c>
      <c r="EG64" s="10" t="str">
        <f t="shared" si="196"/>
        <v/>
      </c>
      <c r="EH64" s="9" t="str">
        <f t="shared" si="197"/>
        <v/>
      </c>
      <c r="EI64" s="5" t="str">
        <f t="shared" si="198"/>
        <v/>
      </c>
      <c r="EJ64" s="6" t="str">
        <f t="shared" si="199"/>
        <v/>
      </c>
      <c r="EK64" s="236" t="str">
        <f t="shared" si="200"/>
        <v/>
      </c>
      <c r="EL64" s="238" t="str">
        <f t="shared" si="201"/>
        <v/>
      </c>
      <c r="EM64" s="4" t="str">
        <f t="shared" si="202"/>
        <v/>
      </c>
      <c r="EN64" s="5" t="str">
        <f t="shared" si="203"/>
        <v/>
      </c>
      <c r="EO64" s="10" t="str">
        <f t="shared" si="204"/>
        <v/>
      </c>
      <c r="EP64" s="9" t="str">
        <f t="shared" si="205"/>
        <v/>
      </c>
      <c r="EQ64" s="5" t="str">
        <f t="shared" si="206"/>
        <v/>
      </c>
      <c r="ER64" s="7" t="str">
        <f t="shared" si="207"/>
        <v/>
      </c>
      <c r="ES64" s="21" t="str">
        <f t="shared" si="352"/>
        <v/>
      </c>
      <c r="ET64" s="5" t="str">
        <f t="shared" si="353"/>
        <v/>
      </c>
      <c r="EU64" s="10" t="str">
        <f t="shared" si="354"/>
        <v/>
      </c>
      <c r="EV64" s="174" t="str">
        <f t="shared" si="486"/>
        <v/>
      </c>
      <c r="EW64" s="9" t="str">
        <f t="shared" si="487"/>
        <v/>
      </c>
      <c r="EX64" s="5" t="str">
        <f t="shared" si="488"/>
        <v/>
      </c>
      <c r="EY64" s="6" t="str">
        <f t="shared" si="208"/>
        <v/>
      </c>
      <c r="EZ64" s="51" t="str">
        <f t="shared" si="209"/>
        <v/>
      </c>
      <c r="FA64" s="173" t="str">
        <f t="shared" si="489"/>
        <v/>
      </c>
      <c r="FB64" s="5" t="str">
        <f t="shared" si="490"/>
        <v/>
      </c>
      <c r="FC64" s="6" t="str">
        <f t="shared" si="491"/>
        <v/>
      </c>
      <c r="FD64" s="4" t="str">
        <f t="shared" si="492"/>
        <v/>
      </c>
      <c r="FE64" s="5" t="str">
        <f t="shared" si="493"/>
        <v/>
      </c>
      <c r="FF64" s="7" t="str">
        <f t="shared" si="210"/>
        <v/>
      </c>
      <c r="FG64" s="173" t="str">
        <f t="shared" si="494"/>
        <v/>
      </c>
      <c r="FH64" s="5" t="str">
        <f t="shared" si="495"/>
        <v/>
      </c>
      <c r="FI64" s="10" t="str">
        <f t="shared" si="496"/>
        <v/>
      </c>
      <c r="FJ64" s="279" t="str">
        <f t="shared" si="212"/>
        <v/>
      </c>
      <c r="FK64" s="4" t="str">
        <f t="shared" si="497"/>
        <v/>
      </c>
      <c r="FL64" s="5" t="str">
        <f t="shared" si="213"/>
        <v/>
      </c>
      <c r="FM64" s="8" t="str">
        <f t="shared" si="214"/>
        <v/>
      </c>
      <c r="FN64" s="9" t="str">
        <f t="shared" si="215"/>
        <v/>
      </c>
      <c r="FO64" s="10" t="str">
        <f t="shared" si="498"/>
        <v/>
      </c>
      <c r="FP64" s="277" t="str">
        <f t="shared" si="499"/>
        <v/>
      </c>
      <c r="FQ64" s="173" t="str">
        <f t="shared" si="243"/>
        <v/>
      </c>
      <c r="FR64" s="10" t="str">
        <f t="shared" si="216"/>
        <v/>
      </c>
      <c r="FS64" s="9" t="str">
        <f t="shared" si="217"/>
        <v/>
      </c>
      <c r="FT64" s="6" t="str">
        <f t="shared" si="218"/>
        <v/>
      </c>
      <c r="FU64" s="4" t="str">
        <f t="shared" si="219"/>
        <v/>
      </c>
      <c r="FV64" s="5" t="str">
        <f t="shared" si="220"/>
        <v/>
      </c>
      <c r="FW64" s="8" t="str">
        <f t="shared" si="244"/>
        <v/>
      </c>
      <c r="FX64" s="9" t="str">
        <f t="shared" si="245"/>
        <v/>
      </c>
      <c r="FY64" s="10" t="str">
        <f t="shared" si="500"/>
        <v/>
      </c>
      <c r="FZ64" s="277" t="str">
        <f t="shared" si="246"/>
        <v/>
      </c>
      <c r="GA64" s="177" t="str">
        <f t="shared" si="221"/>
        <v/>
      </c>
      <c r="GB64" s="4" t="str">
        <f t="shared" si="222"/>
        <v/>
      </c>
      <c r="GC64" s="5" t="str">
        <f t="shared" si="223"/>
        <v/>
      </c>
      <c r="GD64" s="10" t="str">
        <f t="shared" si="224"/>
        <v/>
      </c>
      <c r="GE64" s="311" t="str">
        <f t="shared" si="225"/>
        <v/>
      </c>
      <c r="GF64" s="341" t="str">
        <f t="shared" si="247"/>
        <v/>
      </c>
      <c r="GG64" s="285" t="str">
        <f t="shared" si="501"/>
        <v/>
      </c>
      <c r="GH64" s="286" t="str">
        <f t="shared" si="502"/>
        <v/>
      </c>
      <c r="GI64" s="281" t="str">
        <f t="shared" si="503"/>
        <v/>
      </c>
      <c r="GJ64" s="167" t="str">
        <f t="shared" si="226"/>
        <v/>
      </c>
      <c r="GK64" s="174" t="str">
        <f t="shared" si="504"/>
        <v/>
      </c>
      <c r="GL64" s="174" t="str">
        <f t="shared" si="227"/>
        <v/>
      </c>
      <c r="GM64" s="177" t="str">
        <f t="shared" si="248"/>
        <v/>
      </c>
      <c r="GN64" s="280" t="str">
        <f t="shared" si="228"/>
        <v/>
      </c>
      <c r="GO64" s="4" t="str">
        <f t="shared" si="229"/>
        <v/>
      </c>
      <c r="GP64" s="8" t="str">
        <f t="shared" si="249"/>
        <v/>
      </c>
      <c r="GQ64" s="177" t="str">
        <f t="shared" si="230"/>
        <v/>
      </c>
      <c r="GR64" s="371" t="str">
        <f t="shared" si="250"/>
        <v/>
      </c>
      <c r="GS64" s="342" t="str">
        <f t="shared" si="505"/>
        <v/>
      </c>
      <c r="GT64" s="343" t="str">
        <f t="shared" si="506"/>
        <v/>
      </c>
      <c r="GU64" s="344" t="str">
        <f t="shared" si="507"/>
        <v/>
      </c>
      <c r="GV64" s="343" t="str">
        <f t="shared" si="252"/>
        <v/>
      </c>
      <c r="GW64" s="345" t="str">
        <f t="shared" si="508"/>
        <v/>
      </c>
      <c r="GX64" s="346" t="str">
        <f t="shared" si="509"/>
        <v/>
      </c>
      <c r="GY64" s="344" t="str">
        <f t="shared" si="510"/>
        <v/>
      </c>
      <c r="GZ64" s="345" t="str">
        <f t="shared" si="511"/>
        <v/>
      </c>
      <c r="HA64" s="342" t="str">
        <f t="shared" si="512"/>
        <v/>
      </c>
      <c r="HB64" s="5" t="str">
        <f t="shared" si="231"/>
        <v/>
      </c>
      <c r="HC64" s="343" t="str">
        <f t="shared" si="232"/>
        <v/>
      </c>
      <c r="HD64" s="363" t="str">
        <f t="shared" si="233"/>
        <v/>
      </c>
      <c r="HE64" s="344" t="str">
        <f t="shared" si="513"/>
        <v/>
      </c>
      <c r="HF64" s="5" t="str">
        <f t="shared" si="514"/>
        <v/>
      </c>
      <c r="HG64" s="343" t="str">
        <f t="shared" si="234"/>
        <v/>
      </c>
      <c r="HH64" s="349" t="str">
        <f t="shared" si="235"/>
        <v/>
      </c>
      <c r="HI64" s="317" t="str">
        <f t="shared" si="408"/>
        <v/>
      </c>
      <c r="HK64" s="310" t="str">
        <f t="shared" si="459"/>
        <v/>
      </c>
      <c r="HL64" s="348" t="str">
        <f t="shared" si="409"/>
        <v/>
      </c>
      <c r="HM64" s="909" t="str">
        <f t="shared" si="410"/>
        <v/>
      </c>
      <c r="HN64" s="910" t="str">
        <f t="shared" si="411"/>
        <v/>
      </c>
      <c r="HO64" s="911"/>
      <c r="HP64" s="912"/>
      <c r="HQ64" s="910" t="str">
        <f t="shared" si="412"/>
        <v/>
      </c>
      <c r="HR64" s="913" t="str">
        <f t="shared" si="413"/>
        <v/>
      </c>
      <c r="HS64" s="865" t="str">
        <f t="shared" si="460"/>
        <v/>
      </c>
      <c r="HT64" s="875" t="str">
        <f t="shared" si="414"/>
        <v/>
      </c>
      <c r="HU64" s="876" t="str">
        <f t="shared" si="415"/>
        <v/>
      </c>
      <c r="HV64" s="872" t="str">
        <f t="shared" si="416"/>
        <v/>
      </c>
      <c r="HW64" s="866" t="str">
        <f t="shared" si="417"/>
        <v/>
      </c>
      <c r="HX64" s="867" t="str">
        <f t="shared" si="418"/>
        <v/>
      </c>
      <c r="HY64" s="866" t="str">
        <f t="shared" si="419"/>
        <v/>
      </c>
      <c r="HZ64" s="868" t="str">
        <f t="shared" si="420"/>
        <v/>
      </c>
      <c r="IA64" s="869" t="str">
        <f t="shared" si="421"/>
        <v/>
      </c>
      <c r="IB64" s="870" t="str">
        <f t="shared" si="422"/>
        <v/>
      </c>
      <c r="IC64" s="841" t="str">
        <f t="shared" si="423"/>
        <v/>
      </c>
      <c r="ID64" s="351" t="str">
        <f t="shared" si="424"/>
        <v/>
      </c>
      <c r="IE64" s="843" t="str">
        <f t="shared" si="425"/>
        <v/>
      </c>
      <c r="IF64" s="844"/>
      <c r="IG64" s="790" t="str">
        <f>IFERROR(IF($IW64="","",IF($IW64&lt;(((Settings!$C$19/2)*-1)*$IG$8),"Taper","Nose")),"")</f>
        <v>Taper</v>
      </c>
      <c r="IH64" s="482" t="str">
        <f>IFERROR(IF((((($IY64*COS(RADIANS(180-$JA64)))*COS(RADIANS($JA64)))-(($IZ64*SIN(RADIANS(180-$JA64)))*SIN(RADIANS($JA64))))+$IW64)&lt;(((Settings!$C$19+$IH$8)/2)*-1),"Gage",""),"")</f>
        <v/>
      </c>
      <c r="II64" s="788">
        <f t="shared" si="236"/>
        <v>4.2320000000000002</v>
      </c>
      <c r="IJ64" s="674" cm="1">
        <f t="array" ref="IJ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>4.1319999999999997</v>
      </c>
      <c r="IK64" s="677" cm="1">
        <f t="array" ref="IK64">IFERROR(ROUND(VALUE(IF($IJ64&lt;1,$IJ64+LARGE((IF($M$9:$M$150="",0,$M$9:$M$150)-MOD(IF($M$9:$M$150="",0,$M$9:$M$150),1)),1),$IJ64)),4),"")</f>
        <v>4.1319999999999997</v>
      </c>
      <c r="IL64" s="482">
        <f t="shared" si="426"/>
        <v>1613</v>
      </c>
      <c r="IM64" s="482" t="str">
        <f t="shared" si="237"/>
        <v>CPS-32193r1</v>
      </c>
      <c r="IN64" s="670">
        <f t="shared" si="427"/>
        <v>12.851544235229881</v>
      </c>
      <c r="IO64" s="702">
        <v>5.1221184201396402E-2</v>
      </c>
      <c r="IP64" s="5">
        <f t="shared" si="428"/>
        <v>2.2799999999999998</v>
      </c>
      <c r="IQ64" s="714">
        <v>1140</v>
      </c>
      <c r="IR64" s="9">
        <f t="shared" si="429"/>
        <v>-4.8023031901750297</v>
      </c>
      <c r="IS64" s="5">
        <f t="shared" si="430"/>
        <v>-1.266517934795804</v>
      </c>
      <c r="IT64" s="5">
        <f t="shared" si="431"/>
        <v>0.3125</v>
      </c>
      <c r="IU64" s="5">
        <f t="shared" si="432"/>
        <v>0.28443910330458511</v>
      </c>
      <c r="IV64" s="670">
        <f t="shared" si="433"/>
        <v>60.249226457616452</v>
      </c>
      <c r="IW64" s="9">
        <f t="shared" si="434"/>
        <v>-4.7840043854517713</v>
      </c>
      <c r="IX64" s="5">
        <f t="shared" si="435"/>
        <v>-1.2986389817050208</v>
      </c>
      <c r="IY64" s="5">
        <f t="shared" si="436"/>
        <v>0.255</v>
      </c>
      <c r="IZ64" s="5">
        <f t="shared" si="437"/>
        <v>0.255</v>
      </c>
      <c r="JA64" s="705">
        <f t="shared" si="438"/>
        <v>61.99999104830885</v>
      </c>
    </row>
    <row r="65" spans="1:261" ht="15" customHeight="1" x14ac:dyDescent="0.25">
      <c r="A65" s="75">
        <f t="shared" si="256"/>
        <v>0</v>
      </c>
      <c r="B65" s="578">
        <f t="shared" si="515"/>
        <v>-1.6728634681730195</v>
      </c>
      <c r="C65" s="572">
        <f t="shared" si="516"/>
        <v>-4.6972465887168084</v>
      </c>
      <c r="D65" s="576">
        <f t="shared" si="517"/>
        <v>-2.0285278777360891</v>
      </c>
      <c r="E65" s="580">
        <f t="shared" si="518"/>
        <v>-0.33299517787717076</v>
      </c>
      <c r="F65" s="572">
        <f t="shared" si="519"/>
        <v>-0.9350197987472042</v>
      </c>
      <c r="G65" s="579">
        <f t="shared" si="520"/>
        <v>0.12186955100142652</v>
      </c>
      <c r="H65" s="580">
        <f t="shared" si="521"/>
        <v>0.255</v>
      </c>
      <c r="I65" s="572">
        <f t="shared" si="522"/>
        <v>0.41499999999999992</v>
      </c>
      <c r="J65" s="483">
        <f t="shared" si="523"/>
        <v>4.2380000000000004</v>
      </c>
      <c r="K65" s="806" t="str">
        <f t="shared" si="524"/>
        <v>CPS-32193r1</v>
      </c>
      <c r="L65" s="309"/>
      <c r="M65" s="164">
        <f t="shared" si="267"/>
        <v>4.2380000000000004</v>
      </c>
      <c r="N65" s="575">
        <f t="shared" si="268"/>
        <v>-1.6728634681730195</v>
      </c>
      <c r="O65" s="572">
        <f t="shared" si="269"/>
        <v>-4.6972465887168084</v>
      </c>
      <c r="P65" s="576">
        <f t="shared" si="270"/>
        <v>-2.0285278777360891</v>
      </c>
      <c r="Q65" s="528">
        <f t="shared" si="140"/>
        <v>250.39730247126161</v>
      </c>
      <c r="R65" s="572">
        <f t="shared" si="101"/>
        <v>4.9862408383831154</v>
      </c>
      <c r="S65" s="577">
        <f t="shared" si="102"/>
        <v>-2.0285278777360891</v>
      </c>
      <c r="T65" s="578">
        <f t="shared" si="103"/>
        <v>-4.7097515045794367</v>
      </c>
      <c r="U65" s="572">
        <f t="shared" si="104"/>
        <v>1.6373266208888451</v>
      </c>
      <c r="V65" s="579">
        <f t="shared" si="141"/>
        <v>-2.0285278777360891</v>
      </c>
      <c r="W65" s="528">
        <f t="shared" si="253"/>
        <v>160.8301933171326</v>
      </c>
      <c r="X65" s="572">
        <f t="shared" si="105"/>
        <v>4.9862408383831154</v>
      </c>
      <c r="Y65" s="573">
        <f t="shared" si="255"/>
        <v>-2.0285278777360891</v>
      </c>
      <c r="Z65" s="575">
        <f t="shared" si="271"/>
        <v>0.33299517787717076</v>
      </c>
      <c r="AA65" s="572">
        <f t="shared" si="272"/>
        <v>0.9350197987472042</v>
      </c>
      <c r="AB65" s="572">
        <f t="shared" si="273"/>
        <v>-0.12186955100142652</v>
      </c>
      <c r="AC65" s="579">
        <f t="shared" si="106"/>
        <v>1</v>
      </c>
      <c r="AD65" s="580">
        <f t="shared" si="142"/>
        <v>0.33299517787717076</v>
      </c>
      <c r="AE65" s="572">
        <f t="shared" si="107"/>
        <v>0.9350197987472042</v>
      </c>
      <c r="AF65" s="576">
        <f t="shared" si="108"/>
        <v>-0.12186955100142652</v>
      </c>
      <c r="AG65" s="545">
        <f t="shared" si="109"/>
        <v>82.573987900118894</v>
      </c>
      <c r="AH65" s="546">
        <f t="shared" si="110"/>
        <v>70.549328227183551</v>
      </c>
      <c r="AI65" s="528">
        <f t="shared" si="111"/>
        <v>-82.999988016284419</v>
      </c>
      <c r="AJ65" s="529">
        <f t="shared" si="112"/>
        <v>160.39730247126158</v>
      </c>
      <c r="AK65" s="578">
        <f t="shared" si="238"/>
        <v>-1.1102230246251565E-16</v>
      </c>
      <c r="AL65" s="572">
        <f t="shared" si="113"/>
        <v>-0.99254612615168214</v>
      </c>
      <c r="AM65" s="577">
        <f t="shared" si="114"/>
        <v>-0.12186955100142652</v>
      </c>
      <c r="AN65" s="524">
        <f t="shared" si="115"/>
        <v>-82.999988016284419</v>
      </c>
      <c r="AO65" s="525">
        <f t="shared" si="525"/>
        <v>0</v>
      </c>
      <c r="AP65" s="528">
        <f t="shared" si="117"/>
        <v>-90</v>
      </c>
      <c r="AQ65" s="529">
        <f t="shared" si="274"/>
        <v>0.91432932522534083</v>
      </c>
      <c r="AS65" s="932">
        <f t="shared" si="461"/>
        <v>160.8301933171326</v>
      </c>
      <c r="AT65" s="928">
        <f t="shared" si="275"/>
        <v>-1.7556277270845473</v>
      </c>
      <c r="AU65" s="418"/>
      <c r="AV65" s="164" t="str">
        <f t="shared" si="276"/>
        <v/>
      </c>
      <c r="AW65" s="797" t="str">
        <f>IFERROR(INDEX(MassProp!C$9:C$150,MATCH($M65,MassProp!$B$9:$B$150,0)),"")</f>
        <v/>
      </c>
      <c r="AX65" s="744" t="str">
        <f>IFERROR(INDEX(MassProp!D$9:D$150,MATCH($M65,MassProp!$B$9:$B$150,0)),"")</f>
        <v/>
      </c>
      <c r="AY65" s="731" t="str">
        <f>IFERROR(INDEX(MassProp!E$9:E$150,MATCH($M65,MassProp!$B$9:$B$150,0)),"")</f>
        <v/>
      </c>
      <c r="AZ65" s="297" t="str">
        <f t="shared" si="144"/>
        <v/>
      </c>
      <c r="BA65" s="296" t="str">
        <f t="shared" si="278"/>
        <v/>
      </c>
      <c r="BB65" s="177" t="str">
        <f t="shared" si="145"/>
        <v/>
      </c>
      <c r="BC65" s="9"/>
      <c r="BD65" s="5" t="str">
        <f t="shared" si="146"/>
        <v/>
      </c>
      <c r="BE65" s="6" t="str">
        <f t="shared" si="280"/>
        <v/>
      </c>
      <c r="BF65" s="4" t="str">
        <f t="shared" si="281"/>
        <v/>
      </c>
      <c r="BG65" s="5" t="str">
        <f t="shared" si="282"/>
        <v/>
      </c>
      <c r="BH65" s="10" t="str">
        <f t="shared" si="283"/>
        <v/>
      </c>
      <c r="BI65" s="9" t="str">
        <f t="shared" si="147"/>
        <v/>
      </c>
      <c r="BJ65" s="5" t="str">
        <f t="shared" si="285"/>
        <v/>
      </c>
      <c r="BK65" s="8" t="str">
        <f t="shared" si="286"/>
        <v/>
      </c>
      <c r="BL65" s="173" t="str">
        <f t="shared" si="287"/>
        <v/>
      </c>
      <c r="BM65" s="5" t="str">
        <f t="shared" si="288"/>
        <v/>
      </c>
      <c r="BN65" s="6" t="str">
        <f t="shared" si="289"/>
        <v/>
      </c>
      <c r="BO65" s="4" t="str">
        <f t="shared" si="148"/>
        <v/>
      </c>
      <c r="BP65" s="5" t="str">
        <f t="shared" si="239"/>
        <v/>
      </c>
      <c r="BQ65" s="5" t="str">
        <f t="shared" si="149"/>
        <v/>
      </c>
      <c r="BR65" s="6" t="str">
        <f t="shared" si="150"/>
        <v/>
      </c>
      <c r="BS65" s="4" t="str">
        <f t="shared" si="483"/>
        <v/>
      </c>
      <c r="BT65" s="5" t="str">
        <f t="shared" si="483"/>
        <v/>
      </c>
      <c r="BU65" s="10" t="str">
        <f t="shared" si="119"/>
        <v/>
      </c>
      <c r="BV65" s="9" t="str">
        <f t="shared" si="120"/>
        <v/>
      </c>
      <c r="BW65" s="5" t="str">
        <f t="shared" si="121"/>
        <v/>
      </c>
      <c r="BX65" s="8" t="str">
        <f t="shared" si="122"/>
        <v/>
      </c>
      <c r="BY65" s="173" t="str">
        <f t="shared" si="123"/>
        <v/>
      </c>
      <c r="BZ65" s="5" t="str">
        <f t="shared" si="124"/>
        <v/>
      </c>
      <c r="CA65" s="6" t="str">
        <f t="shared" si="125"/>
        <v/>
      </c>
      <c r="CB65" s="4" t="str">
        <f t="shared" si="151"/>
        <v/>
      </c>
      <c r="CC65" s="5" t="str">
        <f t="shared" si="152"/>
        <v/>
      </c>
      <c r="CD65" s="5" t="str">
        <f t="shared" si="153"/>
        <v/>
      </c>
      <c r="CE65" s="6" t="str">
        <f t="shared" si="154"/>
        <v/>
      </c>
      <c r="CF65" s="4" t="str">
        <f t="shared" si="155"/>
        <v/>
      </c>
      <c r="CG65" s="5" t="str">
        <f t="shared" si="156"/>
        <v/>
      </c>
      <c r="CH65" s="5" t="str">
        <f t="shared" si="157"/>
        <v/>
      </c>
      <c r="CI65" s="4" t="str">
        <f t="shared" si="126"/>
        <v/>
      </c>
      <c r="CJ65" s="5" t="str">
        <f t="shared" si="127"/>
        <v/>
      </c>
      <c r="CK65" s="8" t="str">
        <f t="shared" si="128"/>
        <v/>
      </c>
      <c r="CL65" s="173" t="str">
        <f t="shared" si="129"/>
        <v/>
      </c>
      <c r="CM65" s="5" t="str">
        <f t="shared" si="130"/>
        <v/>
      </c>
      <c r="CN65" s="6" t="str">
        <f t="shared" si="131"/>
        <v/>
      </c>
      <c r="CO65" s="167" t="str">
        <f t="shared" si="305"/>
        <v/>
      </c>
      <c r="CP65" s="4" t="str">
        <f t="shared" si="240"/>
        <v/>
      </c>
      <c r="CQ65" s="5" t="str">
        <f t="shared" si="241"/>
        <v/>
      </c>
      <c r="CR65" s="5" t="str">
        <f t="shared" si="158"/>
        <v/>
      </c>
      <c r="CS65" s="8" t="str">
        <f t="shared" si="159"/>
        <v/>
      </c>
      <c r="CT65" s="9" t="str">
        <f t="shared" si="160"/>
        <v/>
      </c>
      <c r="CU65" s="6" t="str">
        <f t="shared" si="161"/>
        <v/>
      </c>
      <c r="CV65" s="4" t="str">
        <f t="shared" si="242"/>
        <v/>
      </c>
      <c r="CW65" s="5" t="str">
        <f t="shared" si="162"/>
        <v/>
      </c>
      <c r="CX65" s="8" t="str">
        <f t="shared" si="163"/>
        <v/>
      </c>
      <c r="CY65" s="9" t="str">
        <f t="shared" si="164"/>
        <v/>
      </c>
      <c r="CZ65" s="5" t="str">
        <f t="shared" si="165"/>
        <v/>
      </c>
      <c r="DA65" s="6" t="str">
        <f t="shared" si="166"/>
        <v/>
      </c>
      <c r="DB65" s="4" t="str">
        <f t="shared" si="484"/>
        <v/>
      </c>
      <c r="DC65" s="5" t="str">
        <f t="shared" si="484"/>
        <v/>
      </c>
      <c r="DD65" s="10" t="str">
        <f t="shared" si="168"/>
        <v/>
      </c>
      <c r="DE65" s="9" t="str">
        <f t="shared" si="485"/>
        <v/>
      </c>
      <c r="DF65" s="5" t="str">
        <f t="shared" si="485"/>
        <v/>
      </c>
      <c r="DG65" s="10" t="str">
        <f t="shared" si="170"/>
        <v/>
      </c>
      <c r="DH65" s="70" t="str">
        <f t="shared" si="171"/>
        <v/>
      </c>
      <c r="DI65" s="4" t="str">
        <f t="shared" si="172"/>
        <v/>
      </c>
      <c r="DJ65" s="5" t="str">
        <f t="shared" si="173"/>
        <v/>
      </c>
      <c r="DK65" s="10" t="str">
        <f t="shared" si="174"/>
        <v/>
      </c>
      <c r="DL65" s="9" t="str">
        <f t="shared" si="175"/>
        <v/>
      </c>
      <c r="DM65" s="173" t="str">
        <f t="shared" si="176"/>
        <v/>
      </c>
      <c r="DN65" s="178" t="str">
        <f t="shared" si="177"/>
        <v/>
      </c>
      <c r="DO65" s="9" t="str">
        <f t="shared" si="178"/>
        <v/>
      </c>
      <c r="DP65" s="173" t="str">
        <f t="shared" si="179"/>
        <v/>
      </c>
      <c r="DQ65" s="11" t="str">
        <f t="shared" si="180"/>
        <v/>
      </c>
      <c r="DR65" s="173" t="str">
        <f t="shared" si="181"/>
        <v/>
      </c>
      <c r="DS65" s="5" t="str">
        <f t="shared" si="182"/>
        <v/>
      </c>
      <c r="DT65" s="5" t="str">
        <f t="shared" si="183"/>
        <v/>
      </c>
      <c r="DU65" s="5" t="str">
        <f t="shared" si="184"/>
        <v/>
      </c>
      <c r="DV65" s="5" t="str">
        <f t="shared" si="185"/>
        <v/>
      </c>
      <c r="DW65" s="5" t="str">
        <f t="shared" si="186"/>
        <v/>
      </c>
      <c r="DX65" s="167" t="str">
        <f t="shared" si="187"/>
        <v/>
      </c>
      <c r="DY65" s="9" t="str">
        <f t="shared" si="188"/>
        <v/>
      </c>
      <c r="DZ65" s="5" t="str">
        <f t="shared" si="189"/>
        <v/>
      </c>
      <c r="EA65" s="10" t="str">
        <f t="shared" si="190"/>
        <v/>
      </c>
      <c r="EB65" s="6" t="str">
        <f t="shared" si="191"/>
        <v/>
      </c>
      <c r="EC65" s="173" t="str">
        <f t="shared" si="192"/>
        <v/>
      </c>
      <c r="ED65" s="5" t="str">
        <f t="shared" si="193"/>
        <v/>
      </c>
      <c r="EE65" s="4" t="str">
        <f t="shared" si="194"/>
        <v/>
      </c>
      <c r="EF65" s="5" t="str">
        <f t="shared" si="195"/>
        <v/>
      </c>
      <c r="EG65" s="10" t="str">
        <f t="shared" si="196"/>
        <v/>
      </c>
      <c r="EH65" s="9" t="str">
        <f t="shared" si="197"/>
        <v/>
      </c>
      <c r="EI65" s="5" t="str">
        <f t="shared" si="198"/>
        <v/>
      </c>
      <c r="EJ65" s="6" t="str">
        <f t="shared" si="199"/>
        <v/>
      </c>
      <c r="EK65" s="236" t="str">
        <f t="shared" si="200"/>
        <v/>
      </c>
      <c r="EL65" s="238" t="str">
        <f t="shared" si="201"/>
        <v/>
      </c>
      <c r="EM65" s="4" t="str">
        <f t="shared" si="202"/>
        <v/>
      </c>
      <c r="EN65" s="5" t="str">
        <f t="shared" si="203"/>
        <v/>
      </c>
      <c r="EO65" s="10" t="str">
        <f t="shared" si="204"/>
        <v/>
      </c>
      <c r="EP65" s="9" t="str">
        <f t="shared" si="205"/>
        <v/>
      </c>
      <c r="EQ65" s="5" t="str">
        <f t="shared" si="206"/>
        <v/>
      </c>
      <c r="ER65" s="7" t="str">
        <f t="shared" si="207"/>
        <v/>
      </c>
      <c r="ES65" s="21" t="str">
        <f t="shared" si="352"/>
        <v/>
      </c>
      <c r="ET65" s="5" t="str">
        <f t="shared" si="353"/>
        <v/>
      </c>
      <c r="EU65" s="10" t="str">
        <f t="shared" si="354"/>
        <v/>
      </c>
      <c r="EV65" s="174" t="str">
        <f t="shared" si="486"/>
        <v/>
      </c>
      <c r="EW65" s="9" t="str">
        <f t="shared" si="487"/>
        <v/>
      </c>
      <c r="EX65" s="5" t="str">
        <f t="shared" si="488"/>
        <v/>
      </c>
      <c r="EY65" s="6" t="str">
        <f t="shared" si="208"/>
        <v/>
      </c>
      <c r="EZ65" s="51" t="str">
        <f t="shared" si="209"/>
        <v/>
      </c>
      <c r="FA65" s="173" t="str">
        <f t="shared" si="489"/>
        <v/>
      </c>
      <c r="FB65" s="5" t="str">
        <f t="shared" si="490"/>
        <v/>
      </c>
      <c r="FC65" s="6" t="str">
        <f t="shared" si="491"/>
        <v/>
      </c>
      <c r="FD65" s="4" t="str">
        <f t="shared" si="492"/>
        <v/>
      </c>
      <c r="FE65" s="5" t="str">
        <f t="shared" si="493"/>
        <v/>
      </c>
      <c r="FF65" s="7" t="str">
        <f t="shared" si="210"/>
        <v/>
      </c>
      <c r="FG65" s="173" t="str">
        <f t="shared" si="494"/>
        <v/>
      </c>
      <c r="FH65" s="5" t="str">
        <f t="shared" si="495"/>
        <v/>
      </c>
      <c r="FI65" s="10" t="str">
        <f t="shared" si="496"/>
        <v/>
      </c>
      <c r="FJ65" s="279" t="str">
        <f t="shared" si="212"/>
        <v/>
      </c>
      <c r="FK65" s="4" t="str">
        <f t="shared" si="497"/>
        <v/>
      </c>
      <c r="FL65" s="5" t="str">
        <f t="shared" si="213"/>
        <v/>
      </c>
      <c r="FM65" s="8" t="str">
        <f t="shared" si="214"/>
        <v/>
      </c>
      <c r="FN65" s="9" t="str">
        <f t="shared" si="215"/>
        <v/>
      </c>
      <c r="FO65" s="10" t="str">
        <f t="shared" si="498"/>
        <v/>
      </c>
      <c r="FP65" s="277" t="str">
        <f t="shared" si="499"/>
        <v/>
      </c>
      <c r="FQ65" s="173" t="str">
        <f t="shared" si="243"/>
        <v/>
      </c>
      <c r="FR65" s="10" t="str">
        <f t="shared" si="216"/>
        <v/>
      </c>
      <c r="FS65" s="9" t="str">
        <f t="shared" si="217"/>
        <v/>
      </c>
      <c r="FT65" s="6" t="str">
        <f t="shared" si="218"/>
        <v/>
      </c>
      <c r="FU65" s="4" t="str">
        <f t="shared" si="219"/>
        <v/>
      </c>
      <c r="FV65" s="5" t="str">
        <f t="shared" si="220"/>
        <v/>
      </c>
      <c r="FW65" s="8" t="str">
        <f t="shared" si="244"/>
        <v/>
      </c>
      <c r="FX65" s="9" t="str">
        <f t="shared" si="245"/>
        <v/>
      </c>
      <c r="FY65" s="10" t="str">
        <f t="shared" si="500"/>
        <v/>
      </c>
      <c r="FZ65" s="277" t="str">
        <f t="shared" si="246"/>
        <v/>
      </c>
      <c r="GA65" s="177" t="str">
        <f t="shared" si="221"/>
        <v/>
      </c>
      <c r="GB65" s="4" t="str">
        <f t="shared" si="222"/>
        <v/>
      </c>
      <c r="GC65" s="5" t="str">
        <f t="shared" si="223"/>
        <v/>
      </c>
      <c r="GD65" s="10" t="str">
        <f t="shared" si="224"/>
        <v/>
      </c>
      <c r="GE65" s="311" t="str">
        <f t="shared" si="225"/>
        <v/>
      </c>
      <c r="GF65" s="341" t="str">
        <f t="shared" si="247"/>
        <v/>
      </c>
      <c r="GG65" s="285" t="str">
        <f t="shared" si="501"/>
        <v/>
      </c>
      <c r="GH65" s="286" t="str">
        <f t="shared" si="502"/>
        <v/>
      </c>
      <c r="GI65" s="281" t="str">
        <f t="shared" si="503"/>
        <v/>
      </c>
      <c r="GJ65" s="167" t="str">
        <f t="shared" si="226"/>
        <v/>
      </c>
      <c r="GK65" s="174" t="str">
        <f t="shared" si="504"/>
        <v/>
      </c>
      <c r="GL65" s="174" t="str">
        <f t="shared" si="227"/>
        <v/>
      </c>
      <c r="GM65" s="177" t="str">
        <f t="shared" si="248"/>
        <v/>
      </c>
      <c r="GN65" s="280" t="str">
        <f t="shared" si="228"/>
        <v/>
      </c>
      <c r="GO65" s="4" t="str">
        <f t="shared" si="229"/>
        <v/>
      </c>
      <c r="GP65" s="8" t="str">
        <f t="shared" si="249"/>
        <v/>
      </c>
      <c r="GQ65" s="177" t="str">
        <f t="shared" si="230"/>
        <v/>
      </c>
      <c r="GR65" s="371" t="str">
        <f t="shared" si="250"/>
        <v/>
      </c>
      <c r="GS65" s="342" t="str">
        <f t="shared" si="505"/>
        <v/>
      </c>
      <c r="GT65" s="343" t="str">
        <f t="shared" si="506"/>
        <v/>
      </c>
      <c r="GU65" s="344" t="str">
        <f t="shared" si="507"/>
        <v/>
      </c>
      <c r="GV65" s="343" t="str">
        <f t="shared" si="252"/>
        <v/>
      </c>
      <c r="GW65" s="345" t="str">
        <f t="shared" si="508"/>
        <v/>
      </c>
      <c r="GX65" s="346" t="str">
        <f t="shared" si="509"/>
        <v/>
      </c>
      <c r="GY65" s="344" t="str">
        <f t="shared" si="510"/>
        <v/>
      </c>
      <c r="GZ65" s="345" t="str">
        <f t="shared" si="511"/>
        <v/>
      </c>
      <c r="HA65" s="342" t="str">
        <f t="shared" si="512"/>
        <v/>
      </c>
      <c r="HB65" s="5" t="str">
        <f t="shared" si="231"/>
        <v/>
      </c>
      <c r="HC65" s="343" t="str">
        <f t="shared" si="232"/>
        <v/>
      </c>
      <c r="HD65" s="363" t="str">
        <f t="shared" si="233"/>
        <v/>
      </c>
      <c r="HE65" s="344" t="str">
        <f t="shared" si="513"/>
        <v/>
      </c>
      <c r="HF65" s="5" t="str">
        <f t="shared" si="514"/>
        <v/>
      </c>
      <c r="HG65" s="343" t="str">
        <f t="shared" si="234"/>
        <v/>
      </c>
      <c r="HH65" s="349" t="str">
        <f t="shared" si="235"/>
        <v/>
      </c>
      <c r="HI65" s="317" t="str">
        <f t="shared" si="408"/>
        <v/>
      </c>
      <c r="HK65" s="310" t="str">
        <f t="shared" si="459"/>
        <v/>
      </c>
      <c r="HL65" s="348" t="str">
        <f t="shared" si="409"/>
        <v/>
      </c>
      <c r="HM65" s="909" t="str">
        <f t="shared" si="410"/>
        <v/>
      </c>
      <c r="HN65" s="910" t="str">
        <f t="shared" si="411"/>
        <v/>
      </c>
      <c r="HO65" s="911"/>
      <c r="HP65" s="912"/>
      <c r="HQ65" s="910" t="str">
        <f t="shared" si="412"/>
        <v/>
      </c>
      <c r="HR65" s="913" t="str">
        <f t="shared" si="413"/>
        <v/>
      </c>
      <c r="HS65" s="865" t="str">
        <f t="shared" si="460"/>
        <v/>
      </c>
      <c r="HT65" s="875" t="str">
        <f t="shared" si="414"/>
        <v/>
      </c>
      <c r="HU65" s="876" t="str">
        <f t="shared" si="415"/>
        <v/>
      </c>
      <c r="HV65" s="872" t="str">
        <f t="shared" si="416"/>
        <v/>
      </c>
      <c r="HW65" s="866" t="str">
        <f t="shared" si="417"/>
        <v/>
      </c>
      <c r="HX65" s="867" t="str">
        <f t="shared" si="418"/>
        <v/>
      </c>
      <c r="HY65" s="866" t="str">
        <f t="shared" si="419"/>
        <v/>
      </c>
      <c r="HZ65" s="868" t="str">
        <f t="shared" si="420"/>
        <v/>
      </c>
      <c r="IA65" s="869" t="str">
        <f t="shared" si="421"/>
        <v/>
      </c>
      <c r="IB65" s="870" t="str">
        <f t="shared" si="422"/>
        <v/>
      </c>
      <c r="IC65" s="841" t="str">
        <f t="shared" si="423"/>
        <v/>
      </c>
      <c r="ID65" s="351" t="str">
        <f t="shared" si="424"/>
        <v/>
      </c>
      <c r="IE65" s="843" t="str">
        <f t="shared" si="425"/>
        <v/>
      </c>
      <c r="IF65" s="844"/>
      <c r="IG65" s="790" t="str">
        <f>IFERROR(IF($IW65="","",IF($IW65&lt;(((Settings!$C$19/2)*-1)*$IG$8),"Taper","Nose")),"")</f>
        <v>Taper</v>
      </c>
      <c r="IH65" s="482" t="str">
        <f>IFERROR(IF((((($IY65*COS(RADIANS(180-$JA65)))*COS(RADIANS($JA65)))-(($IZ65*SIN(RADIANS(180-$JA65)))*SIN(RADIANS($JA65))))+$IW65)&lt;(((Settings!$C$19+$IH$8)/2)*-1),"Gage",""),"")</f>
        <v/>
      </c>
      <c r="II65" s="788">
        <f t="shared" si="236"/>
        <v>4.2380000000000004</v>
      </c>
      <c r="IJ65" s="674" cm="1">
        <f t="array" ref="IJ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>4.1379999999999999</v>
      </c>
      <c r="IK65" s="677" cm="1">
        <f t="array" ref="IK65">IFERROR(ROUND(VALUE(IF($IJ65&lt;1,$IJ65+LARGE((IF($M$9:$M$150="",0,$M$9:$M$150)-MOD(IF($M$9:$M$150="",0,$M$9:$M$150),1)),1),$IJ65)),4),"")</f>
        <v>4.1379999999999999</v>
      </c>
      <c r="IL65" s="482">
        <f t="shared" si="426"/>
        <v>1613</v>
      </c>
      <c r="IM65" s="482" t="str">
        <f t="shared" si="237"/>
        <v>CPS-32193r1</v>
      </c>
      <c r="IN65" s="670">
        <f t="shared" si="427"/>
        <v>12.296199318012128</v>
      </c>
      <c r="IO65" s="702">
        <v>4.88388012791292E-2</v>
      </c>
      <c r="IP65" s="5">
        <f t="shared" si="428"/>
        <v>2.6</v>
      </c>
      <c r="IQ65" s="714">
        <v>1300</v>
      </c>
      <c r="IR65" s="9">
        <f t="shared" si="429"/>
        <v>-5.0164523963688259</v>
      </c>
      <c r="IS65" s="5">
        <f t="shared" si="430"/>
        <v>-2.0017629003171078</v>
      </c>
      <c r="IT65" s="5">
        <f t="shared" si="431"/>
        <v>0.3125</v>
      </c>
      <c r="IU65" s="5">
        <f t="shared" si="432"/>
        <v>0.27475352488217275</v>
      </c>
      <c r="IV65" s="670">
        <f t="shared" si="433"/>
        <v>78.799617313561896</v>
      </c>
      <c r="IW65" s="9">
        <f t="shared" si="434"/>
        <v>-4.9862408383831154</v>
      </c>
      <c r="IX65" s="5">
        <f t="shared" si="435"/>
        <v>-2.0285278777360891</v>
      </c>
      <c r="IY65" s="5">
        <f t="shared" si="436"/>
        <v>0.255</v>
      </c>
      <c r="IZ65" s="5">
        <f t="shared" si="437"/>
        <v>0.255</v>
      </c>
      <c r="JA65" s="705">
        <f t="shared" si="438"/>
        <v>82.999988016284419</v>
      </c>
    </row>
    <row r="66" spans="1:261" ht="15" customHeight="1" x14ac:dyDescent="0.25">
      <c r="A66" s="75">
        <f t="shared" si="256"/>
        <v>0</v>
      </c>
      <c r="B66" s="578">
        <f t="shared" si="515"/>
        <v>-1.6839692611181216</v>
      </c>
      <c r="C66" s="572">
        <f t="shared" si="516"/>
        <v>-4.7300561551938678</v>
      </c>
      <c r="D66" s="576">
        <f t="shared" si="517"/>
        <v>-2.782242554641229</v>
      </c>
      <c r="E66" s="580">
        <f t="shared" si="518"/>
        <v>-0.33539359772687627</v>
      </c>
      <c r="F66" s="572">
        <f t="shared" si="519"/>
        <v>-0.94207809368638384</v>
      </c>
      <c r="G66" s="579">
        <f t="shared" si="520"/>
        <v>2.2679489686261436E-7</v>
      </c>
      <c r="H66" s="580">
        <f t="shared" si="521"/>
        <v>0.255</v>
      </c>
      <c r="I66" s="572">
        <f t="shared" si="522"/>
        <v>0.41499999999999992</v>
      </c>
      <c r="J66" s="483">
        <f t="shared" si="523"/>
        <v>4.2439999999999998</v>
      </c>
      <c r="K66" s="806" t="str">
        <f t="shared" si="524"/>
        <v>CPS-32193r1</v>
      </c>
      <c r="L66" s="309"/>
      <c r="M66" s="164">
        <f t="shared" si="267"/>
        <v>4.2439999999999998</v>
      </c>
      <c r="N66" s="575">
        <f t="shared" si="268"/>
        <v>-1.6839692611181216</v>
      </c>
      <c r="O66" s="572">
        <f t="shared" si="269"/>
        <v>-4.7300561551938678</v>
      </c>
      <c r="P66" s="576">
        <f t="shared" si="270"/>
        <v>-2.782242554641229</v>
      </c>
      <c r="Q66" s="528">
        <f t="shared" si="140"/>
        <v>250.4035258103103</v>
      </c>
      <c r="R66" s="572">
        <f t="shared" si="101"/>
        <v>5.02087479466259</v>
      </c>
      <c r="S66" s="577">
        <f t="shared" si="102"/>
        <v>-2.782242554641229</v>
      </c>
      <c r="T66" s="578">
        <f t="shared" si="103"/>
        <v>-4.7426440421992577</v>
      </c>
      <c r="U66" s="572">
        <f t="shared" si="104"/>
        <v>1.6481842107816695</v>
      </c>
      <c r="V66" s="579">
        <f t="shared" si="141"/>
        <v>-2.782242554641229</v>
      </c>
      <c r="W66" s="528">
        <f t="shared" si="253"/>
        <v>160.83641665618129</v>
      </c>
      <c r="X66" s="572">
        <f t="shared" si="105"/>
        <v>5.02087479466259</v>
      </c>
      <c r="Y66" s="573">
        <f t="shared" si="255"/>
        <v>-2.782242554641229</v>
      </c>
      <c r="Z66" s="575">
        <f t="shared" si="271"/>
        <v>0.33539359772687627</v>
      </c>
      <c r="AA66" s="572">
        <f t="shared" si="272"/>
        <v>0.94207809368638384</v>
      </c>
      <c r="AB66" s="572">
        <f t="shared" si="273"/>
        <v>-2.2679489686261436E-7</v>
      </c>
      <c r="AC66" s="579">
        <f t="shared" si="106"/>
        <v>1</v>
      </c>
      <c r="AD66" s="580">
        <f t="shared" si="142"/>
        <v>0.33539359772687627</v>
      </c>
      <c r="AE66" s="572">
        <f t="shared" si="107"/>
        <v>0.94207809368638384</v>
      </c>
      <c r="AF66" s="576">
        <f t="shared" si="108"/>
        <v>-2.2679489686261436E-7</v>
      </c>
      <c r="AG66" s="545">
        <f t="shared" si="109"/>
        <v>89.999986206673853</v>
      </c>
      <c r="AH66" s="546">
        <f t="shared" si="110"/>
        <v>70.403525810310839</v>
      </c>
      <c r="AI66" s="528">
        <f t="shared" si="111"/>
        <v>-89.999987005609597</v>
      </c>
      <c r="AJ66" s="529">
        <f t="shared" si="112"/>
        <v>160.40352581031033</v>
      </c>
      <c r="AK66" s="578">
        <f t="shared" si="238"/>
        <v>5.5511151231257827E-16</v>
      </c>
      <c r="AL66" s="572">
        <f t="shared" si="113"/>
        <v>-0.99999999999997435</v>
      </c>
      <c r="AM66" s="577">
        <f t="shared" si="114"/>
        <v>-2.2679489686261436E-7</v>
      </c>
      <c r="AN66" s="524">
        <f t="shared" si="115"/>
        <v>-89.999987005609597</v>
      </c>
      <c r="AO66" s="525">
        <f t="shared" si="525"/>
        <v>0</v>
      </c>
      <c r="AP66" s="528">
        <f t="shared" si="117"/>
        <v>-89.999999999999972</v>
      </c>
      <c r="AQ66" s="529">
        <f t="shared" si="274"/>
        <v>0.90802334812926255</v>
      </c>
      <c r="AS66" s="932">
        <f t="shared" si="461"/>
        <v>160.83641665618129</v>
      </c>
      <c r="AT66" s="928">
        <f t="shared" si="275"/>
        <v>-2.509351047516144</v>
      </c>
      <c r="AU66" s="418"/>
      <c r="AV66" s="164" t="str">
        <f t="shared" si="276"/>
        <v/>
      </c>
      <c r="AW66" s="797" t="str">
        <f>IFERROR(INDEX(MassProp!C$9:C$150,MATCH($M66,MassProp!$B$9:$B$150,0)),"")</f>
        <v/>
      </c>
      <c r="AX66" s="744" t="str">
        <f>IFERROR(INDEX(MassProp!D$9:D$150,MATCH($M66,MassProp!$B$9:$B$150,0)),"")</f>
        <v/>
      </c>
      <c r="AY66" s="731" t="str">
        <f>IFERROR(INDEX(MassProp!E$9:E$150,MATCH($M66,MassProp!$B$9:$B$150,0)),"")</f>
        <v/>
      </c>
      <c r="AZ66" s="297" t="str">
        <f t="shared" si="144"/>
        <v/>
      </c>
      <c r="BA66" s="296" t="str">
        <f t="shared" si="278"/>
        <v/>
      </c>
      <c r="BB66" s="177" t="str">
        <f t="shared" si="145"/>
        <v/>
      </c>
      <c r="BC66" s="9"/>
      <c r="BD66" s="5" t="str">
        <f t="shared" si="146"/>
        <v/>
      </c>
      <c r="BE66" s="6" t="str">
        <f t="shared" si="280"/>
        <v/>
      </c>
      <c r="BF66" s="4" t="str">
        <f t="shared" si="281"/>
        <v/>
      </c>
      <c r="BG66" s="5" t="str">
        <f t="shared" si="282"/>
        <v/>
      </c>
      <c r="BH66" s="10" t="str">
        <f t="shared" si="283"/>
        <v/>
      </c>
      <c r="BI66" s="9" t="str">
        <f t="shared" si="147"/>
        <v/>
      </c>
      <c r="BJ66" s="5" t="str">
        <f t="shared" si="285"/>
        <v/>
      </c>
      <c r="BK66" s="8" t="str">
        <f t="shared" si="286"/>
        <v/>
      </c>
      <c r="BL66" s="173" t="str">
        <f t="shared" si="287"/>
        <v/>
      </c>
      <c r="BM66" s="5" t="str">
        <f t="shared" si="288"/>
        <v/>
      </c>
      <c r="BN66" s="6" t="str">
        <f t="shared" si="289"/>
        <v/>
      </c>
      <c r="BO66" s="4" t="str">
        <f t="shared" si="148"/>
        <v/>
      </c>
      <c r="BP66" s="5" t="str">
        <f t="shared" si="239"/>
        <v/>
      </c>
      <c r="BQ66" s="5" t="str">
        <f t="shared" si="149"/>
        <v/>
      </c>
      <c r="BR66" s="6" t="str">
        <f t="shared" si="150"/>
        <v/>
      </c>
      <c r="BS66" s="4" t="str">
        <f t="shared" si="483"/>
        <v/>
      </c>
      <c r="BT66" s="5" t="str">
        <f t="shared" si="483"/>
        <v/>
      </c>
      <c r="BU66" s="10" t="str">
        <f t="shared" si="119"/>
        <v/>
      </c>
      <c r="BV66" s="9" t="str">
        <f t="shared" si="120"/>
        <v/>
      </c>
      <c r="BW66" s="5" t="str">
        <f t="shared" si="121"/>
        <v/>
      </c>
      <c r="BX66" s="8" t="str">
        <f t="shared" si="122"/>
        <v/>
      </c>
      <c r="BY66" s="173" t="str">
        <f t="shared" si="123"/>
        <v/>
      </c>
      <c r="BZ66" s="5" t="str">
        <f t="shared" si="124"/>
        <v/>
      </c>
      <c r="CA66" s="6" t="str">
        <f t="shared" si="125"/>
        <v/>
      </c>
      <c r="CB66" s="4" t="str">
        <f t="shared" si="151"/>
        <v/>
      </c>
      <c r="CC66" s="5" t="str">
        <f t="shared" si="152"/>
        <v/>
      </c>
      <c r="CD66" s="5" t="str">
        <f t="shared" si="153"/>
        <v/>
      </c>
      <c r="CE66" s="6" t="str">
        <f t="shared" si="154"/>
        <v/>
      </c>
      <c r="CF66" s="4" t="str">
        <f t="shared" si="155"/>
        <v/>
      </c>
      <c r="CG66" s="5" t="str">
        <f t="shared" si="156"/>
        <v/>
      </c>
      <c r="CH66" s="5" t="str">
        <f t="shared" si="157"/>
        <v/>
      </c>
      <c r="CI66" s="4" t="str">
        <f t="shared" si="126"/>
        <v/>
      </c>
      <c r="CJ66" s="5" t="str">
        <f t="shared" si="127"/>
        <v/>
      </c>
      <c r="CK66" s="8" t="str">
        <f t="shared" si="128"/>
        <v/>
      </c>
      <c r="CL66" s="173" t="str">
        <f t="shared" si="129"/>
        <v/>
      </c>
      <c r="CM66" s="5" t="str">
        <f t="shared" si="130"/>
        <v/>
      </c>
      <c r="CN66" s="6" t="str">
        <f t="shared" si="131"/>
        <v/>
      </c>
      <c r="CO66" s="167" t="str">
        <f t="shared" si="305"/>
        <v/>
      </c>
      <c r="CP66" s="4" t="str">
        <f t="shared" si="240"/>
        <v/>
      </c>
      <c r="CQ66" s="5" t="str">
        <f t="shared" si="241"/>
        <v/>
      </c>
      <c r="CR66" s="5" t="str">
        <f t="shared" si="158"/>
        <v/>
      </c>
      <c r="CS66" s="8" t="str">
        <f t="shared" si="159"/>
        <v/>
      </c>
      <c r="CT66" s="9" t="str">
        <f t="shared" si="160"/>
        <v/>
      </c>
      <c r="CU66" s="6" t="str">
        <f t="shared" si="161"/>
        <v/>
      </c>
      <c r="CV66" s="4" t="str">
        <f t="shared" si="242"/>
        <v/>
      </c>
      <c r="CW66" s="5" t="str">
        <f t="shared" si="162"/>
        <v/>
      </c>
      <c r="CX66" s="8" t="str">
        <f t="shared" si="163"/>
        <v/>
      </c>
      <c r="CY66" s="9" t="str">
        <f t="shared" si="164"/>
        <v/>
      </c>
      <c r="CZ66" s="5" t="str">
        <f t="shared" si="165"/>
        <v/>
      </c>
      <c r="DA66" s="6" t="str">
        <f t="shared" si="166"/>
        <v/>
      </c>
      <c r="DB66" s="4" t="str">
        <f t="shared" si="484"/>
        <v/>
      </c>
      <c r="DC66" s="5" t="str">
        <f t="shared" si="484"/>
        <v/>
      </c>
      <c r="DD66" s="10" t="str">
        <f t="shared" si="168"/>
        <v/>
      </c>
      <c r="DE66" s="9" t="str">
        <f t="shared" si="485"/>
        <v/>
      </c>
      <c r="DF66" s="5" t="str">
        <f t="shared" si="485"/>
        <v/>
      </c>
      <c r="DG66" s="10" t="str">
        <f t="shared" si="170"/>
        <v/>
      </c>
      <c r="DH66" s="70" t="str">
        <f t="shared" si="171"/>
        <v/>
      </c>
      <c r="DI66" s="4" t="str">
        <f t="shared" si="172"/>
        <v/>
      </c>
      <c r="DJ66" s="5" t="str">
        <f t="shared" si="173"/>
        <v/>
      </c>
      <c r="DK66" s="10" t="str">
        <f t="shared" si="174"/>
        <v/>
      </c>
      <c r="DL66" s="9" t="str">
        <f t="shared" si="175"/>
        <v/>
      </c>
      <c r="DM66" s="173" t="str">
        <f t="shared" si="176"/>
        <v/>
      </c>
      <c r="DN66" s="178" t="str">
        <f t="shared" si="177"/>
        <v/>
      </c>
      <c r="DO66" s="9" t="str">
        <f t="shared" si="178"/>
        <v/>
      </c>
      <c r="DP66" s="173" t="str">
        <f t="shared" si="179"/>
        <v/>
      </c>
      <c r="DQ66" s="11" t="str">
        <f t="shared" si="180"/>
        <v/>
      </c>
      <c r="DR66" s="173" t="str">
        <f t="shared" si="181"/>
        <v/>
      </c>
      <c r="DS66" s="5" t="str">
        <f t="shared" si="182"/>
        <v/>
      </c>
      <c r="DT66" s="5" t="str">
        <f t="shared" si="183"/>
        <v/>
      </c>
      <c r="DU66" s="5" t="str">
        <f t="shared" si="184"/>
        <v/>
      </c>
      <c r="DV66" s="5" t="str">
        <f t="shared" si="185"/>
        <v/>
      </c>
      <c r="DW66" s="5" t="str">
        <f t="shared" si="186"/>
        <v/>
      </c>
      <c r="DX66" s="167" t="str">
        <f t="shared" si="187"/>
        <v/>
      </c>
      <c r="DY66" s="9" t="str">
        <f t="shared" si="188"/>
        <v/>
      </c>
      <c r="DZ66" s="5" t="str">
        <f t="shared" si="189"/>
        <v/>
      </c>
      <c r="EA66" s="10" t="str">
        <f t="shared" si="190"/>
        <v/>
      </c>
      <c r="EB66" s="6" t="str">
        <f t="shared" si="191"/>
        <v/>
      </c>
      <c r="EC66" s="173" t="str">
        <f t="shared" si="192"/>
        <v/>
      </c>
      <c r="ED66" s="5" t="str">
        <f t="shared" si="193"/>
        <v/>
      </c>
      <c r="EE66" s="4" t="str">
        <f t="shared" si="194"/>
        <v/>
      </c>
      <c r="EF66" s="5" t="str">
        <f t="shared" si="195"/>
        <v/>
      </c>
      <c r="EG66" s="10" t="str">
        <f t="shared" si="196"/>
        <v/>
      </c>
      <c r="EH66" s="9" t="str">
        <f t="shared" si="197"/>
        <v/>
      </c>
      <c r="EI66" s="5" t="str">
        <f t="shared" si="198"/>
        <v/>
      </c>
      <c r="EJ66" s="6" t="str">
        <f t="shared" si="199"/>
        <v/>
      </c>
      <c r="EK66" s="236" t="str">
        <f t="shared" si="200"/>
        <v/>
      </c>
      <c r="EL66" s="238" t="str">
        <f t="shared" si="201"/>
        <v/>
      </c>
      <c r="EM66" s="4" t="str">
        <f t="shared" si="202"/>
        <v/>
      </c>
      <c r="EN66" s="5" t="str">
        <f t="shared" si="203"/>
        <v/>
      </c>
      <c r="EO66" s="10" t="str">
        <f t="shared" si="204"/>
        <v/>
      </c>
      <c r="EP66" s="9" t="str">
        <f t="shared" si="205"/>
        <v/>
      </c>
      <c r="EQ66" s="5" t="str">
        <f t="shared" si="206"/>
        <v/>
      </c>
      <c r="ER66" s="7" t="str">
        <f t="shared" si="207"/>
        <v/>
      </c>
      <c r="ES66" s="21" t="str">
        <f t="shared" si="352"/>
        <v/>
      </c>
      <c r="ET66" s="5" t="str">
        <f t="shared" si="353"/>
        <v/>
      </c>
      <c r="EU66" s="10" t="str">
        <f t="shared" si="354"/>
        <v/>
      </c>
      <c r="EV66" s="174" t="str">
        <f t="shared" si="486"/>
        <v/>
      </c>
      <c r="EW66" s="9" t="str">
        <f t="shared" si="487"/>
        <v/>
      </c>
      <c r="EX66" s="5" t="str">
        <f t="shared" si="488"/>
        <v/>
      </c>
      <c r="EY66" s="6" t="str">
        <f t="shared" si="208"/>
        <v/>
      </c>
      <c r="EZ66" s="51" t="str">
        <f t="shared" si="209"/>
        <v/>
      </c>
      <c r="FA66" s="173" t="str">
        <f t="shared" si="489"/>
        <v/>
      </c>
      <c r="FB66" s="5" t="str">
        <f t="shared" si="490"/>
        <v/>
      </c>
      <c r="FC66" s="6" t="str">
        <f t="shared" si="491"/>
        <v/>
      </c>
      <c r="FD66" s="4" t="str">
        <f t="shared" si="492"/>
        <v/>
      </c>
      <c r="FE66" s="5" t="str">
        <f t="shared" si="493"/>
        <v/>
      </c>
      <c r="FF66" s="7" t="str">
        <f t="shared" si="210"/>
        <v/>
      </c>
      <c r="FG66" s="173" t="str">
        <f t="shared" si="494"/>
        <v/>
      </c>
      <c r="FH66" s="5" t="str">
        <f t="shared" si="495"/>
        <v/>
      </c>
      <c r="FI66" s="10" t="str">
        <f t="shared" si="496"/>
        <v/>
      </c>
      <c r="FJ66" s="279" t="str">
        <f t="shared" si="212"/>
        <v/>
      </c>
      <c r="FK66" s="4" t="str">
        <f t="shared" si="497"/>
        <v/>
      </c>
      <c r="FL66" s="5" t="str">
        <f t="shared" si="213"/>
        <v/>
      </c>
      <c r="FM66" s="8" t="str">
        <f t="shared" si="214"/>
        <v/>
      </c>
      <c r="FN66" s="9" t="str">
        <f t="shared" si="215"/>
        <v/>
      </c>
      <c r="FO66" s="10" t="str">
        <f t="shared" si="498"/>
        <v/>
      </c>
      <c r="FP66" s="277" t="str">
        <f t="shared" si="499"/>
        <v/>
      </c>
      <c r="FQ66" s="173" t="str">
        <f t="shared" si="243"/>
        <v/>
      </c>
      <c r="FR66" s="10" t="str">
        <f t="shared" si="216"/>
        <v/>
      </c>
      <c r="FS66" s="9" t="str">
        <f t="shared" si="217"/>
        <v/>
      </c>
      <c r="FT66" s="6" t="str">
        <f t="shared" si="218"/>
        <v/>
      </c>
      <c r="FU66" s="4" t="str">
        <f t="shared" si="219"/>
        <v/>
      </c>
      <c r="FV66" s="5" t="str">
        <f t="shared" si="220"/>
        <v/>
      </c>
      <c r="FW66" s="8" t="str">
        <f t="shared" si="244"/>
        <v/>
      </c>
      <c r="FX66" s="9" t="str">
        <f t="shared" si="245"/>
        <v/>
      </c>
      <c r="FY66" s="10" t="str">
        <f t="shared" si="500"/>
        <v/>
      </c>
      <c r="FZ66" s="277" t="str">
        <f t="shared" si="246"/>
        <v/>
      </c>
      <c r="GA66" s="177" t="str">
        <f t="shared" si="221"/>
        <v/>
      </c>
      <c r="GB66" s="4" t="str">
        <f t="shared" si="222"/>
        <v/>
      </c>
      <c r="GC66" s="5" t="str">
        <f t="shared" si="223"/>
        <v/>
      </c>
      <c r="GD66" s="10" t="str">
        <f t="shared" si="224"/>
        <v/>
      </c>
      <c r="GE66" s="311" t="str">
        <f t="shared" si="225"/>
        <v/>
      </c>
      <c r="GF66" s="341" t="str">
        <f t="shared" si="247"/>
        <v/>
      </c>
      <c r="GG66" s="285" t="str">
        <f t="shared" si="501"/>
        <v/>
      </c>
      <c r="GH66" s="286" t="str">
        <f t="shared" si="502"/>
        <v/>
      </c>
      <c r="GI66" s="281" t="str">
        <f t="shared" si="503"/>
        <v/>
      </c>
      <c r="GJ66" s="167" t="str">
        <f t="shared" si="226"/>
        <v/>
      </c>
      <c r="GK66" s="174" t="str">
        <f t="shared" si="504"/>
        <v/>
      </c>
      <c r="GL66" s="174" t="str">
        <f t="shared" si="227"/>
        <v/>
      </c>
      <c r="GM66" s="177" t="str">
        <f t="shared" si="248"/>
        <v/>
      </c>
      <c r="GN66" s="280" t="str">
        <f t="shared" si="228"/>
        <v/>
      </c>
      <c r="GO66" s="4" t="str">
        <f t="shared" si="229"/>
        <v/>
      </c>
      <c r="GP66" s="8" t="str">
        <f t="shared" si="249"/>
        <v/>
      </c>
      <c r="GQ66" s="177" t="str">
        <f t="shared" si="230"/>
        <v/>
      </c>
      <c r="GR66" s="371" t="str">
        <f t="shared" si="250"/>
        <v/>
      </c>
      <c r="GS66" s="342" t="str">
        <f t="shared" si="505"/>
        <v/>
      </c>
      <c r="GT66" s="343" t="str">
        <f t="shared" si="506"/>
        <v/>
      </c>
      <c r="GU66" s="344" t="str">
        <f t="shared" si="507"/>
        <v/>
      </c>
      <c r="GV66" s="343" t="str">
        <f t="shared" si="252"/>
        <v/>
      </c>
      <c r="GW66" s="345" t="str">
        <f t="shared" si="508"/>
        <v/>
      </c>
      <c r="GX66" s="346" t="str">
        <f t="shared" si="509"/>
        <v/>
      </c>
      <c r="GY66" s="344" t="str">
        <f t="shared" si="510"/>
        <v/>
      </c>
      <c r="GZ66" s="345" t="str">
        <f t="shared" si="511"/>
        <v/>
      </c>
      <c r="HA66" s="342" t="str">
        <f t="shared" si="512"/>
        <v/>
      </c>
      <c r="HB66" s="5" t="str">
        <f t="shared" si="231"/>
        <v/>
      </c>
      <c r="HC66" s="343" t="str">
        <f t="shared" si="232"/>
        <v/>
      </c>
      <c r="HD66" s="363" t="str">
        <f t="shared" si="233"/>
        <v/>
      </c>
      <c r="HE66" s="344" t="str">
        <f t="shared" si="513"/>
        <v/>
      </c>
      <c r="HF66" s="5" t="str">
        <f t="shared" si="514"/>
        <v/>
      </c>
      <c r="HG66" s="343" t="str">
        <f t="shared" si="234"/>
        <v/>
      </c>
      <c r="HH66" s="349" t="str">
        <f t="shared" si="235"/>
        <v/>
      </c>
      <c r="HI66" s="317" t="str">
        <f t="shared" si="408"/>
        <v/>
      </c>
      <c r="HK66" s="310" t="str">
        <f t="shared" si="459"/>
        <v/>
      </c>
      <c r="HL66" s="348" t="str">
        <f t="shared" si="409"/>
        <v/>
      </c>
      <c r="HM66" s="909" t="str">
        <f t="shared" si="410"/>
        <v/>
      </c>
      <c r="HN66" s="910" t="str">
        <f t="shared" si="411"/>
        <v/>
      </c>
      <c r="HO66" s="911"/>
      <c r="HP66" s="912"/>
      <c r="HQ66" s="910" t="str">
        <f t="shared" si="412"/>
        <v/>
      </c>
      <c r="HR66" s="913" t="str">
        <f t="shared" si="413"/>
        <v/>
      </c>
      <c r="HS66" s="865" t="str">
        <f t="shared" si="460"/>
        <v/>
      </c>
      <c r="HT66" s="875" t="str">
        <f t="shared" si="414"/>
        <v/>
      </c>
      <c r="HU66" s="876" t="str">
        <f t="shared" si="415"/>
        <v/>
      </c>
      <c r="HV66" s="872" t="str">
        <f t="shared" si="416"/>
        <v/>
      </c>
      <c r="HW66" s="866" t="str">
        <f t="shared" si="417"/>
        <v/>
      </c>
      <c r="HX66" s="867" t="str">
        <f t="shared" si="418"/>
        <v/>
      </c>
      <c r="HY66" s="866" t="str">
        <f t="shared" si="419"/>
        <v/>
      </c>
      <c r="HZ66" s="868" t="str">
        <f t="shared" si="420"/>
        <v/>
      </c>
      <c r="IA66" s="869" t="str">
        <f t="shared" si="421"/>
        <v/>
      </c>
      <c r="IB66" s="870" t="str">
        <f t="shared" si="422"/>
        <v/>
      </c>
      <c r="IC66" s="841" t="str">
        <f t="shared" si="423"/>
        <v/>
      </c>
      <c r="ID66" s="351" t="str">
        <f t="shared" si="424"/>
        <v/>
      </c>
      <c r="IE66" s="843" t="str">
        <f t="shared" si="425"/>
        <v/>
      </c>
      <c r="IF66" s="844"/>
      <c r="IG66" s="790" t="str">
        <f>IFERROR(IF($IW66="","",IF($IW66&lt;(((Settings!$C$19/2)*-1)*$IG$8),"Taper","Nose")),"")</f>
        <v>Taper</v>
      </c>
      <c r="IH66" s="482" t="str">
        <f>IFERROR(IF((((($IY66*COS(RADIANS(180-$JA66)))*COS(RADIANS($JA66)))-(($IZ66*SIN(RADIANS(180-$JA66)))*SIN(RADIANS($JA66))))+$IW66)&lt;(((Settings!$C$19+$IH$8)/2)*-1),"Gage",""),"")</f>
        <v/>
      </c>
      <c r="II66" s="788">
        <f t="shared" si="236"/>
        <v>4.2439999999999998</v>
      </c>
      <c r="IJ66" s="674" cm="1">
        <f t="array" ref="IJ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>4.1440000000000001</v>
      </c>
      <c r="IK66" s="677" cm="1">
        <f t="array" ref="IK66">IFERROR(ROUND(VALUE(IF($IJ66&lt;1,$IJ66+LARGE((IF($M$9:$M$150="",0,$M$9:$M$150)-MOD(IF($M$9:$M$150="",0,$M$9:$M$150),1)),1),$IJ66)),4),"")</f>
        <v>4.1440000000000001</v>
      </c>
      <c r="IL66" s="482">
        <f t="shared" si="426"/>
        <v>1613</v>
      </c>
      <c r="IM66" s="482" t="str">
        <f t="shared" si="237"/>
        <v>CPS-32193r1</v>
      </c>
      <c r="IN66" s="670">
        <f t="shared" si="427"/>
        <v>12.202087403953357</v>
      </c>
      <c r="IO66" s="702">
        <v>4.8104159123766699E-2</v>
      </c>
      <c r="IP66" s="5">
        <f t="shared" si="428"/>
        <v>2.78</v>
      </c>
      <c r="IQ66" s="714">
        <v>1390</v>
      </c>
      <c r="IR66" s="9">
        <f t="shared" si="429"/>
        <v>-5.0550887932628399</v>
      </c>
      <c r="IS66" s="5">
        <f t="shared" si="430"/>
        <v>-2.7585876733747279</v>
      </c>
      <c r="IT66" s="5">
        <f t="shared" si="431"/>
        <v>0.3125</v>
      </c>
      <c r="IU66" s="5">
        <f t="shared" si="432"/>
        <v>0.27121678779184555</v>
      </c>
      <c r="IV66" s="670">
        <f t="shared" si="433"/>
        <v>84.970117416838406</v>
      </c>
      <c r="IW66" s="9">
        <f t="shared" si="434"/>
        <v>-5.02087479466259</v>
      </c>
      <c r="IX66" s="5">
        <f t="shared" si="435"/>
        <v>-2.782242554641229</v>
      </c>
      <c r="IY66" s="5">
        <f t="shared" si="436"/>
        <v>0.255</v>
      </c>
      <c r="IZ66" s="5">
        <f t="shared" si="437"/>
        <v>0.255</v>
      </c>
      <c r="JA66" s="705">
        <f t="shared" si="438"/>
        <v>89.999987005609597</v>
      </c>
    </row>
    <row r="67" spans="1:261" ht="15" customHeight="1" x14ac:dyDescent="0.25">
      <c r="A67" s="75">
        <f t="shared" si="256"/>
        <v>0.02</v>
      </c>
      <c r="B67" s="578">
        <f t="shared" si="515"/>
        <v>-1.4266418178354541</v>
      </c>
      <c r="C67" s="572">
        <f t="shared" si="516"/>
        <v>-4.9197000972969596</v>
      </c>
      <c r="D67" s="576">
        <f t="shared" si="517"/>
        <v>-9.4977962776039622</v>
      </c>
      <c r="E67" s="580">
        <f t="shared" si="518"/>
        <v>0.56188434598387349</v>
      </c>
      <c r="F67" s="572">
        <f t="shared" si="519"/>
        <v>-0.81965068301290056</v>
      </c>
      <c r="G67" s="579">
        <f t="shared" si="520"/>
        <v>-0.11161872412261628</v>
      </c>
      <c r="H67" s="580">
        <f t="shared" si="521"/>
        <v>0.26450000000000001</v>
      </c>
      <c r="I67" s="572">
        <f t="shared" si="522"/>
        <v>0.52</v>
      </c>
      <c r="J67" s="483">
        <f t="shared" si="523"/>
        <v>4.25</v>
      </c>
      <c r="K67" s="806">
        <f t="shared" si="524"/>
        <v>1313</v>
      </c>
      <c r="L67" s="309"/>
      <c r="M67" s="164">
        <f t="shared" si="267"/>
        <v>4.25</v>
      </c>
      <c r="N67" s="575">
        <f t="shared" si="268"/>
        <v>-1.4266418178354541</v>
      </c>
      <c r="O67" s="572">
        <f t="shared" si="269"/>
        <v>-4.9197000972969596</v>
      </c>
      <c r="P67" s="576">
        <f t="shared" si="270"/>
        <v>-9.4977962776039622</v>
      </c>
      <c r="Q67" s="528">
        <f t="shared" si="140"/>
        <v>253.82860598106896</v>
      </c>
      <c r="R67" s="572">
        <f>IF(M67="","",SQRT(N67^2+O67^2))</f>
        <v>5.1223779559634766</v>
      </c>
      <c r="S67" s="577">
        <f>IF(M67="","",P67)</f>
        <v>-9.4977962776039622</v>
      </c>
      <c r="T67" s="578">
        <f>IF(M67="","",X67*COS(RADIANS(W67)))</f>
        <v>-4.9303383858534868</v>
      </c>
      <c r="U67" s="572">
        <f>IF(M67="","",X67*SIN(RADIANS(W67)))</f>
        <v>1.3894312954299675</v>
      </c>
      <c r="V67" s="579">
        <f>IF(M67="","",Y67)</f>
        <v>-9.4977962776039622</v>
      </c>
      <c r="W67" s="528">
        <f t="shared" si="253"/>
        <v>164.26149682693995</v>
      </c>
      <c r="X67" s="572">
        <f>IF(M67="","",R67)</f>
        <v>5.1223779559634766</v>
      </c>
      <c r="Y67" s="573">
        <f t="shared" si="255"/>
        <v>-9.4977962776039622</v>
      </c>
      <c r="Z67" s="575">
        <f t="shared" si="271"/>
        <v>-0.56188434598387349</v>
      </c>
      <c r="AA67" s="572">
        <f t="shared" si="272"/>
        <v>0.81965068301290056</v>
      </c>
      <c r="AB67" s="572">
        <f t="shared" si="273"/>
        <v>0.11161872412261628</v>
      </c>
      <c r="AC67" s="579">
        <f>IF(M67="","",SQRT(Z67^2+AA67^2+AB67^2))</f>
        <v>1</v>
      </c>
      <c r="AD67" s="580">
        <f>IF(M67="","",Z67*(1/SQRT(Z67^2+AA67^2+AB67^2)))</f>
        <v>-0.56188434598387349</v>
      </c>
      <c r="AE67" s="572">
        <f>IF(M67="","",AA67*(1/SQRT(Z67^2+AA67^2+AB67^2)))</f>
        <v>0.81965068301290056</v>
      </c>
      <c r="AF67" s="576">
        <f>IF(M67="","",AB67*(1/SQRT(Z67^2+AA67^2+AB67^2)))</f>
        <v>0.11161872412261628</v>
      </c>
      <c r="AG67" s="545">
        <f>IF(M67="","",DEGREES(ATAN2(-AF67,AE67)))</f>
        <v>97.754746630494424</v>
      </c>
      <c r="AH67" s="546">
        <f>IF(M67="","",DEGREES(ACOS(AD67)))</f>
        <v>124.18621324914466</v>
      </c>
      <c r="AI67" s="528">
        <f>IF(M67="","",DEGREES(-ACOS(-AF67)))</f>
        <v>-96.408636339561326</v>
      </c>
      <c r="AJ67" s="529">
        <f>IF(M67="","",DEGREES(ATAN2(-AE67,AD67)))</f>
        <v>-145.56870612463675</v>
      </c>
      <c r="AK67" s="578">
        <f>IF(M67="","",(COS(RADIANS((90-$Q$8)-W67))*AD67)+(-SIN(RADIANS((90-$Q$8)-W67))*AE67))</f>
        <v>0.76793443315336329</v>
      </c>
      <c r="AL67" s="572">
        <f>IF(M67="","",(SIN(RADIANS((90-$Q$8)-W67))*AD67)+(COS(RADIANS((90-$Q$8)-W67))*AE67))</f>
        <v>-0.63072812431558989</v>
      </c>
      <c r="AM67" s="577">
        <f>IF(M67="","",AF67)</f>
        <v>0.11161872412261628</v>
      </c>
      <c r="AN67" s="524">
        <f>IF(M67="","",DEGREES(ATAN2(-AM67,AL67)))</f>
        <v>-100.03561890671628</v>
      </c>
      <c r="AO67" s="525">
        <f t="shared" si="525"/>
        <v>39.831236627249659</v>
      </c>
      <c r="AP67" s="528">
        <f>IF(M67="","",DEGREES(ATAN2(AK67,AL67)))</f>
        <v>-39.397312105705716</v>
      </c>
      <c r="AQ67" s="529">
        <f t="shared" si="274"/>
        <v>0.89003321442983041</v>
      </c>
      <c r="AS67" s="932">
        <f t="shared" si="461"/>
        <v>164.26149682693995</v>
      </c>
      <c r="AT67" s="928">
        <f t="shared" si="275"/>
        <v>-9.229661826271597</v>
      </c>
      <c r="AU67" s="418"/>
      <c r="AV67" s="164" t="str">
        <f t="shared" si="276"/>
        <v/>
      </c>
      <c r="AW67" s="797" t="str">
        <f>IFERROR(INDEX(MassProp!C$9:C$150,MATCH($M67,MassProp!$B$9:$B$150,0)),"")</f>
        <v/>
      </c>
      <c r="AX67" s="744" t="str">
        <f>IFERROR(INDEX(MassProp!D$9:D$150,MATCH($M67,MassProp!$B$9:$B$150,0)),"")</f>
        <v/>
      </c>
      <c r="AY67" s="731" t="str">
        <f>IFERROR(INDEX(MassProp!E$9:E$150,MATCH($M67,MassProp!$B$9:$B$150,0)),"")</f>
        <v/>
      </c>
      <c r="AZ67" s="297" t="str">
        <f t="shared" si="144"/>
        <v/>
      </c>
      <c r="BA67" s="296" t="str">
        <f t="shared" si="278"/>
        <v/>
      </c>
      <c r="BB67" s="177" t="str">
        <f t="shared" si="145"/>
        <v/>
      </c>
      <c r="BC67" s="9"/>
      <c r="BD67" s="5" t="str">
        <f t="shared" si="146"/>
        <v/>
      </c>
      <c r="BE67" s="6" t="str">
        <f t="shared" si="280"/>
        <v/>
      </c>
      <c r="BF67" s="4" t="str">
        <f t="shared" si="281"/>
        <v/>
      </c>
      <c r="BG67" s="5" t="str">
        <f t="shared" si="282"/>
        <v/>
      </c>
      <c r="BH67" s="10" t="str">
        <f t="shared" si="283"/>
        <v/>
      </c>
      <c r="BI67" s="9" t="str">
        <f t="shared" si="147"/>
        <v/>
      </c>
      <c r="BJ67" s="5" t="str">
        <f t="shared" si="285"/>
        <v/>
      </c>
      <c r="BK67" s="8" t="str">
        <f t="shared" si="286"/>
        <v/>
      </c>
      <c r="BL67" s="173" t="str">
        <f t="shared" si="287"/>
        <v/>
      </c>
      <c r="BM67" s="5" t="str">
        <f t="shared" si="288"/>
        <v/>
      </c>
      <c r="BN67" s="6" t="str">
        <f t="shared" si="289"/>
        <v/>
      </c>
      <c r="BO67" s="4" t="str">
        <f t="shared" si="148"/>
        <v/>
      </c>
      <c r="BP67" s="5" t="str">
        <f t="shared" si="239"/>
        <v/>
      </c>
      <c r="BQ67" s="5" t="str">
        <f t="shared" si="149"/>
        <v/>
      </c>
      <c r="BR67" s="6" t="str">
        <f t="shared" si="150"/>
        <v/>
      </c>
      <c r="BS67" s="4" t="str">
        <f t="shared" si="483"/>
        <v/>
      </c>
      <c r="BT67" s="5" t="str">
        <f t="shared" si="483"/>
        <v/>
      </c>
      <c r="BU67" s="10" t="str">
        <f t="shared" si="119"/>
        <v/>
      </c>
      <c r="BV67" s="9" t="str">
        <f t="shared" si="120"/>
        <v/>
      </c>
      <c r="BW67" s="5" t="str">
        <f t="shared" si="121"/>
        <v/>
      </c>
      <c r="BX67" s="8" t="str">
        <f t="shared" si="122"/>
        <v/>
      </c>
      <c r="BY67" s="173" t="str">
        <f t="shared" si="123"/>
        <v/>
      </c>
      <c r="BZ67" s="5" t="str">
        <f t="shared" si="124"/>
        <v/>
      </c>
      <c r="CA67" s="6" t="str">
        <f t="shared" si="125"/>
        <v/>
      </c>
      <c r="CB67" s="4" t="str">
        <f t="shared" si="151"/>
        <v/>
      </c>
      <c r="CC67" s="5" t="str">
        <f t="shared" si="152"/>
        <v/>
      </c>
      <c r="CD67" s="5" t="str">
        <f t="shared" si="153"/>
        <v/>
      </c>
      <c r="CE67" s="6" t="str">
        <f t="shared" si="154"/>
        <v/>
      </c>
      <c r="CF67" s="4" t="str">
        <f t="shared" si="155"/>
        <v/>
      </c>
      <c r="CG67" s="5" t="str">
        <f t="shared" si="156"/>
        <v/>
      </c>
      <c r="CH67" s="5" t="str">
        <f t="shared" si="157"/>
        <v/>
      </c>
      <c r="CI67" s="4" t="str">
        <f t="shared" si="126"/>
        <v/>
      </c>
      <c r="CJ67" s="5" t="str">
        <f t="shared" si="127"/>
        <v/>
      </c>
      <c r="CK67" s="8" t="str">
        <f t="shared" si="128"/>
        <v/>
      </c>
      <c r="CL67" s="173" t="str">
        <f t="shared" si="129"/>
        <v/>
      </c>
      <c r="CM67" s="5" t="str">
        <f t="shared" si="130"/>
        <v/>
      </c>
      <c r="CN67" s="6" t="str">
        <f t="shared" si="131"/>
        <v/>
      </c>
      <c r="CO67" s="167" t="str">
        <f t="shared" si="305"/>
        <v/>
      </c>
      <c r="CP67" s="4" t="str">
        <f t="shared" si="240"/>
        <v/>
      </c>
      <c r="CQ67" s="5" t="str">
        <f t="shared" si="241"/>
        <v/>
      </c>
      <c r="CR67" s="5" t="str">
        <f t="shared" si="158"/>
        <v/>
      </c>
      <c r="CS67" s="8" t="str">
        <f t="shared" si="159"/>
        <v/>
      </c>
      <c r="CT67" s="9" t="str">
        <f t="shared" si="160"/>
        <v/>
      </c>
      <c r="CU67" s="6" t="str">
        <f t="shared" si="161"/>
        <v/>
      </c>
      <c r="CV67" s="4" t="str">
        <f t="shared" si="242"/>
        <v/>
      </c>
      <c r="CW67" s="5" t="str">
        <f t="shared" si="162"/>
        <v/>
      </c>
      <c r="CX67" s="8" t="str">
        <f t="shared" si="163"/>
        <v/>
      </c>
      <c r="CY67" s="9" t="str">
        <f t="shared" si="164"/>
        <v/>
      </c>
      <c r="CZ67" s="5" t="str">
        <f t="shared" si="165"/>
        <v/>
      </c>
      <c r="DA67" s="6" t="str">
        <f t="shared" si="166"/>
        <v/>
      </c>
      <c r="DB67" s="4" t="str">
        <f t="shared" si="484"/>
        <v/>
      </c>
      <c r="DC67" s="5" t="str">
        <f t="shared" si="484"/>
        <v/>
      </c>
      <c r="DD67" s="10" t="str">
        <f t="shared" si="168"/>
        <v/>
      </c>
      <c r="DE67" s="9" t="str">
        <f t="shared" si="485"/>
        <v/>
      </c>
      <c r="DF67" s="5" t="str">
        <f t="shared" si="485"/>
        <v/>
      </c>
      <c r="DG67" s="10" t="str">
        <f t="shared" si="170"/>
        <v/>
      </c>
      <c r="DH67" s="70" t="str">
        <f t="shared" si="171"/>
        <v/>
      </c>
      <c r="DI67" s="4" t="str">
        <f t="shared" si="172"/>
        <v/>
      </c>
      <c r="DJ67" s="5" t="str">
        <f t="shared" si="173"/>
        <v/>
      </c>
      <c r="DK67" s="10" t="str">
        <f t="shared" si="174"/>
        <v/>
      </c>
      <c r="DL67" s="9" t="str">
        <f t="shared" si="175"/>
        <v/>
      </c>
      <c r="DM67" s="173" t="str">
        <f t="shared" si="176"/>
        <v/>
      </c>
      <c r="DN67" s="178" t="str">
        <f t="shared" si="177"/>
        <v/>
      </c>
      <c r="DO67" s="9" t="str">
        <f t="shared" si="178"/>
        <v/>
      </c>
      <c r="DP67" s="173" t="str">
        <f t="shared" si="179"/>
        <v/>
      </c>
      <c r="DQ67" s="11" t="str">
        <f t="shared" si="180"/>
        <v/>
      </c>
      <c r="DR67" s="173" t="str">
        <f t="shared" si="181"/>
        <v/>
      </c>
      <c r="DS67" s="5" t="str">
        <f t="shared" si="182"/>
        <v/>
      </c>
      <c r="DT67" s="5" t="str">
        <f t="shared" si="183"/>
        <v/>
      </c>
      <c r="DU67" s="5" t="str">
        <f t="shared" si="184"/>
        <v/>
      </c>
      <c r="DV67" s="5" t="str">
        <f t="shared" si="185"/>
        <v/>
      </c>
      <c r="DW67" s="5" t="str">
        <f t="shared" si="186"/>
        <v/>
      </c>
      <c r="DX67" s="167" t="str">
        <f t="shared" si="187"/>
        <v/>
      </c>
      <c r="DY67" s="9" t="str">
        <f t="shared" si="188"/>
        <v/>
      </c>
      <c r="DZ67" s="5" t="str">
        <f t="shared" si="189"/>
        <v/>
      </c>
      <c r="EA67" s="10" t="str">
        <f t="shared" si="190"/>
        <v/>
      </c>
      <c r="EB67" s="6" t="str">
        <f t="shared" si="191"/>
        <v/>
      </c>
      <c r="EC67" s="173" t="str">
        <f t="shared" si="192"/>
        <v/>
      </c>
      <c r="ED67" s="5" t="str">
        <f t="shared" si="193"/>
        <v/>
      </c>
      <c r="EE67" s="4" t="str">
        <f t="shared" si="194"/>
        <v/>
      </c>
      <c r="EF67" s="5" t="str">
        <f t="shared" si="195"/>
        <v/>
      </c>
      <c r="EG67" s="10" t="str">
        <f t="shared" si="196"/>
        <v/>
      </c>
      <c r="EH67" s="9" t="str">
        <f t="shared" si="197"/>
        <v/>
      </c>
      <c r="EI67" s="5" t="str">
        <f t="shared" si="198"/>
        <v/>
      </c>
      <c r="EJ67" s="6" t="str">
        <f t="shared" si="199"/>
        <v/>
      </c>
      <c r="EK67" s="236" t="str">
        <f t="shared" si="200"/>
        <v/>
      </c>
      <c r="EL67" s="238" t="str">
        <f t="shared" si="201"/>
        <v/>
      </c>
      <c r="EM67" s="4" t="str">
        <f t="shared" si="202"/>
        <v/>
      </c>
      <c r="EN67" s="5" t="str">
        <f t="shared" si="203"/>
        <v/>
      </c>
      <c r="EO67" s="10" t="str">
        <f t="shared" si="204"/>
        <v/>
      </c>
      <c r="EP67" s="9" t="str">
        <f t="shared" si="205"/>
        <v/>
      </c>
      <c r="EQ67" s="5" t="str">
        <f t="shared" si="206"/>
        <v/>
      </c>
      <c r="ER67" s="7" t="str">
        <f t="shared" si="207"/>
        <v/>
      </c>
      <c r="ES67" s="21" t="str">
        <f t="shared" si="352"/>
        <v/>
      </c>
      <c r="ET67" s="5" t="str">
        <f t="shared" si="353"/>
        <v/>
      </c>
      <c r="EU67" s="10" t="str">
        <f t="shared" si="354"/>
        <v/>
      </c>
      <c r="EV67" s="174" t="str">
        <f t="shared" si="486"/>
        <v/>
      </c>
      <c r="EW67" s="9" t="str">
        <f t="shared" si="487"/>
        <v/>
      </c>
      <c r="EX67" s="5" t="str">
        <f t="shared" si="488"/>
        <v/>
      </c>
      <c r="EY67" s="6" t="str">
        <f t="shared" si="208"/>
        <v/>
      </c>
      <c r="EZ67" s="51" t="str">
        <f t="shared" si="209"/>
        <v/>
      </c>
      <c r="FA67" s="173" t="str">
        <f t="shared" si="489"/>
        <v/>
      </c>
      <c r="FB67" s="5" t="str">
        <f t="shared" si="490"/>
        <v/>
      </c>
      <c r="FC67" s="6" t="str">
        <f t="shared" si="491"/>
        <v/>
      </c>
      <c r="FD67" s="4" t="str">
        <f t="shared" si="492"/>
        <v/>
      </c>
      <c r="FE67" s="5" t="str">
        <f t="shared" si="493"/>
        <v/>
      </c>
      <c r="FF67" s="7" t="str">
        <f t="shared" si="210"/>
        <v/>
      </c>
      <c r="FG67" s="173" t="str">
        <f t="shared" si="494"/>
        <v/>
      </c>
      <c r="FH67" s="5" t="str">
        <f t="shared" si="495"/>
        <v/>
      </c>
      <c r="FI67" s="10" t="str">
        <f t="shared" si="496"/>
        <v/>
      </c>
      <c r="FJ67" s="279" t="str">
        <f t="shared" si="212"/>
        <v/>
      </c>
      <c r="FK67" s="4" t="str">
        <f t="shared" si="497"/>
        <v/>
      </c>
      <c r="FL67" s="5" t="str">
        <f t="shared" si="213"/>
        <v/>
      </c>
      <c r="FM67" s="8" t="str">
        <f t="shared" si="214"/>
        <v/>
      </c>
      <c r="FN67" s="9" t="str">
        <f t="shared" si="215"/>
        <v/>
      </c>
      <c r="FO67" s="10" t="str">
        <f t="shared" si="498"/>
        <v/>
      </c>
      <c r="FP67" s="277" t="str">
        <f t="shared" si="499"/>
        <v/>
      </c>
      <c r="FQ67" s="173" t="str">
        <f t="shared" si="243"/>
        <v/>
      </c>
      <c r="FR67" s="10" t="str">
        <f t="shared" si="216"/>
        <v/>
      </c>
      <c r="FS67" s="9" t="str">
        <f t="shared" si="217"/>
        <v/>
      </c>
      <c r="FT67" s="6" t="str">
        <f t="shared" si="218"/>
        <v/>
      </c>
      <c r="FU67" s="4" t="str">
        <f t="shared" si="219"/>
        <v/>
      </c>
      <c r="FV67" s="5" t="str">
        <f t="shared" si="220"/>
        <v/>
      </c>
      <c r="FW67" s="8" t="str">
        <f t="shared" si="244"/>
        <v/>
      </c>
      <c r="FX67" s="9" t="str">
        <f t="shared" si="245"/>
        <v/>
      </c>
      <c r="FY67" s="10" t="str">
        <f t="shared" si="500"/>
        <v/>
      </c>
      <c r="FZ67" s="277" t="str">
        <f t="shared" si="246"/>
        <v/>
      </c>
      <c r="GA67" s="177" t="str">
        <f t="shared" si="221"/>
        <v/>
      </c>
      <c r="GB67" s="4" t="str">
        <f t="shared" si="222"/>
        <v/>
      </c>
      <c r="GC67" s="5" t="str">
        <f t="shared" si="223"/>
        <v/>
      </c>
      <c r="GD67" s="10" t="str">
        <f t="shared" si="224"/>
        <v/>
      </c>
      <c r="GE67" s="311" t="str">
        <f t="shared" si="225"/>
        <v/>
      </c>
      <c r="GF67" s="341" t="str">
        <f t="shared" si="247"/>
        <v/>
      </c>
      <c r="GG67" s="285" t="str">
        <f t="shared" si="501"/>
        <v/>
      </c>
      <c r="GH67" s="286" t="str">
        <f t="shared" si="502"/>
        <v/>
      </c>
      <c r="GI67" s="281" t="str">
        <f t="shared" si="503"/>
        <v/>
      </c>
      <c r="GJ67" s="167" t="str">
        <f t="shared" si="226"/>
        <v/>
      </c>
      <c r="GK67" s="174" t="str">
        <f t="shared" si="504"/>
        <v/>
      </c>
      <c r="GL67" s="174" t="str">
        <f t="shared" si="227"/>
        <v/>
      </c>
      <c r="GM67" s="177" t="str">
        <f t="shared" si="248"/>
        <v/>
      </c>
      <c r="GN67" s="280" t="str">
        <f t="shared" si="228"/>
        <v/>
      </c>
      <c r="GO67" s="4" t="str">
        <f t="shared" si="229"/>
        <v/>
      </c>
      <c r="GP67" s="8" t="str">
        <f t="shared" si="249"/>
        <v/>
      </c>
      <c r="GQ67" s="177" t="str">
        <f t="shared" si="230"/>
        <v/>
      </c>
      <c r="GR67" s="371" t="str">
        <f t="shared" si="250"/>
        <v/>
      </c>
      <c r="GS67" s="342" t="str">
        <f t="shared" si="505"/>
        <v/>
      </c>
      <c r="GT67" s="343" t="str">
        <f t="shared" si="506"/>
        <v/>
      </c>
      <c r="GU67" s="344" t="str">
        <f t="shared" si="507"/>
        <v/>
      </c>
      <c r="GV67" s="343" t="str">
        <f t="shared" si="252"/>
        <v/>
      </c>
      <c r="GW67" s="345" t="str">
        <f t="shared" si="508"/>
        <v/>
      </c>
      <c r="GX67" s="346" t="str">
        <f t="shared" si="509"/>
        <v/>
      </c>
      <c r="GY67" s="344" t="str">
        <f t="shared" si="510"/>
        <v/>
      </c>
      <c r="GZ67" s="345" t="str">
        <f t="shared" si="511"/>
        <v/>
      </c>
      <c r="HA67" s="342" t="str">
        <f t="shared" si="512"/>
        <v/>
      </c>
      <c r="HB67" s="5" t="str">
        <f t="shared" si="231"/>
        <v/>
      </c>
      <c r="HC67" s="343" t="str">
        <f t="shared" si="232"/>
        <v/>
      </c>
      <c r="HD67" s="363" t="str">
        <f t="shared" si="233"/>
        <v/>
      </c>
      <c r="HE67" s="344" t="str">
        <f t="shared" si="513"/>
        <v/>
      </c>
      <c r="HF67" s="5" t="str">
        <f t="shared" si="514"/>
        <v/>
      </c>
      <c r="HG67" s="343" t="str">
        <f t="shared" si="234"/>
        <v/>
      </c>
      <c r="HH67" s="349" t="str">
        <f t="shared" si="235"/>
        <v/>
      </c>
      <c r="HI67" s="317" t="str">
        <f t="shared" si="408"/>
        <v/>
      </c>
      <c r="HK67" s="310" t="str">
        <f t="shared" si="459"/>
        <v/>
      </c>
      <c r="HL67" s="348" t="str">
        <f t="shared" si="409"/>
        <v/>
      </c>
      <c r="HM67" s="909" t="str">
        <f t="shared" si="410"/>
        <v/>
      </c>
      <c r="HN67" s="910" t="str">
        <f t="shared" si="411"/>
        <v/>
      </c>
      <c r="HO67" s="911"/>
      <c r="HP67" s="912"/>
      <c r="HQ67" s="910" t="str">
        <f t="shared" si="412"/>
        <v/>
      </c>
      <c r="HR67" s="913" t="str">
        <f t="shared" si="413"/>
        <v/>
      </c>
      <c r="HS67" s="865" t="str">
        <f t="shared" si="460"/>
        <v/>
      </c>
      <c r="HT67" s="875" t="str">
        <f t="shared" si="414"/>
        <v/>
      </c>
      <c r="HU67" s="876" t="str">
        <f t="shared" si="415"/>
        <v/>
      </c>
      <c r="HV67" s="872" t="str">
        <f t="shared" si="416"/>
        <v/>
      </c>
      <c r="HW67" s="866" t="str">
        <f t="shared" si="417"/>
        <v/>
      </c>
      <c r="HX67" s="867" t="str">
        <f t="shared" si="418"/>
        <v/>
      </c>
      <c r="HY67" s="866" t="str">
        <f t="shared" si="419"/>
        <v/>
      </c>
      <c r="HZ67" s="868" t="str">
        <f t="shared" si="420"/>
        <v/>
      </c>
      <c r="IA67" s="869" t="str">
        <f t="shared" si="421"/>
        <v/>
      </c>
      <c r="IB67" s="870" t="str">
        <f t="shared" si="422"/>
        <v/>
      </c>
      <c r="IC67" s="841" t="str">
        <f t="shared" si="423"/>
        <v/>
      </c>
      <c r="ID67" s="351" t="str">
        <f t="shared" si="424"/>
        <v/>
      </c>
      <c r="IE67" s="843" t="str">
        <f t="shared" si="425"/>
        <v/>
      </c>
      <c r="IF67" s="844"/>
      <c r="IG67" s="790" t="str">
        <f>IFERROR(IF($IW67="","",IF($IW67&lt;(((Settings!$C$19/2)*-1)*$IG$8),"Taper","Nose")),"")</f>
        <v/>
      </c>
      <c r="IH67" s="482" t="str">
        <f>IFERROR(IF((((($IY67*COS(RADIANS(180-$JA67)))*COS(RADIANS($JA67)))-(($IZ67*SIN(RADIANS(180-$JA67)))*SIN(RADIANS($JA67))))+$IW67)&lt;(((Settings!$C$19+$IH$8)/2)*-1),"Gage",""),"")</f>
        <v/>
      </c>
      <c r="II67" s="788">
        <f t="shared" si="236"/>
        <v>4.25</v>
      </c>
      <c r="IJ67" s="674" t="str" cm="1">
        <f t="array" ref="IJ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K67" s="677" t="str" cm="1">
        <f t="array" ref="IK67">IFERROR(ROUND(VALUE(IF($IJ67&lt;1,$IJ67+LARGE((IF($M$9:$M$150="",0,$M$9:$M$150)-MOD(IF($M$9:$M$150="",0,$M$9:$M$150),1)),1),$IJ67)),4),"")</f>
        <v/>
      </c>
      <c r="IL67" s="482">
        <f t="shared" si="426"/>
        <v>1313</v>
      </c>
      <c r="IM67" s="482" t="str">
        <f t="shared" si="237"/>
        <v/>
      </c>
      <c r="IN67" s="670" t="str">
        <f t="shared" si="427"/>
        <v/>
      </c>
      <c r="IO67" s="702"/>
      <c r="IP67" s="5" t="str">
        <f t="shared" si="428"/>
        <v/>
      </c>
      <c r="IQ67" s="714"/>
      <c r="IR67" s="9" t="str">
        <f t="shared" si="429"/>
        <v/>
      </c>
      <c r="IS67" s="5" t="str">
        <f t="shared" si="430"/>
        <v/>
      </c>
      <c r="IT67" s="5" t="str">
        <f t="shared" si="431"/>
        <v/>
      </c>
      <c r="IU67" s="5" t="str">
        <f t="shared" si="432"/>
        <v/>
      </c>
      <c r="IV67" s="670" t="str">
        <f t="shared" si="433"/>
        <v/>
      </c>
      <c r="IW67" s="9" t="str">
        <f t="shared" si="434"/>
        <v/>
      </c>
      <c r="IX67" s="5" t="str">
        <f t="shared" si="435"/>
        <v/>
      </c>
      <c r="IY67" s="5" t="str">
        <f t="shared" si="436"/>
        <v/>
      </c>
      <c r="IZ67" s="5" t="str">
        <f t="shared" si="437"/>
        <v/>
      </c>
      <c r="JA67" s="705" t="str">
        <f t="shared" si="438"/>
        <v/>
      </c>
    </row>
    <row r="68" spans="1:261" ht="15" customHeight="1" x14ac:dyDescent="0.25">
      <c r="A68" s="75">
        <f t="shared" si="256"/>
        <v>0.02</v>
      </c>
      <c r="B68" s="578">
        <f t="shared" si="515"/>
        <v>-0.53586255019647044</v>
      </c>
      <c r="C68" s="572">
        <f t="shared" si="516"/>
        <v>-0.28735481334945606</v>
      </c>
      <c r="D68" s="576">
        <f t="shared" si="517"/>
        <v>-0.6082263803425233</v>
      </c>
      <c r="E68" s="580">
        <f t="shared" si="518"/>
        <v>0.52207924620628954</v>
      </c>
      <c r="F68" s="572">
        <f t="shared" si="519"/>
        <v>-0.79983493493255087</v>
      </c>
      <c r="G68" s="579">
        <f t="shared" si="520"/>
        <v>0.29613736262436513</v>
      </c>
      <c r="H68" s="580">
        <f t="shared" si="521"/>
        <v>0.3125</v>
      </c>
      <c r="I68" s="572">
        <f t="shared" si="522"/>
        <v>0.52</v>
      </c>
      <c r="J68" s="483">
        <f t="shared" si="523"/>
        <v>5.1020000000000003</v>
      </c>
      <c r="K68" s="806">
        <f t="shared" si="524"/>
        <v>1613</v>
      </c>
      <c r="L68" s="309"/>
      <c r="M68" s="164">
        <f t="shared" si="267"/>
        <v>5.1020000000000003</v>
      </c>
      <c r="N68" s="575">
        <f t="shared" si="268"/>
        <v>-0.53586255019647044</v>
      </c>
      <c r="O68" s="572">
        <f t="shared" si="269"/>
        <v>-0.28735481334945606</v>
      </c>
      <c r="P68" s="576">
        <f t="shared" si="270"/>
        <v>-0.6082263803425233</v>
      </c>
      <c r="Q68" s="528">
        <f t="shared" si="140"/>
        <v>208.2023115365931</v>
      </c>
      <c r="R68" s="572">
        <f>IF(M68="","",SQRT(N68^2+O68^2))</f>
        <v>0.60804725265242798</v>
      </c>
      <c r="S68" s="577">
        <f>IF(M68="","",P68)</f>
        <v>-0.6082263803425233</v>
      </c>
      <c r="T68" s="578">
        <f>IF(M68="","",X68*COS(RADIANS(W68)))</f>
        <v>-0.29139521338010005</v>
      </c>
      <c r="U68" s="572">
        <f>IF(M68="","",X68*SIN(RADIANS(W68)))</f>
        <v>0.53367620433867158</v>
      </c>
      <c r="V68" s="579">
        <f>IF(M68="","",Y68)</f>
        <v>-0.6082263803425233</v>
      </c>
      <c r="W68" s="528">
        <f t="shared" si="253"/>
        <v>118.63520238246409</v>
      </c>
      <c r="X68" s="572">
        <f>IF(M68="","",R68)</f>
        <v>0.60804725265242798</v>
      </c>
      <c r="Y68" s="573">
        <f t="shared" si="255"/>
        <v>-0.6082263803425233</v>
      </c>
      <c r="Z68" s="575">
        <f t="shared" si="271"/>
        <v>-0.52207924620628954</v>
      </c>
      <c r="AA68" s="572">
        <f t="shared" si="272"/>
        <v>0.79983493493255087</v>
      </c>
      <c r="AB68" s="572">
        <f t="shared" si="273"/>
        <v>-0.29613736262436513</v>
      </c>
      <c r="AC68" s="579">
        <f>IF(M68="","",SQRT(Z68^2+AA68^2+AB68^2))</f>
        <v>1</v>
      </c>
      <c r="AD68" s="580">
        <f>IF(M68="","",Z68*(1/SQRT(Z68^2+AA68^2+AB68^2)))</f>
        <v>-0.52207924620628954</v>
      </c>
      <c r="AE68" s="572">
        <f>IF(M68="","",AA68*(1/SQRT(Z68^2+AA68^2+AB68^2)))</f>
        <v>0.79983493493255087</v>
      </c>
      <c r="AF68" s="576">
        <f>IF(M68="","",AB68*(1/SQRT(Z68^2+AA68^2+AB68^2)))</f>
        <v>-0.29613736262436513</v>
      </c>
      <c r="AG68" s="545">
        <f>IF(M68="","",DEGREES(ATAN2(-AF68,AE68)))</f>
        <v>69.683024076283658</v>
      </c>
      <c r="AH68" s="546">
        <f>IF(M68="","",DEGREES(ACOS(AD68)))</f>
        <v>121.47182684592643</v>
      </c>
      <c r="AI68" s="528">
        <f>IF(M68="","",DEGREES(-ACOS(-AF68)))</f>
        <v>-72.774248855664752</v>
      </c>
      <c r="AJ68" s="529">
        <f>IF(M68="","",DEGREES(ATAN2(-AE68,AD68)))</f>
        <v>-146.86615986288501</v>
      </c>
      <c r="AK68" s="578">
        <f>IF(M68="","",(COS(RADIANS((90-$Q$8)-W68))*AD68)+(-SIN(RADIANS((90-$Q$8)-W68))*AE68))</f>
        <v>0.95160954973867895</v>
      </c>
      <c r="AL68" s="572">
        <f>IF(M68="","",(SIN(RADIANS((90-$Q$8)-W68))*AD68)+(COS(RADIANS((90-$Q$8)-W68))*AE68))</f>
        <v>8.2109240064890787E-2</v>
      </c>
      <c r="AM68" s="577">
        <f>IF(M68="","",AF68)</f>
        <v>-0.29613736262436513</v>
      </c>
      <c r="AN68" s="524">
        <f>IF(M68="","",DEGREES(ATAN2(-AM68,AL68)))</f>
        <v>15.496960293563548</v>
      </c>
      <c r="AO68" s="525">
        <f t="shared" si="525"/>
        <v>17.89717637438029</v>
      </c>
      <c r="AP68" s="528">
        <f>IF(M68="","",DEGREES(ATAN2(AK68,AL68)))</f>
        <v>4.9315286005218582</v>
      </c>
      <c r="AQ68" s="529">
        <f t="shared" si="274"/>
        <v>7.4561412075740483</v>
      </c>
      <c r="AS68" s="932">
        <f t="shared" si="461"/>
        <v>118.63520238246409</v>
      </c>
      <c r="AT68" s="928">
        <f t="shared" si="275"/>
        <v>-0.27672207561505313</v>
      </c>
      <c r="AU68" s="418"/>
      <c r="AV68" s="164" t="str">
        <f t="shared" si="276"/>
        <v/>
      </c>
      <c r="AW68" s="797" t="str">
        <f>IFERROR(INDEX(MassProp!C$9:C$150,MATCH($M68,MassProp!$B$9:$B$150,0)),"")</f>
        <v/>
      </c>
      <c r="AX68" s="744" t="str">
        <f>IFERROR(INDEX(MassProp!D$9:D$150,MATCH($M68,MassProp!$B$9:$B$150,0)),"")</f>
        <v/>
      </c>
      <c r="AY68" s="731" t="str">
        <f>IFERROR(INDEX(MassProp!E$9:E$150,MATCH($M68,MassProp!$B$9:$B$150,0)),"")</f>
        <v/>
      </c>
      <c r="AZ68" s="297" t="str">
        <f t="shared" si="144"/>
        <v/>
      </c>
      <c r="BA68" s="296" t="str">
        <f t="shared" si="278"/>
        <v/>
      </c>
      <c r="BB68" s="177" t="str">
        <f t="shared" si="145"/>
        <v/>
      </c>
      <c r="BC68" s="9"/>
      <c r="BD68" s="5" t="str">
        <f t="shared" si="146"/>
        <v/>
      </c>
      <c r="BE68" s="6" t="str">
        <f t="shared" si="280"/>
        <v/>
      </c>
      <c r="BF68" s="4" t="str">
        <f t="shared" si="281"/>
        <v/>
      </c>
      <c r="BG68" s="5" t="str">
        <f t="shared" si="282"/>
        <v/>
      </c>
      <c r="BH68" s="10" t="str">
        <f t="shared" si="283"/>
        <v/>
      </c>
      <c r="BI68" s="9" t="str">
        <f t="shared" si="147"/>
        <v/>
      </c>
      <c r="BJ68" s="5" t="str">
        <f t="shared" si="285"/>
        <v/>
      </c>
      <c r="BK68" s="8" t="str">
        <f t="shared" si="286"/>
        <v/>
      </c>
      <c r="BL68" s="173" t="str">
        <f t="shared" si="287"/>
        <v/>
      </c>
      <c r="BM68" s="5" t="str">
        <f t="shared" si="288"/>
        <v/>
      </c>
      <c r="BN68" s="6" t="str">
        <f t="shared" si="289"/>
        <v/>
      </c>
      <c r="BO68" s="4" t="str">
        <f t="shared" si="148"/>
        <v/>
      </c>
      <c r="BP68" s="5" t="str">
        <f t="shared" si="239"/>
        <v/>
      </c>
      <c r="BQ68" s="5" t="str">
        <f t="shared" si="149"/>
        <v/>
      </c>
      <c r="BR68" s="6" t="str">
        <f t="shared" si="150"/>
        <v/>
      </c>
      <c r="BS68" s="4" t="str">
        <f t="shared" si="483"/>
        <v/>
      </c>
      <c r="BT68" s="5" t="str">
        <f t="shared" si="483"/>
        <v/>
      </c>
      <c r="BU68" s="10" t="str">
        <f t="shared" si="119"/>
        <v/>
      </c>
      <c r="BV68" s="9" t="str">
        <f t="shared" si="120"/>
        <v/>
      </c>
      <c r="BW68" s="5" t="str">
        <f t="shared" si="121"/>
        <v/>
      </c>
      <c r="BX68" s="8" t="str">
        <f t="shared" si="122"/>
        <v/>
      </c>
      <c r="BY68" s="173" t="str">
        <f t="shared" si="123"/>
        <v/>
      </c>
      <c r="BZ68" s="5" t="str">
        <f t="shared" si="124"/>
        <v/>
      </c>
      <c r="CA68" s="6" t="str">
        <f t="shared" si="125"/>
        <v/>
      </c>
      <c r="CB68" s="4" t="str">
        <f t="shared" si="151"/>
        <v/>
      </c>
      <c r="CC68" s="5" t="str">
        <f t="shared" si="152"/>
        <v/>
      </c>
      <c r="CD68" s="5" t="str">
        <f t="shared" si="153"/>
        <v/>
      </c>
      <c r="CE68" s="6" t="str">
        <f t="shared" si="154"/>
        <v/>
      </c>
      <c r="CF68" s="4" t="str">
        <f t="shared" si="155"/>
        <v/>
      </c>
      <c r="CG68" s="5" t="str">
        <f t="shared" si="156"/>
        <v/>
      </c>
      <c r="CH68" s="5" t="str">
        <f t="shared" si="157"/>
        <v/>
      </c>
      <c r="CI68" s="4" t="str">
        <f t="shared" si="126"/>
        <v/>
      </c>
      <c r="CJ68" s="5" t="str">
        <f t="shared" si="127"/>
        <v/>
      </c>
      <c r="CK68" s="8" t="str">
        <f t="shared" si="128"/>
        <v/>
      </c>
      <c r="CL68" s="173" t="str">
        <f t="shared" si="129"/>
        <v/>
      </c>
      <c r="CM68" s="5" t="str">
        <f t="shared" si="130"/>
        <v/>
      </c>
      <c r="CN68" s="6" t="str">
        <f t="shared" si="131"/>
        <v/>
      </c>
      <c r="CO68" s="167" t="str">
        <f t="shared" si="305"/>
        <v/>
      </c>
      <c r="CP68" s="4" t="str">
        <f t="shared" si="240"/>
        <v/>
      </c>
      <c r="CQ68" s="5" t="str">
        <f t="shared" si="241"/>
        <v/>
      </c>
      <c r="CR68" s="5" t="str">
        <f t="shared" si="158"/>
        <v/>
      </c>
      <c r="CS68" s="8" t="str">
        <f t="shared" si="159"/>
        <v/>
      </c>
      <c r="CT68" s="9" t="str">
        <f t="shared" si="160"/>
        <v/>
      </c>
      <c r="CU68" s="6" t="str">
        <f t="shared" si="161"/>
        <v/>
      </c>
      <c r="CV68" s="4" t="str">
        <f t="shared" si="242"/>
        <v/>
      </c>
      <c r="CW68" s="5" t="str">
        <f t="shared" si="162"/>
        <v/>
      </c>
      <c r="CX68" s="8" t="str">
        <f t="shared" si="163"/>
        <v/>
      </c>
      <c r="CY68" s="9" t="str">
        <f t="shared" si="164"/>
        <v/>
      </c>
      <c r="CZ68" s="5" t="str">
        <f t="shared" si="165"/>
        <v/>
      </c>
      <c r="DA68" s="6" t="str">
        <f t="shared" si="166"/>
        <v/>
      </c>
      <c r="DB68" s="4" t="str">
        <f t="shared" si="484"/>
        <v/>
      </c>
      <c r="DC68" s="5" t="str">
        <f t="shared" si="484"/>
        <v/>
      </c>
      <c r="DD68" s="10" t="str">
        <f t="shared" si="168"/>
        <v/>
      </c>
      <c r="DE68" s="9" t="str">
        <f t="shared" si="485"/>
        <v/>
      </c>
      <c r="DF68" s="5" t="str">
        <f t="shared" si="485"/>
        <v/>
      </c>
      <c r="DG68" s="10" t="str">
        <f t="shared" si="170"/>
        <v/>
      </c>
      <c r="DH68" s="70" t="str">
        <f t="shared" si="171"/>
        <v/>
      </c>
      <c r="DI68" s="4" t="str">
        <f t="shared" si="172"/>
        <v/>
      </c>
      <c r="DJ68" s="5" t="str">
        <f t="shared" si="173"/>
        <v/>
      </c>
      <c r="DK68" s="10" t="str">
        <f t="shared" si="174"/>
        <v/>
      </c>
      <c r="DL68" s="9" t="str">
        <f t="shared" si="175"/>
        <v/>
      </c>
      <c r="DM68" s="173" t="str">
        <f t="shared" si="176"/>
        <v/>
      </c>
      <c r="DN68" s="178" t="str">
        <f t="shared" si="177"/>
        <v/>
      </c>
      <c r="DO68" s="9" t="str">
        <f t="shared" si="178"/>
        <v/>
      </c>
      <c r="DP68" s="173" t="str">
        <f t="shared" si="179"/>
        <v/>
      </c>
      <c r="DQ68" s="11" t="str">
        <f t="shared" si="180"/>
        <v/>
      </c>
      <c r="DR68" s="173" t="str">
        <f t="shared" si="181"/>
        <v/>
      </c>
      <c r="DS68" s="5" t="str">
        <f t="shared" si="182"/>
        <v/>
      </c>
      <c r="DT68" s="5" t="str">
        <f t="shared" si="183"/>
        <v/>
      </c>
      <c r="DU68" s="5" t="str">
        <f t="shared" si="184"/>
        <v/>
      </c>
      <c r="DV68" s="5" t="str">
        <f t="shared" si="185"/>
        <v/>
      </c>
      <c r="DW68" s="5" t="str">
        <f t="shared" si="186"/>
        <v/>
      </c>
      <c r="DX68" s="167" t="str">
        <f t="shared" si="187"/>
        <v/>
      </c>
      <c r="DY68" s="9" t="str">
        <f t="shared" si="188"/>
        <v/>
      </c>
      <c r="DZ68" s="5" t="str">
        <f t="shared" si="189"/>
        <v/>
      </c>
      <c r="EA68" s="10" t="str">
        <f t="shared" si="190"/>
        <v/>
      </c>
      <c r="EB68" s="6" t="str">
        <f t="shared" si="191"/>
        <v/>
      </c>
      <c r="EC68" s="173" t="str">
        <f t="shared" si="192"/>
        <v/>
      </c>
      <c r="ED68" s="5" t="str">
        <f t="shared" si="193"/>
        <v/>
      </c>
      <c r="EE68" s="4" t="str">
        <f t="shared" si="194"/>
        <v/>
      </c>
      <c r="EF68" s="5" t="str">
        <f t="shared" si="195"/>
        <v/>
      </c>
      <c r="EG68" s="10" t="str">
        <f t="shared" si="196"/>
        <v/>
      </c>
      <c r="EH68" s="9" t="str">
        <f t="shared" si="197"/>
        <v/>
      </c>
      <c r="EI68" s="5" t="str">
        <f t="shared" si="198"/>
        <v/>
      </c>
      <c r="EJ68" s="6" t="str">
        <f t="shared" si="199"/>
        <v/>
      </c>
      <c r="EK68" s="236" t="str">
        <f t="shared" si="200"/>
        <v/>
      </c>
      <c r="EL68" s="238" t="str">
        <f t="shared" si="201"/>
        <v/>
      </c>
      <c r="EM68" s="4" t="str">
        <f t="shared" si="202"/>
        <v/>
      </c>
      <c r="EN68" s="5" t="str">
        <f t="shared" si="203"/>
        <v/>
      </c>
      <c r="EO68" s="10" t="str">
        <f t="shared" si="204"/>
        <v/>
      </c>
      <c r="EP68" s="9" t="str">
        <f t="shared" si="205"/>
        <v/>
      </c>
      <c r="EQ68" s="5" t="str">
        <f t="shared" si="206"/>
        <v/>
      </c>
      <c r="ER68" s="7" t="str">
        <f t="shared" si="207"/>
        <v/>
      </c>
      <c r="ES68" s="21" t="str">
        <f t="shared" si="352"/>
        <v/>
      </c>
      <c r="ET68" s="5" t="str">
        <f t="shared" si="353"/>
        <v/>
      </c>
      <c r="EU68" s="10" t="str">
        <f t="shared" si="354"/>
        <v/>
      </c>
      <c r="EV68" s="174" t="str">
        <f t="shared" si="486"/>
        <v/>
      </c>
      <c r="EW68" s="9" t="str">
        <f t="shared" si="487"/>
        <v/>
      </c>
      <c r="EX68" s="5" t="str">
        <f t="shared" si="488"/>
        <v/>
      </c>
      <c r="EY68" s="6" t="str">
        <f t="shared" si="208"/>
        <v/>
      </c>
      <c r="EZ68" s="51" t="str">
        <f t="shared" si="209"/>
        <v/>
      </c>
      <c r="FA68" s="173" t="str">
        <f t="shared" si="489"/>
        <v/>
      </c>
      <c r="FB68" s="5" t="str">
        <f t="shared" si="490"/>
        <v/>
      </c>
      <c r="FC68" s="6" t="str">
        <f t="shared" si="491"/>
        <v/>
      </c>
      <c r="FD68" s="4" t="str">
        <f t="shared" si="492"/>
        <v/>
      </c>
      <c r="FE68" s="5" t="str">
        <f t="shared" si="493"/>
        <v/>
      </c>
      <c r="FF68" s="7" t="str">
        <f t="shared" si="210"/>
        <v/>
      </c>
      <c r="FG68" s="173" t="str">
        <f t="shared" si="494"/>
        <v/>
      </c>
      <c r="FH68" s="5" t="str">
        <f t="shared" si="495"/>
        <v/>
      </c>
      <c r="FI68" s="10" t="str">
        <f t="shared" si="496"/>
        <v/>
      </c>
      <c r="FJ68" s="279" t="str">
        <f t="shared" si="212"/>
        <v/>
      </c>
      <c r="FK68" s="4" t="str">
        <f t="shared" si="497"/>
        <v/>
      </c>
      <c r="FL68" s="5" t="str">
        <f t="shared" si="213"/>
        <v/>
      </c>
      <c r="FM68" s="8" t="str">
        <f t="shared" si="214"/>
        <v/>
      </c>
      <c r="FN68" s="9" t="str">
        <f t="shared" si="215"/>
        <v/>
      </c>
      <c r="FO68" s="10" t="str">
        <f t="shared" si="498"/>
        <v/>
      </c>
      <c r="FP68" s="277" t="str">
        <f t="shared" si="499"/>
        <v/>
      </c>
      <c r="FQ68" s="173" t="str">
        <f t="shared" si="243"/>
        <v/>
      </c>
      <c r="FR68" s="10" t="str">
        <f t="shared" si="216"/>
        <v/>
      </c>
      <c r="FS68" s="9" t="str">
        <f t="shared" si="217"/>
        <v/>
      </c>
      <c r="FT68" s="6" t="str">
        <f t="shared" si="218"/>
        <v/>
      </c>
      <c r="FU68" s="4" t="str">
        <f t="shared" si="219"/>
        <v/>
      </c>
      <c r="FV68" s="5" t="str">
        <f t="shared" si="220"/>
        <v/>
      </c>
      <c r="FW68" s="8" t="str">
        <f t="shared" si="244"/>
        <v/>
      </c>
      <c r="FX68" s="9" t="str">
        <f t="shared" si="245"/>
        <v/>
      </c>
      <c r="FY68" s="10" t="str">
        <f t="shared" si="500"/>
        <v/>
      </c>
      <c r="FZ68" s="277" t="str">
        <f t="shared" si="246"/>
        <v/>
      </c>
      <c r="GA68" s="177" t="str">
        <f t="shared" si="221"/>
        <v/>
      </c>
      <c r="GB68" s="4" t="str">
        <f t="shared" si="222"/>
        <v/>
      </c>
      <c r="GC68" s="5" t="str">
        <f t="shared" si="223"/>
        <v/>
      </c>
      <c r="GD68" s="10" t="str">
        <f t="shared" si="224"/>
        <v/>
      </c>
      <c r="GE68" s="311" t="str">
        <f t="shared" si="225"/>
        <v/>
      </c>
      <c r="GF68" s="341" t="str">
        <f t="shared" si="247"/>
        <v/>
      </c>
      <c r="GG68" s="285" t="str">
        <f t="shared" si="501"/>
        <v/>
      </c>
      <c r="GH68" s="286" t="str">
        <f t="shared" si="502"/>
        <v/>
      </c>
      <c r="GI68" s="281" t="str">
        <f t="shared" si="503"/>
        <v/>
      </c>
      <c r="GJ68" s="167" t="str">
        <f t="shared" si="226"/>
        <v/>
      </c>
      <c r="GK68" s="174" t="str">
        <f t="shared" si="504"/>
        <v/>
      </c>
      <c r="GL68" s="174" t="str">
        <f t="shared" si="227"/>
        <v/>
      </c>
      <c r="GM68" s="177" t="str">
        <f t="shared" si="248"/>
        <v/>
      </c>
      <c r="GN68" s="280" t="str">
        <f t="shared" si="228"/>
        <v/>
      </c>
      <c r="GO68" s="4" t="str">
        <f t="shared" si="229"/>
        <v/>
      </c>
      <c r="GP68" s="8" t="str">
        <f t="shared" si="249"/>
        <v/>
      </c>
      <c r="GQ68" s="177" t="str">
        <f t="shared" si="230"/>
        <v/>
      </c>
      <c r="GR68" s="371" t="str">
        <f t="shared" si="250"/>
        <v/>
      </c>
      <c r="GS68" s="342" t="str">
        <f t="shared" si="505"/>
        <v/>
      </c>
      <c r="GT68" s="343" t="str">
        <f t="shared" si="506"/>
        <v/>
      </c>
      <c r="GU68" s="344" t="str">
        <f t="shared" si="507"/>
        <v/>
      </c>
      <c r="GV68" s="343" t="str">
        <f t="shared" si="252"/>
        <v/>
      </c>
      <c r="GW68" s="345" t="str">
        <f t="shared" si="508"/>
        <v/>
      </c>
      <c r="GX68" s="346" t="str">
        <f t="shared" si="509"/>
        <v/>
      </c>
      <c r="GY68" s="344" t="str">
        <f t="shared" si="510"/>
        <v/>
      </c>
      <c r="GZ68" s="345" t="str">
        <f t="shared" si="511"/>
        <v/>
      </c>
      <c r="HA68" s="342" t="str">
        <f t="shared" si="512"/>
        <v/>
      </c>
      <c r="HB68" s="5" t="str">
        <f t="shared" si="231"/>
        <v/>
      </c>
      <c r="HC68" s="343" t="str">
        <f t="shared" si="232"/>
        <v/>
      </c>
      <c r="HD68" s="363" t="str">
        <f t="shared" si="233"/>
        <v/>
      </c>
      <c r="HE68" s="344" t="str">
        <f t="shared" si="513"/>
        <v/>
      </c>
      <c r="HF68" s="5" t="str">
        <f t="shared" si="514"/>
        <v/>
      </c>
      <c r="HG68" s="343" t="str">
        <f t="shared" si="234"/>
        <v/>
      </c>
      <c r="HH68" s="349" t="str">
        <f t="shared" si="235"/>
        <v/>
      </c>
      <c r="HI68" s="317" t="str">
        <f t="shared" si="408"/>
        <v/>
      </c>
      <c r="HK68" s="310" t="str">
        <f t="shared" si="459"/>
        <v/>
      </c>
      <c r="HL68" s="348" t="str">
        <f t="shared" si="409"/>
        <v/>
      </c>
      <c r="HM68" s="909" t="str">
        <f t="shared" si="410"/>
        <v/>
      </c>
      <c r="HN68" s="910" t="str">
        <f t="shared" si="411"/>
        <v/>
      </c>
      <c r="HO68" s="911"/>
      <c r="HP68" s="912"/>
      <c r="HQ68" s="910" t="str">
        <f t="shared" si="412"/>
        <v/>
      </c>
      <c r="HR68" s="913" t="str">
        <f t="shared" si="413"/>
        <v/>
      </c>
      <c r="HS68" s="865" t="str">
        <f t="shared" si="460"/>
        <v/>
      </c>
      <c r="HT68" s="875" t="str">
        <f t="shared" si="414"/>
        <v/>
      </c>
      <c r="HU68" s="876" t="str">
        <f t="shared" si="415"/>
        <v/>
      </c>
      <c r="HV68" s="872" t="str">
        <f t="shared" si="416"/>
        <v/>
      </c>
      <c r="HW68" s="866" t="str">
        <f t="shared" si="417"/>
        <v/>
      </c>
      <c r="HX68" s="867" t="str">
        <f t="shared" si="418"/>
        <v/>
      </c>
      <c r="HY68" s="866" t="str">
        <f t="shared" si="419"/>
        <v/>
      </c>
      <c r="HZ68" s="868" t="str">
        <f t="shared" si="420"/>
        <v/>
      </c>
      <c r="IA68" s="869" t="str">
        <f t="shared" si="421"/>
        <v/>
      </c>
      <c r="IB68" s="870" t="str">
        <f t="shared" si="422"/>
        <v/>
      </c>
      <c r="IC68" s="841" t="str">
        <f t="shared" si="423"/>
        <v/>
      </c>
      <c r="ID68" s="351" t="str">
        <f t="shared" si="424"/>
        <v/>
      </c>
      <c r="IE68" s="843" t="str">
        <f t="shared" si="425"/>
        <v/>
      </c>
      <c r="IF68" s="844"/>
      <c r="IG68" s="790" t="str">
        <f>IFERROR(IF($IW68="","",IF($IW68&lt;(((Settings!$C$19/2)*-1)*$IG$8),"Taper","Nose")),"")</f>
        <v/>
      </c>
      <c r="IH68" s="482" t="str">
        <f>IFERROR(IF((((($IY68*COS(RADIANS(180-$JA68)))*COS(RADIANS($JA68)))-(($IZ68*SIN(RADIANS(180-$JA68)))*SIN(RADIANS($JA68))))+$IW68)&lt;(((Settings!$C$19+$IH$8)/2)*-1),"Gage",""),"")</f>
        <v/>
      </c>
      <c r="II68" s="788">
        <f t="shared" si="236"/>
        <v>5.1020000000000003</v>
      </c>
      <c r="IJ68" s="674" t="str" cm="1">
        <f t="array" ref="IJ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K68" s="677" t="str" cm="1">
        <f t="array" ref="IK68">IFERROR(ROUND(VALUE(IF($IJ68&lt;1,$IJ68+LARGE((IF($M$9:$M$150="",0,$M$9:$M$150)-MOD(IF($M$9:$M$150="",0,$M$9:$M$150),1)),1),$IJ68)),4),"")</f>
        <v/>
      </c>
      <c r="IL68" s="482">
        <f t="shared" si="426"/>
        <v>1613</v>
      </c>
      <c r="IM68" s="482" t="str">
        <f t="shared" si="237"/>
        <v/>
      </c>
      <c r="IN68" s="670" t="str">
        <f t="shared" si="427"/>
        <v/>
      </c>
      <c r="IO68" s="702"/>
      <c r="IP68" s="5" t="str">
        <f t="shared" si="428"/>
        <v/>
      </c>
      <c r="IQ68" s="714"/>
      <c r="IR68" s="9" t="str">
        <f t="shared" si="429"/>
        <v/>
      </c>
      <c r="IS68" s="5" t="str">
        <f t="shared" si="430"/>
        <v/>
      </c>
      <c r="IT68" s="5" t="str">
        <f t="shared" si="431"/>
        <v/>
      </c>
      <c r="IU68" s="5" t="str">
        <f t="shared" si="432"/>
        <v/>
      </c>
      <c r="IV68" s="670" t="str">
        <f t="shared" si="433"/>
        <v/>
      </c>
      <c r="IW68" s="9" t="str">
        <f t="shared" si="434"/>
        <v/>
      </c>
      <c r="IX68" s="5" t="str">
        <f t="shared" si="435"/>
        <v/>
      </c>
      <c r="IY68" s="5" t="str">
        <f t="shared" si="436"/>
        <v/>
      </c>
      <c r="IZ68" s="5" t="str">
        <f t="shared" si="437"/>
        <v/>
      </c>
      <c r="JA68" s="705" t="str">
        <f t="shared" si="438"/>
        <v/>
      </c>
    </row>
    <row r="69" spans="1:261" ht="15" customHeight="1" x14ac:dyDescent="0.25">
      <c r="A69" s="75">
        <f t="shared" si="256"/>
        <v>0.02</v>
      </c>
      <c r="B69" s="578">
        <f t="shared" si="515"/>
        <v>-1.1918770865645936</v>
      </c>
      <c r="C69" s="572">
        <f t="shared" si="516"/>
        <v>-0.66582250156553546</v>
      </c>
      <c r="D69" s="576">
        <f t="shared" si="517"/>
        <v>-0.40440014721777151</v>
      </c>
      <c r="E69" s="580">
        <f t="shared" si="518"/>
        <v>0.52188458828136786</v>
      </c>
      <c r="F69" s="572">
        <f t="shared" si="519"/>
        <v>-0.81404491809935031</v>
      </c>
      <c r="G69" s="579">
        <f t="shared" si="520"/>
        <v>0.25488693146375618</v>
      </c>
      <c r="H69" s="580">
        <f t="shared" si="521"/>
        <v>0.3125</v>
      </c>
      <c r="I69" s="572">
        <f t="shared" si="522"/>
        <v>0.52</v>
      </c>
      <c r="J69" s="483">
        <f t="shared" si="523"/>
        <v>5.1050000000000004</v>
      </c>
      <c r="K69" s="806">
        <f t="shared" si="524"/>
        <v>1613</v>
      </c>
      <c r="L69" s="309"/>
      <c r="M69" s="164">
        <f t="shared" si="267"/>
        <v>5.1050000000000004</v>
      </c>
      <c r="N69" s="575">
        <f t="shared" si="268"/>
        <v>-1.1918770865645936</v>
      </c>
      <c r="O69" s="572">
        <f t="shared" si="269"/>
        <v>-0.66582250156553546</v>
      </c>
      <c r="P69" s="576">
        <f t="shared" si="270"/>
        <v>-0.40440014721777151</v>
      </c>
      <c r="Q69" s="528">
        <f t="shared" si="140"/>
        <v>209.18918969120878</v>
      </c>
      <c r="R69" s="572">
        <f t="shared" si="101"/>
        <v>1.3652437852151869</v>
      </c>
      <c r="S69" s="577">
        <f t="shared" si="102"/>
        <v>-0.40440014721777151</v>
      </c>
      <c r="T69" s="578">
        <f t="shared" si="103"/>
        <v>-0.67480848525528547</v>
      </c>
      <c r="U69" s="572">
        <f t="shared" si="104"/>
        <v>1.1868125805265795</v>
      </c>
      <c r="V69" s="579">
        <f t="shared" si="141"/>
        <v>-0.40440014721777151</v>
      </c>
      <c r="W69" s="528">
        <f t="shared" si="253"/>
        <v>119.62208053707977</v>
      </c>
      <c r="X69" s="572">
        <f t="shared" si="105"/>
        <v>1.3652437852151869</v>
      </c>
      <c r="Y69" s="573">
        <f t="shared" si="255"/>
        <v>-0.40440014721777151</v>
      </c>
      <c r="Z69" s="575">
        <f t="shared" si="271"/>
        <v>-0.52188458828136786</v>
      </c>
      <c r="AA69" s="572">
        <f t="shared" si="272"/>
        <v>0.81404491809935031</v>
      </c>
      <c r="AB69" s="572">
        <f t="shared" si="273"/>
        <v>-0.25488693146375618</v>
      </c>
      <c r="AC69" s="579">
        <f t="shared" si="106"/>
        <v>1</v>
      </c>
      <c r="AD69" s="580">
        <f t="shared" si="142"/>
        <v>-0.52188458828136786</v>
      </c>
      <c r="AE69" s="572">
        <f t="shared" si="107"/>
        <v>0.81404491809935031</v>
      </c>
      <c r="AF69" s="576">
        <f t="shared" si="108"/>
        <v>-0.25488693146375618</v>
      </c>
      <c r="AG69" s="545">
        <f t="shared" si="109"/>
        <v>72.614054868133664</v>
      </c>
      <c r="AH69" s="546">
        <f t="shared" si="110"/>
        <v>121.45875105961143</v>
      </c>
      <c r="AI69" s="528">
        <f t="shared" si="111"/>
        <v>-75.2331145853706</v>
      </c>
      <c r="AJ69" s="529">
        <f t="shared" si="112"/>
        <v>-147.33604821966418</v>
      </c>
      <c r="AK69" s="578">
        <f t="shared" si="238"/>
        <v>0.96519317772046853</v>
      </c>
      <c r="AL69" s="572">
        <f t="shared" si="113"/>
        <v>5.8607011959791566E-2</v>
      </c>
      <c r="AM69" s="577">
        <f t="shared" si="114"/>
        <v>-0.25488693146375618</v>
      </c>
      <c r="AN69" s="524">
        <f t="shared" si="115"/>
        <v>12.949138827495569</v>
      </c>
      <c r="AO69" s="525">
        <f t="shared" si="525"/>
        <v>15.161341689710696</v>
      </c>
      <c r="AP69" s="528">
        <f t="shared" si="117"/>
        <v>3.4747620891270108</v>
      </c>
      <c r="AQ69" s="529">
        <f t="shared" si="274"/>
        <v>3.3358878672570897</v>
      </c>
      <c r="AS69" s="932">
        <f t="shared" si="461"/>
        <v>119.62208053707977</v>
      </c>
      <c r="AT69" s="928">
        <f t="shared" si="275"/>
        <v>-7.426650659393419E-2</v>
      </c>
      <c r="AU69" s="418"/>
      <c r="AV69" s="164" t="str">
        <f t="shared" si="276"/>
        <v/>
      </c>
      <c r="AW69" s="797" t="str">
        <f>IFERROR(INDEX(MassProp!C$9:C$150,MATCH($M69,MassProp!$B$9:$B$150,0)),"")</f>
        <v/>
      </c>
      <c r="AX69" s="744" t="str">
        <f>IFERROR(INDEX(MassProp!D$9:D$150,MATCH($M69,MassProp!$B$9:$B$150,0)),"")</f>
        <v/>
      </c>
      <c r="AY69" s="731" t="str">
        <f>IFERROR(INDEX(MassProp!E$9:E$150,MATCH($M69,MassProp!$B$9:$B$150,0)),"")</f>
        <v/>
      </c>
      <c r="AZ69" s="297" t="str">
        <f t="shared" si="144"/>
        <v/>
      </c>
      <c r="BA69" s="296" t="str">
        <f t="shared" si="278"/>
        <v/>
      </c>
      <c r="BB69" s="177" t="str">
        <f t="shared" si="145"/>
        <v/>
      </c>
      <c r="BC69" s="9"/>
      <c r="BD69" s="5" t="str">
        <f t="shared" si="146"/>
        <v/>
      </c>
      <c r="BE69" s="6" t="str">
        <f t="shared" si="280"/>
        <v/>
      </c>
      <c r="BF69" s="4" t="str">
        <f t="shared" si="281"/>
        <v/>
      </c>
      <c r="BG69" s="5" t="str">
        <f t="shared" si="282"/>
        <v/>
      </c>
      <c r="BH69" s="10" t="str">
        <f t="shared" si="283"/>
        <v/>
      </c>
      <c r="BI69" s="9" t="str">
        <f t="shared" si="147"/>
        <v/>
      </c>
      <c r="BJ69" s="5" t="str">
        <f t="shared" si="285"/>
        <v/>
      </c>
      <c r="BK69" s="8" t="str">
        <f t="shared" si="286"/>
        <v/>
      </c>
      <c r="BL69" s="173" t="str">
        <f t="shared" si="287"/>
        <v/>
      </c>
      <c r="BM69" s="5" t="str">
        <f t="shared" si="288"/>
        <v/>
      </c>
      <c r="BN69" s="6" t="str">
        <f t="shared" si="289"/>
        <v/>
      </c>
      <c r="BO69" s="4" t="str">
        <f t="shared" si="148"/>
        <v/>
      </c>
      <c r="BP69" s="5" t="str">
        <f t="shared" si="239"/>
        <v/>
      </c>
      <c r="BQ69" s="5" t="str">
        <f t="shared" si="149"/>
        <v/>
      </c>
      <c r="BR69" s="6" t="str">
        <f t="shared" si="150"/>
        <v/>
      </c>
      <c r="BS69" s="4" t="str">
        <f t="shared" si="483"/>
        <v/>
      </c>
      <c r="BT69" s="5" t="str">
        <f t="shared" si="483"/>
        <v/>
      </c>
      <c r="BU69" s="10" t="str">
        <f t="shared" si="119"/>
        <v/>
      </c>
      <c r="BV69" s="9" t="str">
        <f t="shared" si="120"/>
        <v/>
      </c>
      <c r="BW69" s="5" t="str">
        <f t="shared" si="121"/>
        <v/>
      </c>
      <c r="BX69" s="8" t="str">
        <f t="shared" si="122"/>
        <v/>
      </c>
      <c r="BY69" s="173" t="str">
        <f t="shared" si="123"/>
        <v/>
      </c>
      <c r="BZ69" s="5" t="str">
        <f t="shared" si="124"/>
        <v/>
      </c>
      <c r="CA69" s="6" t="str">
        <f t="shared" si="125"/>
        <v/>
      </c>
      <c r="CB69" s="4" t="str">
        <f t="shared" si="151"/>
        <v/>
      </c>
      <c r="CC69" s="5" t="str">
        <f t="shared" si="152"/>
        <v/>
      </c>
      <c r="CD69" s="5" t="str">
        <f t="shared" si="153"/>
        <v/>
      </c>
      <c r="CE69" s="6" t="str">
        <f t="shared" si="154"/>
        <v/>
      </c>
      <c r="CF69" s="4" t="str">
        <f t="shared" si="155"/>
        <v/>
      </c>
      <c r="CG69" s="5" t="str">
        <f t="shared" si="156"/>
        <v/>
      </c>
      <c r="CH69" s="5" t="str">
        <f t="shared" si="157"/>
        <v/>
      </c>
      <c r="CI69" s="4" t="str">
        <f t="shared" si="126"/>
        <v/>
      </c>
      <c r="CJ69" s="5" t="str">
        <f t="shared" si="127"/>
        <v/>
      </c>
      <c r="CK69" s="8" t="str">
        <f t="shared" si="128"/>
        <v/>
      </c>
      <c r="CL69" s="173" t="str">
        <f t="shared" si="129"/>
        <v/>
      </c>
      <c r="CM69" s="5" t="str">
        <f t="shared" si="130"/>
        <v/>
      </c>
      <c r="CN69" s="6" t="str">
        <f t="shared" si="131"/>
        <v/>
      </c>
      <c r="CO69" s="167" t="str">
        <f t="shared" si="305"/>
        <v/>
      </c>
      <c r="CP69" s="4" t="str">
        <f t="shared" si="240"/>
        <v/>
      </c>
      <c r="CQ69" s="5" t="str">
        <f t="shared" si="241"/>
        <v/>
      </c>
      <c r="CR69" s="5" t="str">
        <f t="shared" si="158"/>
        <v/>
      </c>
      <c r="CS69" s="8" t="str">
        <f t="shared" si="159"/>
        <v/>
      </c>
      <c r="CT69" s="9" t="str">
        <f t="shared" si="160"/>
        <v/>
      </c>
      <c r="CU69" s="6" t="str">
        <f t="shared" si="161"/>
        <v/>
      </c>
      <c r="CV69" s="4" t="str">
        <f t="shared" si="242"/>
        <v/>
      </c>
      <c r="CW69" s="5" t="str">
        <f t="shared" si="162"/>
        <v/>
      </c>
      <c r="CX69" s="8" t="str">
        <f t="shared" si="163"/>
        <v/>
      </c>
      <c r="CY69" s="9" t="str">
        <f t="shared" si="164"/>
        <v/>
      </c>
      <c r="CZ69" s="5" t="str">
        <f t="shared" si="165"/>
        <v/>
      </c>
      <c r="DA69" s="6" t="str">
        <f t="shared" si="166"/>
        <v/>
      </c>
      <c r="DB69" s="4" t="str">
        <f t="shared" si="484"/>
        <v/>
      </c>
      <c r="DC69" s="5" t="str">
        <f t="shared" si="484"/>
        <v/>
      </c>
      <c r="DD69" s="10" t="str">
        <f t="shared" si="168"/>
        <v/>
      </c>
      <c r="DE69" s="9" t="str">
        <f t="shared" si="485"/>
        <v/>
      </c>
      <c r="DF69" s="5" t="str">
        <f t="shared" si="485"/>
        <v/>
      </c>
      <c r="DG69" s="10" t="str">
        <f t="shared" si="170"/>
        <v/>
      </c>
      <c r="DH69" s="70" t="str">
        <f t="shared" si="171"/>
        <v/>
      </c>
      <c r="DI69" s="4" t="str">
        <f t="shared" si="172"/>
        <v/>
      </c>
      <c r="DJ69" s="5" t="str">
        <f t="shared" si="173"/>
        <v/>
      </c>
      <c r="DK69" s="10" t="str">
        <f t="shared" si="174"/>
        <v/>
      </c>
      <c r="DL69" s="9" t="str">
        <f t="shared" si="175"/>
        <v/>
      </c>
      <c r="DM69" s="173" t="str">
        <f t="shared" si="176"/>
        <v/>
      </c>
      <c r="DN69" s="178" t="str">
        <f t="shared" si="177"/>
        <v/>
      </c>
      <c r="DO69" s="9" t="str">
        <f t="shared" si="178"/>
        <v/>
      </c>
      <c r="DP69" s="173" t="str">
        <f t="shared" si="179"/>
        <v/>
      </c>
      <c r="DQ69" s="11" t="str">
        <f t="shared" si="180"/>
        <v/>
      </c>
      <c r="DR69" s="173" t="str">
        <f t="shared" si="181"/>
        <v/>
      </c>
      <c r="DS69" s="5" t="str">
        <f t="shared" si="182"/>
        <v/>
      </c>
      <c r="DT69" s="5" t="str">
        <f t="shared" si="183"/>
        <v/>
      </c>
      <c r="DU69" s="5" t="str">
        <f t="shared" si="184"/>
        <v/>
      </c>
      <c r="DV69" s="5" t="str">
        <f t="shared" si="185"/>
        <v/>
      </c>
      <c r="DW69" s="5" t="str">
        <f t="shared" si="186"/>
        <v/>
      </c>
      <c r="DX69" s="167" t="str">
        <f t="shared" si="187"/>
        <v/>
      </c>
      <c r="DY69" s="9" t="str">
        <f t="shared" si="188"/>
        <v/>
      </c>
      <c r="DZ69" s="5" t="str">
        <f t="shared" si="189"/>
        <v/>
      </c>
      <c r="EA69" s="10" t="str">
        <f t="shared" si="190"/>
        <v/>
      </c>
      <c r="EB69" s="6" t="str">
        <f t="shared" si="191"/>
        <v/>
      </c>
      <c r="EC69" s="173" t="str">
        <f t="shared" si="192"/>
        <v/>
      </c>
      <c r="ED69" s="5" t="str">
        <f t="shared" si="193"/>
        <v/>
      </c>
      <c r="EE69" s="4" t="str">
        <f t="shared" si="194"/>
        <v/>
      </c>
      <c r="EF69" s="5" t="str">
        <f t="shared" si="195"/>
        <v/>
      </c>
      <c r="EG69" s="10" t="str">
        <f t="shared" si="196"/>
        <v/>
      </c>
      <c r="EH69" s="9" t="str">
        <f t="shared" si="197"/>
        <v/>
      </c>
      <c r="EI69" s="5" t="str">
        <f t="shared" si="198"/>
        <v/>
      </c>
      <c r="EJ69" s="6" t="str">
        <f t="shared" si="199"/>
        <v/>
      </c>
      <c r="EK69" s="236" t="str">
        <f t="shared" si="200"/>
        <v/>
      </c>
      <c r="EL69" s="238" t="str">
        <f t="shared" si="201"/>
        <v/>
      </c>
      <c r="EM69" s="4" t="str">
        <f t="shared" si="202"/>
        <v/>
      </c>
      <c r="EN69" s="5" t="str">
        <f t="shared" si="203"/>
        <v/>
      </c>
      <c r="EO69" s="10" t="str">
        <f t="shared" si="204"/>
        <v/>
      </c>
      <c r="EP69" s="9" t="str">
        <f t="shared" si="205"/>
        <v/>
      </c>
      <c r="EQ69" s="5" t="str">
        <f t="shared" si="206"/>
        <v/>
      </c>
      <c r="ER69" s="7" t="str">
        <f t="shared" si="207"/>
        <v/>
      </c>
      <c r="ES69" s="21" t="str">
        <f t="shared" si="352"/>
        <v/>
      </c>
      <c r="ET69" s="5" t="str">
        <f t="shared" si="353"/>
        <v/>
      </c>
      <c r="EU69" s="10" t="str">
        <f t="shared" si="354"/>
        <v/>
      </c>
      <c r="EV69" s="174" t="str">
        <f t="shared" si="486"/>
        <v/>
      </c>
      <c r="EW69" s="9" t="str">
        <f t="shared" si="487"/>
        <v/>
      </c>
      <c r="EX69" s="5" t="str">
        <f t="shared" si="488"/>
        <v/>
      </c>
      <c r="EY69" s="6" t="str">
        <f t="shared" si="208"/>
        <v/>
      </c>
      <c r="EZ69" s="51" t="str">
        <f t="shared" si="209"/>
        <v/>
      </c>
      <c r="FA69" s="173" t="str">
        <f t="shared" si="489"/>
        <v/>
      </c>
      <c r="FB69" s="5" t="str">
        <f t="shared" si="490"/>
        <v/>
      </c>
      <c r="FC69" s="6" t="str">
        <f t="shared" si="491"/>
        <v/>
      </c>
      <c r="FD69" s="4" t="str">
        <f t="shared" si="492"/>
        <v/>
      </c>
      <c r="FE69" s="5" t="str">
        <f t="shared" si="493"/>
        <v/>
      </c>
      <c r="FF69" s="7" t="str">
        <f t="shared" si="210"/>
        <v/>
      </c>
      <c r="FG69" s="173" t="str">
        <f t="shared" si="494"/>
        <v/>
      </c>
      <c r="FH69" s="5" t="str">
        <f t="shared" si="495"/>
        <v/>
      </c>
      <c r="FI69" s="10" t="str">
        <f t="shared" si="496"/>
        <v/>
      </c>
      <c r="FJ69" s="279" t="str">
        <f t="shared" si="212"/>
        <v/>
      </c>
      <c r="FK69" s="4" t="str">
        <f t="shared" si="497"/>
        <v/>
      </c>
      <c r="FL69" s="5" t="str">
        <f t="shared" si="213"/>
        <v/>
      </c>
      <c r="FM69" s="8" t="str">
        <f t="shared" si="214"/>
        <v/>
      </c>
      <c r="FN69" s="9" t="str">
        <f t="shared" si="215"/>
        <v/>
      </c>
      <c r="FO69" s="10" t="str">
        <f t="shared" si="498"/>
        <v/>
      </c>
      <c r="FP69" s="277" t="str">
        <f t="shared" si="499"/>
        <v/>
      </c>
      <c r="FQ69" s="173" t="str">
        <f t="shared" si="243"/>
        <v/>
      </c>
      <c r="FR69" s="10" t="str">
        <f t="shared" si="216"/>
        <v/>
      </c>
      <c r="FS69" s="9" t="str">
        <f t="shared" si="217"/>
        <v/>
      </c>
      <c r="FT69" s="6" t="str">
        <f t="shared" si="218"/>
        <v/>
      </c>
      <c r="FU69" s="4" t="str">
        <f t="shared" si="219"/>
        <v/>
      </c>
      <c r="FV69" s="5" t="str">
        <f t="shared" si="220"/>
        <v/>
      </c>
      <c r="FW69" s="8" t="str">
        <f t="shared" si="244"/>
        <v/>
      </c>
      <c r="FX69" s="9" t="str">
        <f t="shared" si="245"/>
        <v/>
      </c>
      <c r="FY69" s="10" t="str">
        <f t="shared" si="500"/>
        <v/>
      </c>
      <c r="FZ69" s="277" t="str">
        <f t="shared" si="246"/>
        <v/>
      </c>
      <c r="GA69" s="177" t="str">
        <f t="shared" si="221"/>
        <v/>
      </c>
      <c r="GB69" s="4" t="str">
        <f t="shared" si="222"/>
        <v/>
      </c>
      <c r="GC69" s="5" t="str">
        <f t="shared" si="223"/>
        <v/>
      </c>
      <c r="GD69" s="10" t="str">
        <f t="shared" si="224"/>
        <v/>
      </c>
      <c r="GE69" s="311" t="str">
        <f t="shared" si="225"/>
        <v/>
      </c>
      <c r="GF69" s="341" t="str">
        <f t="shared" si="247"/>
        <v/>
      </c>
      <c r="GG69" s="285" t="str">
        <f t="shared" si="501"/>
        <v/>
      </c>
      <c r="GH69" s="286" t="str">
        <f t="shared" si="502"/>
        <v/>
      </c>
      <c r="GI69" s="281" t="str">
        <f t="shared" si="503"/>
        <v/>
      </c>
      <c r="GJ69" s="167" t="str">
        <f t="shared" si="226"/>
        <v/>
      </c>
      <c r="GK69" s="174" t="str">
        <f t="shared" si="504"/>
        <v/>
      </c>
      <c r="GL69" s="174" t="str">
        <f t="shared" si="227"/>
        <v/>
      </c>
      <c r="GM69" s="177" t="str">
        <f t="shared" si="248"/>
        <v/>
      </c>
      <c r="GN69" s="280" t="str">
        <f t="shared" si="228"/>
        <v/>
      </c>
      <c r="GO69" s="4" t="str">
        <f t="shared" si="229"/>
        <v/>
      </c>
      <c r="GP69" s="8" t="str">
        <f t="shared" si="249"/>
        <v/>
      </c>
      <c r="GQ69" s="177" t="str">
        <f t="shared" si="230"/>
        <v/>
      </c>
      <c r="GR69" s="371" t="str">
        <f t="shared" si="250"/>
        <v/>
      </c>
      <c r="GS69" s="342" t="str">
        <f t="shared" si="505"/>
        <v/>
      </c>
      <c r="GT69" s="343" t="str">
        <f t="shared" si="506"/>
        <v/>
      </c>
      <c r="GU69" s="344" t="str">
        <f t="shared" si="507"/>
        <v/>
      </c>
      <c r="GV69" s="343" t="str">
        <f t="shared" si="252"/>
        <v/>
      </c>
      <c r="GW69" s="345" t="str">
        <f t="shared" si="508"/>
        <v/>
      </c>
      <c r="GX69" s="346" t="str">
        <f t="shared" si="509"/>
        <v/>
      </c>
      <c r="GY69" s="344" t="str">
        <f t="shared" si="510"/>
        <v/>
      </c>
      <c r="GZ69" s="345" t="str">
        <f t="shared" si="511"/>
        <v/>
      </c>
      <c r="HA69" s="342" t="str">
        <f t="shared" si="512"/>
        <v/>
      </c>
      <c r="HB69" s="5" t="str">
        <f t="shared" si="231"/>
        <v/>
      </c>
      <c r="HC69" s="343" t="str">
        <f t="shared" si="232"/>
        <v/>
      </c>
      <c r="HD69" s="363" t="str">
        <f t="shared" si="233"/>
        <v/>
      </c>
      <c r="HE69" s="344" t="str">
        <f t="shared" si="513"/>
        <v/>
      </c>
      <c r="HF69" s="5" t="str">
        <f t="shared" si="514"/>
        <v/>
      </c>
      <c r="HG69" s="343" t="str">
        <f t="shared" si="234"/>
        <v/>
      </c>
      <c r="HH69" s="349" t="str">
        <f t="shared" si="235"/>
        <v/>
      </c>
      <c r="HI69" s="317" t="str">
        <f t="shared" si="408"/>
        <v/>
      </c>
      <c r="HK69" s="310" t="str">
        <f t="shared" si="459"/>
        <v/>
      </c>
      <c r="HL69" s="348" t="str">
        <f t="shared" si="409"/>
        <v/>
      </c>
      <c r="HM69" s="909" t="str">
        <f t="shared" si="410"/>
        <v/>
      </c>
      <c r="HN69" s="910" t="str">
        <f t="shared" si="411"/>
        <v/>
      </c>
      <c r="HO69" s="911"/>
      <c r="HP69" s="912"/>
      <c r="HQ69" s="910" t="str">
        <f t="shared" si="412"/>
        <v/>
      </c>
      <c r="HR69" s="913" t="str">
        <f t="shared" si="413"/>
        <v/>
      </c>
      <c r="HS69" s="865" t="str">
        <f t="shared" si="460"/>
        <v/>
      </c>
      <c r="HT69" s="875" t="str">
        <f t="shared" si="414"/>
        <v/>
      </c>
      <c r="HU69" s="876" t="str">
        <f t="shared" si="415"/>
        <v/>
      </c>
      <c r="HV69" s="872" t="str">
        <f t="shared" si="416"/>
        <v/>
      </c>
      <c r="HW69" s="866" t="str">
        <f t="shared" si="417"/>
        <v/>
      </c>
      <c r="HX69" s="867" t="str">
        <f t="shared" si="418"/>
        <v/>
      </c>
      <c r="HY69" s="866" t="str">
        <f t="shared" si="419"/>
        <v/>
      </c>
      <c r="HZ69" s="868" t="str">
        <f t="shared" si="420"/>
        <v/>
      </c>
      <c r="IA69" s="869" t="str">
        <f t="shared" si="421"/>
        <v/>
      </c>
      <c r="IB69" s="870" t="str">
        <f t="shared" si="422"/>
        <v/>
      </c>
      <c r="IC69" s="841" t="str">
        <f t="shared" si="423"/>
        <v/>
      </c>
      <c r="ID69" s="351" t="str">
        <f t="shared" si="424"/>
        <v/>
      </c>
      <c r="IE69" s="843" t="str">
        <f t="shared" si="425"/>
        <v/>
      </c>
      <c r="IF69" s="844"/>
      <c r="IG69" s="790" t="str">
        <f>IFERROR(IF($IW69="","",IF($IW69&lt;(((Settings!$C$19/2)*-1)*$IG$8),"Taper","Nose")),"")</f>
        <v/>
      </c>
      <c r="IH69" s="482" t="str">
        <f>IFERROR(IF((((($IY69*COS(RADIANS(180-$JA69)))*COS(RADIANS($JA69)))-(($IZ69*SIN(RADIANS(180-$JA69)))*SIN(RADIANS($JA69))))+$IW69)&lt;(((Settings!$C$19+$IH$8)/2)*-1),"Gage",""),"")</f>
        <v/>
      </c>
      <c r="II69" s="788">
        <f t="shared" si="236"/>
        <v>5.1050000000000004</v>
      </c>
      <c r="IJ69" s="674" t="str" cm="1">
        <f t="array" ref="IJ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K69" s="677" t="str" cm="1">
        <f t="array" ref="IK69">IFERROR(ROUND(VALUE(IF($IJ69&lt;1,$IJ69+LARGE((IF($M$9:$M$150="",0,$M$9:$M$150)-MOD(IF($M$9:$M$150="",0,$M$9:$M$150),1)),1),$IJ69)),4),"")</f>
        <v/>
      </c>
      <c r="IL69" s="482">
        <f t="shared" si="426"/>
        <v>1613</v>
      </c>
      <c r="IM69" s="482" t="str">
        <f t="shared" si="237"/>
        <v/>
      </c>
      <c r="IN69" s="670" t="str">
        <f t="shared" si="427"/>
        <v/>
      </c>
      <c r="IO69" s="702"/>
      <c r="IP69" s="5" t="str">
        <f t="shared" si="428"/>
        <v/>
      </c>
      <c r="IQ69" s="714"/>
      <c r="IR69" s="9" t="str">
        <f t="shared" si="429"/>
        <v/>
      </c>
      <c r="IS69" s="5" t="str">
        <f t="shared" si="430"/>
        <v/>
      </c>
      <c r="IT69" s="5" t="str">
        <f t="shared" si="431"/>
        <v/>
      </c>
      <c r="IU69" s="5" t="str">
        <f t="shared" si="432"/>
        <v/>
      </c>
      <c r="IV69" s="670" t="str">
        <f t="shared" si="433"/>
        <v/>
      </c>
      <c r="IW69" s="9" t="str">
        <f t="shared" si="434"/>
        <v/>
      </c>
      <c r="IX69" s="5" t="str">
        <f t="shared" si="435"/>
        <v/>
      </c>
      <c r="IY69" s="5" t="str">
        <f t="shared" si="436"/>
        <v/>
      </c>
      <c r="IZ69" s="5" t="str">
        <f t="shared" si="437"/>
        <v/>
      </c>
      <c r="JA69" s="705" t="str">
        <f t="shared" si="438"/>
        <v/>
      </c>
    </row>
    <row r="70" spans="1:261" ht="15" customHeight="1" x14ac:dyDescent="0.25">
      <c r="A70" s="75">
        <f t="shared" si="256"/>
        <v>0.02</v>
      </c>
      <c r="B70" s="578">
        <f t="shared" si="515"/>
        <v>-1.8087509180521328</v>
      </c>
      <c r="C70" s="572">
        <f t="shared" si="516"/>
        <v>-1.0219742767952471</v>
      </c>
      <c r="D70" s="576">
        <f t="shared" si="517"/>
        <v>-0.21359899630696494</v>
      </c>
      <c r="E70" s="580">
        <f t="shared" si="518"/>
        <v>0.52188458828136786</v>
      </c>
      <c r="F70" s="572">
        <f t="shared" si="519"/>
        <v>-0.81404491809934998</v>
      </c>
      <c r="G70" s="579">
        <f t="shared" si="520"/>
        <v>0.25488693146375652</v>
      </c>
      <c r="H70" s="580">
        <f t="shared" si="521"/>
        <v>0.3125</v>
      </c>
      <c r="I70" s="572">
        <f t="shared" si="522"/>
        <v>0.52</v>
      </c>
      <c r="J70" s="483">
        <f t="shared" si="523"/>
        <v>5.1079999999999997</v>
      </c>
      <c r="K70" s="806">
        <f t="shared" si="524"/>
        <v>1613</v>
      </c>
      <c r="L70" s="309"/>
      <c r="M70" s="164">
        <f t="shared" si="267"/>
        <v>5.1079999999999997</v>
      </c>
      <c r="N70" s="575">
        <f t="shared" si="268"/>
        <v>-1.8087509180521328</v>
      </c>
      <c r="O70" s="572">
        <f t="shared" si="269"/>
        <v>-1.0219742767952471</v>
      </c>
      <c r="P70" s="576">
        <f t="shared" si="270"/>
        <v>-0.21359899630696494</v>
      </c>
      <c r="Q70" s="528">
        <f t="shared" si="140"/>
        <v>209.46716881885553</v>
      </c>
      <c r="R70" s="572">
        <f t="shared" si="101"/>
        <v>2.0775012168433507</v>
      </c>
      <c r="S70" s="577">
        <f t="shared" si="102"/>
        <v>-0.21359899630696494</v>
      </c>
      <c r="T70" s="578">
        <f t="shared" si="103"/>
        <v>-1.0356107613617078</v>
      </c>
      <c r="U70" s="572">
        <f t="shared" si="104"/>
        <v>1.8009779723631898</v>
      </c>
      <c r="V70" s="579">
        <f t="shared" si="141"/>
        <v>-0.21359899630696494</v>
      </c>
      <c r="W70" s="528">
        <f t="shared" si="253"/>
        <v>119.90005966472651</v>
      </c>
      <c r="X70" s="572">
        <f t="shared" si="105"/>
        <v>2.0775012168433507</v>
      </c>
      <c r="Y70" s="573">
        <f t="shared" si="255"/>
        <v>-0.21359899630696494</v>
      </c>
      <c r="Z70" s="575">
        <f t="shared" si="271"/>
        <v>-0.52188458828136786</v>
      </c>
      <c r="AA70" s="572">
        <f t="shared" si="272"/>
        <v>0.81404491809934998</v>
      </c>
      <c r="AB70" s="572">
        <f t="shared" si="273"/>
        <v>-0.25488693146375652</v>
      </c>
      <c r="AC70" s="579">
        <f t="shared" si="106"/>
        <v>1</v>
      </c>
      <c r="AD70" s="580">
        <f t="shared" si="142"/>
        <v>-0.52188458828136786</v>
      </c>
      <c r="AE70" s="572">
        <f t="shared" si="107"/>
        <v>0.81404491809934998</v>
      </c>
      <c r="AF70" s="576">
        <f t="shared" si="108"/>
        <v>-0.25488693146375652</v>
      </c>
      <c r="AG70" s="545">
        <f t="shared" si="109"/>
        <v>72.614054868133636</v>
      </c>
      <c r="AH70" s="546">
        <f t="shared" si="110"/>
        <v>121.45875105961143</v>
      </c>
      <c r="AI70" s="528">
        <f t="shared" si="111"/>
        <v>-75.233114585370586</v>
      </c>
      <c r="AJ70" s="529">
        <f t="shared" si="112"/>
        <v>-147.33604821966418</v>
      </c>
      <c r="AK70" s="578">
        <f t="shared" si="238"/>
        <v>0.96546615778880129</v>
      </c>
      <c r="AL70" s="572">
        <f t="shared" si="113"/>
        <v>5.3923560096861056E-2</v>
      </c>
      <c r="AM70" s="577">
        <f t="shared" si="114"/>
        <v>-0.25488693146375652</v>
      </c>
      <c r="AN70" s="524">
        <f t="shared" si="115"/>
        <v>11.945289726695552</v>
      </c>
      <c r="AO70" s="525">
        <f t="shared" si="525"/>
        <v>15.101423636341977</v>
      </c>
      <c r="AP70" s="528">
        <f t="shared" si="117"/>
        <v>3.1967829614802881</v>
      </c>
      <c r="AQ70" s="529">
        <f t="shared" si="274"/>
        <v>2.1936089704046515</v>
      </c>
      <c r="AS70" s="932">
        <f t="shared" si="461"/>
        <v>119.90005966472651</v>
      </c>
      <c r="AT70" s="928">
        <f t="shared" si="275"/>
        <v>0.11614856219514075</v>
      </c>
      <c r="AU70" s="418"/>
      <c r="AV70" s="164" t="str">
        <f t="shared" si="276"/>
        <v/>
      </c>
      <c r="AW70" s="797" t="str">
        <f>IFERROR(INDEX(MassProp!C$9:C$150,MATCH($M70,MassProp!$B$9:$B$150,0)),"")</f>
        <v/>
      </c>
      <c r="AX70" s="744" t="str">
        <f>IFERROR(INDEX(MassProp!D$9:D$150,MATCH($M70,MassProp!$B$9:$B$150,0)),"")</f>
        <v/>
      </c>
      <c r="AY70" s="731" t="str">
        <f>IFERROR(INDEX(MassProp!E$9:E$150,MATCH($M70,MassProp!$B$9:$B$150,0)),"")</f>
        <v/>
      </c>
      <c r="AZ70" s="297" t="str">
        <f t="shared" si="144"/>
        <v/>
      </c>
      <c r="BA70" s="296" t="str">
        <f t="shared" si="278"/>
        <v/>
      </c>
      <c r="BB70" s="177" t="str">
        <f t="shared" si="145"/>
        <v/>
      </c>
      <c r="BC70" s="9"/>
      <c r="BD70" s="5" t="str">
        <f t="shared" si="146"/>
        <v/>
      </c>
      <c r="BE70" s="6" t="str">
        <f t="shared" si="280"/>
        <v/>
      </c>
      <c r="BF70" s="4" t="str">
        <f t="shared" si="281"/>
        <v/>
      </c>
      <c r="BG70" s="5" t="str">
        <f t="shared" si="282"/>
        <v/>
      </c>
      <c r="BH70" s="10" t="str">
        <f t="shared" si="283"/>
        <v/>
      </c>
      <c r="BI70" s="9" t="str">
        <f t="shared" si="147"/>
        <v/>
      </c>
      <c r="BJ70" s="5" t="str">
        <f t="shared" si="285"/>
        <v/>
      </c>
      <c r="BK70" s="8" t="str">
        <f t="shared" si="286"/>
        <v/>
      </c>
      <c r="BL70" s="173" t="str">
        <f t="shared" si="287"/>
        <v/>
      </c>
      <c r="BM70" s="5" t="str">
        <f t="shared" si="288"/>
        <v/>
      </c>
      <c r="BN70" s="6" t="str">
        <f t="shared" si="289"/>
        <v/>
      </c>
      <c r="BO70" s="4" t="str">
        <f t="shared" si="148"/>
        <v/>
      </c>
      <c r="BP70" s="5" t="str">
        <f t="shared" si="239"/>
        <v/>
      </c>
      <c r="BQ70" s="5" t="str">
        <f t="shared" si="149"/>
        <v/>
      </c>
      <c r="BR70" s="6" t="str">
        <f t="shared" si="150"/>
        <v/>
      </c>
      <c r="BS70" s="4" t="str">
        <f t="shared" si="483"/>
        <v/>
      </c>
      <c r="BT70" s="5" t="str">
        <f t="shared" si="483"/>
        <v/>
      </c>
      <c r="BU70" s="10" t="str">
        <f t="shared" si="119"/>
        <v/>
      </c>
      <c r="BV70" s="9" t="str">
        <f t="shared" si="120"/>
        <v/>
      </c>
      <c r="BW70" s="5" t="str">
        <f t="shared" si="121"/>
        <v/>
      </c>
      <c r="BX70" s="8" t="str">
        <f t="shared" si="122"/>
        <v/>
      </c>
      <c r="BY70" s="173" t="str">
        <f t="shared" si="123"/>
        <v/>
      </c>
      <c r="BZ70" s="5" t="str">
        <f t="shared" si="124"/>
        <v/>
      </c>
      <c r="CA70" s="6" t="str">
        <f t="shared" si="125"/>
        <v/>
      </c>
      <c r="CB70" s="4" t="str">
        <f t="shared" si="151"/>
        <v/>
      </c>
      <c r="CC70" s="5" t="str">
        <f t="shared" si="152"/>
        <v/>
      </c>
      <c r="CD70" s="5" t="str">
        <f t="shared" si="153"/>
        <v/>
      </c>
      <c r="CE70" s="6" t="str">
        <f t="shared" si="154"/>
        <v/>
      </c>
      <c r="CF70" s="4" t="str">
        <f t="shared" si="155"/>
        <v/>
      </c>
      <c r="CG70" s="5" t="str">
        <f t="shared" si="156"/>
        <v/>
      </c>
      <c r="CH70" s="5" t="str">
        <f t="shared" si="157"/>
        <v/>
      </c>
      <c r="CI70" s="4" t="str">
        <f t="shared" si="126"/>
        <v/>
      </c>
      <c r="CJ70" s="5" t="str">
        <f t="shared" si="127"/>
        <v/>
      </c>
      <c r="CK70" s="8" t="str">
        <f t="shared" si="128"/>
        <v/>
      </c>
      <c r="CL70" s="173" t="str">
        <f t="shared" si="129"/>
        <v/>
      </c>
      <c r="CM70" s="5" t="str">
        <f t="shared" si="130"/>
        <v/>
      </c>
      <c r="CN70" s="6" t="str">
        <f t="shared" si="131"/>
        <v/>
      </c>
      <c r="CO70" s="167" t="str">
        <f t="shared" si="305"/>
        <v/>
      </c>
      <c r="CP70" s="4" t="str">
        <f t="shared" si="240"/>
        <v/>
      </c>
      <c r="CQ70" s="5" t="str">
        <f t="shared" si="241"/>
        <v/>
      </c>
      <c r="CR70" s="5" t="str">
        <f t="shared" si="158"/>
        <v/>
      </c>
      <c r="CS70" s="8" t="str">
        <f t="shared" si="159"/>
        <v/>
      </c>
      <c r="CT70" s="9" t="str">
        <f t="shared" si="160"/>
        <v/>
      </c>
      <c r="CU70" s="6" t="str">
        <f t="shared" si="161"/>
        <v/>
      </c>
      <c r="CV70" s="4" t="str">
        <f t="shared" si="242"/>
        <v/>
      </c>
      <c r="CW70" s="5" t="str">
        <f t="shared" si="162"/>
        <v/>
      </c>
      <c r="CX70" s="8" t="str">
        <f t="shared" si="163"/>
        <v/>
      </c>
      <c r="CY70" s="9" t="str">
        <f t="shared" si="164"/>
        <v/>
      </c>
      <c r="CZ70" s="5" t="str">
        <f t="shared" si="165"/>
        <v/>
      </c>
      <c r="DA70" s="6" t="str">
        <f t="shared" si="166"/>
        <v/>
      </c>
      <c r="DB70" s="4" t="str">
        <f t="shared" si="484"/>
        <v/>
      </c>
      <c r="DC70" s="5" t="str">
        <f t="shared" si="484"/>
        <v/>
      </c>
      <c r="DD70" s="10" t="str">
        <f t="shared" si="168"/>
        <v/>
      </c>
      <c r="DE70" s="9" t="str">
        <f t="shared" si="485"/>
        <v/>
      </c>
      <c r="DF70" s="5" t="str">
        <f t="shared" si="485"/>
        <v/>
      </c>
      <c r="DG70" s="10" t="str">
        <f t="shared" si="170"/>
        <v/>
      </c>
      <c r="DH70" s="70" t="str">
        <f t="shared" si="171"/>
        <v/>
      </c>
      <c r="DI70" s="4" t="str">
        <f t="shared" si="172"/>
        <v/>
      </c>
      <c r="DJ70" s="5" t="str">
        <f t="shared" si="173"/>
        <v/>
      </c>
      <c r="DK70" s="10" t="str">
        <f t="shared" si="174"/>
        <v/>
      </c>
      <c r="DL70" s="9" t="str">
        <f t="shared" si="175"/>
        <v/>
      </c>
      <c r="DM70" s="173" t="str">
        <f t="shared" si="176"/>
        <v/>
      </c>
      <c r="DN70" s="178" t="str">
        <f t="shared" si="177"/>
        <v/>
      </c>
      <c r="DO70" s="9" t="str">
        <f t="shared" si="178"/>
        <v/>
      </c>
      <c r="DP70" s="173" t="str">
        <f t="shared" si="179"/>
        <v/>
      </c>
      <c r="DQ70" s="11" t="str">
        <f t="shared" si="180"/>
        <v/>
      </c>
      <c r="DR70" s="173" t="str">
        <f t="shared" si="181"/>
        <v/>
      </c>
      <c r="DS70" s="5" t="str">
        <f t="shared" si="182"/>
        <v/>
      </c>
      <c r="DT70" s="5" t="str">
        <f t="shared" si="183"/>
        <v/>
      </c>
      <c r="DU70" s="5" t="str">
        <f t="shared" si="184"/>
        <v/>
      </c>
      <c r="DV70" s="5" t="str">
        <f t="shared" si="185"/>
        <v/>
      </c>
      <c r="DW70" s="5" t="str">
        <f t="shared" si="186"/>
        <v/>
      </c>
      <c r="DX70" s="167" t="str">
        <f t="shared" si="187"/>
        <v/>
      </c>
      <c r="DY70" s="9" t="str">
        <f t="shared" si="188"/>
        <v/>
      </c>
      <c r="DZ70" s="5" t="str">
        <f t="shared" si="189"/>
        <v/>
      </c>
      <c r="EA70" s="10" t="str">
        <f t="shared" si="190"/>
        <v/>
      </c>
      <c r="EB70" s="6" t="str">
        <f t="shared" si="191"/>
        <v/>
      </c>
      <c r="EC70" s="173" t="str">
        <f t="shared" si="192"/>
        <v/>
      </c>
      <c r="ED70" s="5" t="str">
        <f t="shared" si="193"/>
        <v/>
      </c>
      <c r="EE70" s="4" t="str">
        <f t="shared" si="194"/>
        <v/>
      </c>
      <c r="EF70" s="5" t="str">
        <f t="shared" si="195"/>
        <v/>
      </c>
      <c r="EG70" s="10" t="str">
        <f t="shared" si="196"/>
        <v/>
      </c>
      <c r="EH70" s="9" t="str">
        <f t="shared" si="197"/>
        <v/>
      </c>
      <c r="EI70" s="5" t="str">
        <f t="shared" si="198"/>
        <v/>
      </c>
      <c r="EJ70" s="6" t="str">
        <f t="shared" si="199"/>
        <v/>
      </c>
      <c r="EK70" s="236" t="str">
        <f t="shared" si="200"/>
        <v/>
      </c>
      <c r="EL70" s="238" t="str">
        <f t="shared" si="201"/>
        <v/>
      </c>
      <c r="EM70" s="4" t="str">
        <f t="shared" si="202"/>
        <v/>
      </c>
      <c r="EN70" s="5" t="str">
        <f t="shared" si="203"/>
        <v/>
      </c>
      <c r="EO70" s="10" t="str">
        <f t="shared" si="204"/>
        <v/>
      </c>
      <c r="EP70" s="9" t="str">
        <f t="shared" si="205"/>
        <v/>
      </c>
      <c r="EQ70" s="5" t="str">
        <f t="shared" si="206"/>
        <v/>
      </c>
      <c r="ER70" s="7" t="str">
        <f t="shared" si="207"/>
        <v/>
      </c>
      <c r="ES70" s="21" t="str">
        <f t="shared" si="352"/>
        <v/>
      </c>
      <c r="ET70" s="5" t="str">
        <f t="shared" si="353"/>
        <v/>
      </c>
      <c r="EU70" s="10" t="str">
        <f t="shared" si="354"/>
        <v/>
      </c>
      <c r="EV70" s="174" t="str">
        <f t="shared" si="486"/>
        <v/>
      </c>
      <c r="EW70" s="9" t="str">
        <f t="shared" si="487"/>
        <v/>
      </c>
      <c r="EX70" s="5" t="str">
        <f t="shared" si="488"/>
        <v/>
      </c>
      <c r="EY70" s="6" t="str">
        <f t="shared" si="208"/>
        <v/>
      </c>
      <c r="EZ70" s="51" t="str">
        <f t="shared" si="209"/>
        <v/>
      </c>
      <c r="FA70" s="173" t="str">
        <f t="shared" si="489"/>
        <v/>
      </c>
      <c r="FB70" s="5" t="str">
        <f t="shared" si="490"/>
        <v/>
      </c>
      <c r="FC70" s="6" t="str">
        <f t="shared" si="491"/>
        <v/>
      </c>
      <c r="FD70" s="4" t="str">
        <f t="shared" si="492"/>
        <v/>
      </c>
      <c r="FE70" s="5" t="str">
        <f t="shared" si="493"/>
        <v/>
      </c>
      <c r="FF70" s="7" t="str">
        <f t="shared" si="210"/>
        <v/>
      </c>
      <c r="FG70" s="173" t="str">
        <f t="shared" si="494"/>
        <v/>
      </c>
      <c r="FH70" s="5" t="str">
        <f t="shared" si="495"/>
        <v/>
      </c>
      <c r="FI70" s="10" t="str">
        <f t="shared" si="496"/>
        <v/>
      </c>
      <c r="FJ70" s="279" t="str">
        <f t="shared" si="212"/>
        <v/>
      </c>
      <c r="FK70" s="4" t="str">
        <f t="shared" si="497"/>
        <v/>
      </c>
      <c r="FL70" s="5" t="str">
        <f t="shared" si="213"/>
        <v/>
      </c>
      <c r="FM70" s="8" t="str">
        <f t="shared" si="214"/>
        <v/>
      </c>
      <c r="FN70" s="9" t="str">
        <f t="shared" si="215"/>
        <v/>
      </c>
      <c r="FO70" s="10" t="str">
        <f t="shared" si="498"/>
        <v/>
      </c>
      <c r="FP70" s="277" t="str">
        <f t="shared" si="499"/>
        <v/>
      </c>
      <c r="FQ70" s="173" t="str">
        <f t="shared" si="243"/>
        <v/>
      </c>
      <c r="FR70" s="10" t="str">
        <f t="shared" si="216"/>
        <v/>
      </c>
      <c r="FS70" s="9" t="str">
        <f t="shared" si="217"/>
        <v/>
      </c>
      <c r="FT70" s="6" t="str">
        <f t="shared" si="218"/>
        <v/>
      </c>
      <c r="FU70" s="4" t="str">
        <f t="shared" si="219"/>
        <v/>
      </c>
      <c r="FV70" s="5" t="str">
        <f t="shared" si="220"/>
        <v/>
      </c>
      <c r="FW70" s="8" t="str">
        <f t="shared" si="244"/>
        <v/>
      </c>
      <c r="FX70" s="9" t="str">
        <f t="shared" si="245"/>
        <v/>
      </c>
      <c r="FY70" s="10" t="str">
        <f t="shared" si="500"/>
        <v/>
      </c>
      <c r="FZ70" s="277" t="str">
        <f t="shared" si="246"/>
        <v/>
      </c>
      <c r="GA70" s="177" t="str">
        <f t="shared" si="221"/>
        <v/>
      </c>
      <c r="GB70" s="4" t="str">
        <f t="shared" si="222"/>
        <v/>
      </c>
      <c r="GC70" s="5" t="str">
        <f t="shared" si="223"/>
        <v/>
      </c>
      <c r="GD70" s="10" t="str">
        <f t="shared" si="224"/>
        <v/>
      </c>
      <c r="GE70" s="311" t="str">
        <f t="shared" si="225"/>
        <v/>
      </c>
      <c r="GF70" s="341" t="str">
        <f t="shared" si="247"/>
        <v/>
      </c>
      <c r="GG70" s="285" t="str">
        <f t="shared" si="501"/>
        <v/>
      </c>
      <c r="GH70" s="286" t="str">
        <f t="shared" si="502"/>
        <v/>
      </c>
      <c r="GI70" s="281" t="str">
        <f t="shared" si="503"/>
        <v/>
      </c>
      <c r="GJ70" s="167" t="str">
        <f t="shared" si="226"/>
        <v/>
      </c>
      <c r="GK70" s="174" t="str">
        <f t="shared" si="504"/>
        <v/>
      </c>
      <c r="GL70" s="174" t="str">
        <f t="shared" si="227"/>
        <v/>
      </c>
      <c r="GM70" s="177" t="str">
        <f t="shared" si="248"/>
        <v/>
      </c>
      <c r="GN70" s="280" t="str">
        <f t="shared" si="228"/>
        <v/>
      </c>
      <c r="GO70" s="4" t="str">
        <f t="shared" si="229"/>
        <v/>
      </c>
      <c r="GP70" s="8" t="str">
        <f t="shared" si="249"/>
        <v/>
      </c>
      <c r="GQ70" s="177" t="str">
        <f t="shared" si="230"/>
        <v/>
      </c>
      <c r="GR70" s="371" t="str">
        <f t="shared" si="250"/>
        <v/>
      </c>
      <c r="GS70" s="342" t="str">
        <f t="shared" si="505"/>
        <v/>
      </c>
      <c r="GT70" s="343" t="str">
        <f t="shared" si="506"/>
        <v/>
      </c>
      <c r="GU70" s="344" t="str">
        <f t="shared" si="507"/>
        <v/>
      </c>
      <c r="GV70" s="343" t="str">
        <f t="shared" si="252"/>
        <v/>
      </c>
      <c r="GW70" s="345" t="str">
        <f t="shared" si="508"/>
        <v/>
      </c>
      <c r="GX70" s="346" t="str">
        <f t="shared" si="509"/>
        <v/>
      </c>
      <c r="GY70" s="344" t="str">
        <f t="shared" si="510"/>
        <v/>
      </c>
      <c r="GZ70" s="345" t="str">
        <f t="shared" si="511"/>
        <v/>
      </c>
      <c r="HA70" s="342" t="str">
        <f t="shared" si="512"/>
        <v/>
      </c>
      <c r="HB70" s="5" t="str">
        <f t="shared" si="231"/>
        <v/>
      </c>
      <c r="HC70" s="343" t="str">
        <f t="shared" si="232"/>
        <v/>
      </c>
      <c r="HD70" s="363" t="str">
        <f t="shared" si="233"/>
        <v/>
      </c>
      <c r="HE70" s="344" t="str">
        <f t="shared" si="513"/>
        <v/>
      </c>
      <c r="HF70" s="5" t="str">
        <f t="shared" si="514"/>
        <v/>
      </c>
      <c r="HG70" s="343" t="str">
        <f t="shared" si="234"/>
        <v/>
      </c>
      <c r="HH70" s="349" t="str">
        <f t="shared" si="235"/>
        <v/>
      </c>
      <c r="HI70" s="317" t="str">
        <f t="shared" si="408"/>
        <v/>
      </c>
      <c r="HK70" s="310" t="str">
        <f t="shared" si="459"/>
        <v/>
      </c>
      <c r="HL70" s="348" t="str">
        <f t="shared" si="409"/>
        <v/>
      </c>
      <c r="HM70" s="909" t="str">
        <f t="shared" si="410"/>
        <v/>
      </c>
      <c r="HN70" s="910" t="str">
        <f t="shared" si="411"/>
        <v/>
      </c>
      <c r="HO70" s="911"/>
      <c r="HP70" s="912"/>
      <c r="HQ70" s="910" t="str">
        <f t="shared" si="412"/>
        <v/>
      </c>
      <c r="HR70" s="913" t="str">
        <f t="shared" si="413"/>
        <v/>
      </c>
      <c r="HS70" s="865" t="str">
        <f t="shared" si="460"/>
        <v/>
      </c>
      <c r="HT70" s="875" t="str">
        <f t="shared" si="414"/>
        <v/>
      </c>
      <c r="HU70" s="876" t="str">
        <f t="shared" si="415"/>
        <v/>
      </c>
      <c r="HV70" s="872" t="str">
        <f t="shared" si="416"/>
        <v/>
      </c>
      <c r="HW70" s="866" t="str">
        <f t="shared" si="417"/>
        <v/>
      </c>
      <c r="HX70" s="867" t="str">
        <f t="shared" si="418"/>
        <v/>
      </c>
      <c r="HY70" s="866" t="str">
        <f t="shared" si="419"/>
        <v/>
      </c>
      <c r="HZ70" s="868" t="str">
        <f t="shared" si="420"/>
        <v/>
      </c>
      <c r="IA70" s="869" t="str">
        <f t="shared" si="421"/>
        <v/>
      </c>
      <c r="IB70" s="870" t="str">
        <f t="shared" si="422"/>
        <v/>
      </c>
      <c r="IC70" s="841" t="str">
        <f t="shared" si="423"/>
        <v/>
      </c>
      <c r="ID70" s="351" t="str">
        <f t="shared" si="424"/>
        <v/>
      </c>
      <c r="IE70" s="843" t="str">
        <f t="shared" si="425"/>
        <v/>
      </c>
      <c r="IF70" s="844"/>
      <c r="IG70" s="790" t="str">
        <f>IFERROR(IF($IW70="","",IF($IW70&lt;(((Settings!$C$19/2)*-1)*$IG$8),"Taper","Nose")),"")</f>
        <v/>
      </c>
      <c r="IH70" s="482" t="str">
        <f>IFERROR(IF((((($IY70*COS(RADIANS(180-$JA70)))*COS(RADIANS($JA70)))-(($IZ70*SIN(RADIANS(180-$JA70)))*SIN(RADIANS($JA70))))+$IW70)&lt;(((Settings!$C$19+$IH$8)/2)*-1),"Gage",""),"")</f>
        <v/>
      </c>
      <c r="II70" s="788">
        <f t="shared" si="236"/>
        <v>5.1079999999999997</v>
      </c>
      <c r="IJ70" s="674" t="str" cm="1">
        <f t="array" ref="IJ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K70" s="677" t="str" cm="1">
        <f t="array" ref="IK70">IFERROR(ROUND(VALUE(IF($IJ70&lt;1,$IJ70+LARGE((IF($M$9:$M$150="",0,$M$9:$M$150)-MOD(IF($M$9:$M$150="",0,$M$9:$M$150),1)),1),$IJ70)),4),"")</f>
        <v/>
      </c>
      <c r="IL70" s="482">
        <f t="shared" si="426"/>
        <v>1613</v>
      </c>
      <c r="IM70" s="482" t="str">
        <f t="shared" si="237"/>
        <v/>
      </c>
      <c r="IN70" s="670" t="str">
        <f t="shared" si="427"/>
        <v/>
      </c>
      <c r="IO70" s="702"/>
      <c r="IP70" s="5" t="str">
        <f t="shared" si="428"/>
        <v/>
      </c>
      <c r="IQ70" s="714"/>
      <c r="IR70" s="9" t="str">
        <f t="shared" si="429"/>
        <v/>
      </c>
      <c r="IS70" s="5" t="str">
        <f t="shared" si="430"/>
        <v/>
      </c>
      <c r="IT70" s="5" t="str">
        <f t="shared" si="431"/>
        <v/>
      </c>
      <c r="IU70" s="5" t="str">
        <f t="shared" si="432"/>
        <v/>
      </c>
      <c r="IV70" s="670" t="str">
        <f t="shared" si="433"/>
        <v/>
      </c>
      <c r="IW70" s="9" t="str">
        <f t="shared" si="434"/>
        <v/>
      </c>
      <c r="IX70" s="5" t="str">
        <f t="shared" si="435"/>
        <v/>
      </c>
      <c r="IY70" s="5" t="str">
        <f t="shared" si="436"/>
        <v/>
      </c>
      <c r="IZ70" s="5" t="str">
        <f t="shared" si="437"/>
        <v/>
      </c>
      <c r="JA70" s="705" t="str">
        <f t="shared" si="438"/>
        <v/>
      </c>
    </row>
    <row r="71" spans="1:261" ht="15" customHeight="1" x14ac:dyDescent="0.25">
      <c r="A71" s="75">
        <f t="shared" si="256"/>
        <v>0.02</v>
      </c>
      <c r="B71" s="578">
        <f t="shared" si="515"/>
        <v>-2.4430066325541842</v>
      </c>
      <c r="C71" s="572">
        <f t="shared" si="516"/>
        <v>-1.3882037446926485</v>
      </c>
      <c r="D71" s="576">
        <f t="shared" si="517"/>
        <v>-6.7307371067745286E-2</v>
      </c>
      <c r="E71" s="580">
        <f t="shared" si="518"/>
        <v>0.4729859531345994</v>
      </c>
      <c r="F71" s="572">
        <f t="shared" si="519"/>
        <v>-0.84016292650000401</v>
      </c>
      <c r="G71" s="579">
        <f t="shared" si="520"/>
        <v>0.26534985410266115</v>
      </c>
      <c r="H71" s="580">
        <f t="shared" si="521"/>
        <v>0.3125</v>
      </c>
      <c r="I71" s="572">
        <f t="shared" si="522"/>
        <v>0.52</v>
      </c>
      <c r="J71" s="483">
        <f t="shared" si="523"/>
        <v>5.1130000000000004</v>
      </c>
      <c r="K71" s="806">
        <f t="shared" si="524"/>
        <v>1613</v>
      </c>
      <c r="L71" s="309"/>
      <c r="M71" s="164">
        <f t="shared" si="267"/>
        <v>5.1130000000000004</v>
      </c>
      <c r="N71" s="575">
        <f t="shared" si="268"/>
        <v>-2.4430066325541842</v>
      </c>
      <c r="O71" s="572">
        <f t="shared" si="269"/>
        <v>-1.3882037446926485</v>
      </c>
      <c r="P71" s="576">
        <f t="shared" si="270"/>
        <v>-6.7307371067745286E-2</v>
      </c>
      <c r="Q71" s="528">
        <f t="shared" si="140"/>
        <v>209.60678732560936</v>
      </c>
      <c r="R71" s="572">
        <f t="shared" si="101"/>
        <v>2.8098738483217405</v>
      </c>
      <c r="S71" s="577">
        <f t="shared" si="102"/>
        <v>-6.7307371067745286E-2</v>
      </c>
      <c r="T71" s="578">
        <f t="shared" si="103"/>
        <v>-1.4066217678193924</v>
      </c>
      <c r="U71" s="572">
        <f t="shared" si="104"/>
        <v>2.4324486111281107</v>
      </c>
      <c r="V71" s="579">
        <f t="shared" si="141"/>
        <v>-6.7307371067745286E-2</v>
      </c>
      <c r="W71" s="528">
        <f t="shared" si="253"/>
        <v>120.03967817148035</v>
      </c>
      <c r="X71" s="572">
        <f t="shared" si="105"/>
        <v>2.8098738483217405</v>
      </c>
      <c r="Y71" s="573">
        <f t="shared" si="255"/>
        <v>-6.7307371067745286E-2</v>
      </c>
      <c r="Z71" s="575">
        <f t="shared" si="271"/>
        <v>-0.4729859531345994</v>
      </c>
      <c r="AA71" s="572">
        <f t="shared" si="272"/>
        <v>0.84016292650000401</v>
      </c>
      <c r="AB71" s="572">
        <f t="shared" si="273"/>
        <v>-0.26534985410266115</v>
      </c>
      <c r="AC71" s="579">
        <f t="shared" si="106"/>
        <v>1</v>
      </c>
      <c r="AD71" s="580">
        <f t="shared" si="142"/>
        <v>-0.4729859531345994</v>
      </c>
      <c r="AE71" s="572">
        <f t="shared" si="107"/>
        <v>0.84016292650000401</v>
      </c>
      <c r="AF71" s="576">
        <f t="shared" si="108"/>
        <v>-0.26534985410266115</v>
      </c>
      <c r="AG71" s="545">
        <f t="shared" si="109"/>
        <v>72.472245993755678</v>
      </c>
      <c r="AH71" s="546">
        <f t="shared" si="110"/>
        <v>118.22829644401317</v>
      </c>
      <c r="AI71" s="528">
        <f t="shared" si="111"/>
        <v>-74.61225778405219</v>
      </c>
      <c r="AJ71" s="529">
        <f t="shared" si="112"/>
        <v>-150.62182359803171</v>
      </c>
      <c r="AK71" s="578">
        <f t="shared" si="238"/>
        <v>0.96414452015780028</v>
      </c>
      <c r="AL71" s="572">
        <f t="shared" si="113"/>
        <v>-3.8469698961422494E-3</v>
      </c>
      <c r="AM71" s="577">
        <f t="shared" si="114"/>
        <v>-0.26534985410266115</v>
      </c>
      <c r="AN71" s="524">
        <f t="shared" si="115"/>
        <v>-0.8306004126858153</v>
      </c>
      <c r="AO71" s="525">
        <f t="shared" si="525"/>
        <v>15.389399300523054</v>
      </c>
      <c r="AP71" s="528">
        <f t="shared" si="117"/>
        <v>-0.22861092364107988</v>
      </c>
      <c r="AQ71" s="529">
        <f t="shared" si="274"/>
        <v>1.6222204667763696</v>
      </c>
      <c r="AS71" s="932">
        <f t="shared" si="461"/>
        <v>120.03967817148035</v>
      </c>
      <c r="AT71" s="928">
        <f t="shared" si="275"/>
        <v>0.26224627284164681</v>
      </c>
      <c r="AU71" s="418"/>
      <c r="AV71" s="164" t="str">
        <f t="shared" si="276"/>
        <v/>
      </c>
      <c r="AW71" s="797" t="str">
        <f>IFERROR(INDEX(MassProp!C$9:C$150,MATCH($M71,MassProp!$B$9:$B$150,0)),"")</f>
        <v/>
      </c>
      <c r="AX71" s="744" t="str">
        <f>IFERROR(INDEX(MassProp!D$9:D$150,MATCH($M71,MassProp!$B$9:$B$150,0)),"")</f>
        <v/>
      </c>
      <c r="AY71" s="731" t="str">
        <f>IFERROR(INDEX(MassProp!E$9:E$150,MATCH($M71,MassProp!$B$9:$B$150,0)),"")</f>
        <v/>
      </c>
      <c r="AZ71" s="297" t="str">
        <f t="shared" si="144"/>
        <v/>
      </c>
      <c r="BA71" s="296" t="str">
        <f t="shared" si="278"/>
        <v/>
      </c>
      <c r="BB71" s="177" t="str">
        <f t="shared" si="145"/>
        <v/>
      </c>
      <c r="BC71" s="9"/>
      <c r="BD71" s="5" t="str">
        <f t="shared" si="146"/>
        <v/>
      </c>
      <c r="BE71" s="6" t="str">
        <f t="shared" si="280"/>
        <v/>
      </c>
      <c r="BF71" s="4" t="str">
        <f t="shared" si="281"/>
        <v/>
      </c>
      <c r="BG71" s="5" t="str">
        <f t="shared" si="282"/>
        <v/>
      </c>
      <c r="BH71" s="10" t="str">
        <f t="shared" si="283"/>
        <v/>
      </c>
      <c r="BI71" s="9" t="str">
        <f t="shared" si="147"/>
        <v/>
      </c>
      <c r="BJ71" s="5" t="str">
        <f t="shared" si="285"/>
        <v/>
      </c>
      <c r="BK71" s="8" t="str">
        <f t="shared" si="286"/>
        <v/>
      </c>
      <c r="BL71" s="173" t="str">
        <f t="shared" si="287"/>
        <v/>
      </c>
      <c r="BM71" s="5" t="str">
        <f t="shared" si="288"/>
        <v/>
      </c>
      <c r="BN71" s="6" t="str">
        <f t="shared" si="289"/>
        <v/>
      </c>
      <c r="BO71" s="4" t="str">
        <f t="shared" si="148"/>
        <v/>
      </c>
      <c r="BP71" s="5" t="str">
        <f t="shared" si="239"/>
        <v/>
      </c>
      <c r="BQ71" s="5" t="str">
        <f t="shared" si="149"/>
        <v/>
      </c>
      <c r="BR71" s="6" t="str">
        <f t="shared" si="150"/>
        <v/>
      </c>
      <c r="BS71" s="4" t="str">
        <f t="shared" si="483"/>
        <v/>
      </c>
      <c r="BT71" s="5" t="str">
        <f t="shared" si="483"/>
        <v/>
      </c>
      <c r="BU71" s="10" t="str">
        <f t="shared" si="119"/>
        <v/>
      </c>
      <c r="BV71" s="9" t="str">
        <f t="shared" si="120"/>
        <v/>
      </c>
      <c r="BW71" s="5" t="str">
        <f t="shared" si="121"/>
        <v/>
      </c>
      <c r="BX71" s="8" t="str">
        <f t="shared" si="122"/>
        <v/>
      </c>
      <c r="BY71" s="173" t="str">
        <f t="shared" si="123"/>
        <v/>
      </c>
      <c r="BZ71" s="5" t="str">
        <f t="shared" si="124"/>
        <v/>
      </c>
      <c r="CA71" s="6" t="str">
        <f t="shared" si="125"/>
        <v/>
      </c>
      <c r="CB71" s="4" t="str">
        <f t="shared" si="151"/>
        <v/>
      </c>
      <c r="CC71" s="5" t="str">
        <f t="shared" si="152"/>
        <v/>
      </c>
      <c r="CD71" s="5" t="str">
        <f t="shared" si="153"/>
        <v/>
      </c>
      <c r="CE71" s="6" t="str">
        <f t="shared" si="154"/>
        <v/>
      </c>
      <c r="CF71" s="4" t="str">
        <f t="shared" si="155"/>
        <v/>
      </c>
      <c r="CG71" s="5" t="str">
        <f t="shared" si="156"/>
        <v/>
      </c>
      <c r="CH71" s="5" t="str">
        <f t="shared" si="157"/>
        <v/>
      </c>
      <c r="CI71" s="4" t="str">
        <f t="shared" si="126"/>
        <v/>
      </c>
      <c r="CJ71" s="5" t="str">
        <f t="shared" si="127"/>
        <v/>
      </c>
      <c r="CK71" s="8" t="str">
        <f t="shared" si="128"/>
        <v/>
      </c>
      <c r="CL71" s="173" t="str">
        <f t="shared" si="129"/>
        <v/>
      </c>
      <c r="CM71" s="5" t="str">
        <f t="shared" si="130"/>
        <v/>
      </c>
      <c r="CN71" s="6" t="str">
        <f t="shared" si="131"/>
        <v/>
      </c>
      <c r="CO71" s="167" t="str">
        <f t="shared" si="305"/>
        <v/>
      </c>
      <c r="CP71" s="4" t="str">
        <f t="shared" si="240"/>
        <v/>
      </c>
      <c r="CQ71" s="5" t="str">
        <f t="shared" si="241"/>
        <v/>
      </c>
      <c r="CR71" s="5" t="str">
        <f t="shared" si="158"/>
        <v/>
      </c>
      <c r="CS71" s="8" t="str">
        <f t="shared" si="159"/>
        <v/>
      </c>
      <c r="CT71" s="9" t="str">
        <f t="shared" si="160"/>
        <v/>
      </c>
      <c r="CU71" s="6" t="str">
        <f t="shared" si="161"/>
        <v/>
      </c>
      <c r="CV71" s="4" t="str">
        <f t="shared" si="242"/>
        <v/>
      </c>
      <c r="CW71" s="5" t="str">
        <f t="shared" si="162"/>
        <v/>
      </c>
      <c r="CX71" s="8" t="str">
        <f t="shared" si="163"/>
        <v/>
      </c>
      <c r="CY71" s="9" t="str">
        <f t="shared" si="164"/>
        <v/>
      </c>
      <c r="CZ71" s="5" t="str">
        <f t="shared" si="165"/>
        <v/>
      </c>
      <c r="DA71" s="6" t="str">
        <f t="shared" si="166"/>
        <v/>
      </c>
      <c r="DB71" s="4" t="str">
        <f t="shared" si="484"/>
        <v/>
      </c>
      <c r="DC71" s="5" t="str">
        <f t="shared" si="484"/>
        <v/>
      </c>
      <c r="DD71" s="10" t="str">
        <f t="shared" si="168"/>
        <v/>
      </c>
      <c r="DE71" s="9" t="str">
        <f t="shared" si="485"/>
        <v/>
      </c>
      <c r="DF71" s="5" t="str">
        <f t="shared" si="485"/>
        <v/>
      </c>
      <c r="DG71" s="10" t="str">
        <f t="shared" si="170"/>
        <v/>
      </c>
      <c r="DH71" s="70" t="str">
        <f t="shared" si="171"/>
        <v/>
      </c>
      <c r="DI71" s="4" t="str">
        <f t="shared" si="172"/>
        <v/>
      </c>
      <c r="DJ71" s="5" t="str">
        <f t="shared" si="173"/>
        <v/>
      </c>
      <c r="DK71" s="10" t="str">
        <f t="shared" si="174"/>
        <v/>
      </c>
      <c r="DL71" s="9" t="str">
        <f t="shared" si="175"/>
        <v/>
      </c>
      <c r="DM71" s="173" t="str">
        <f t="shared" si="176"/>
        <v/>
      </c>
      <c r="DN71" s="178" t="str">
        <f t="shared" si="177"/>
        <v/>
      </c>
      <c r="DO71" s="9" t="str">
        <f t="shared" si="178"/>
        <v/>
      </c>
      <c r="DP71" s="173" t="str">
        <f t="shared" si="179"/>
        <v/>
      </c>
      <c r="DQ71" s="11" t="str">
        <f t="shared" si="180"/>
        <v/>
      </c>
      <c r="DR71" s="173" t="str">
        <f t="shared" si="181"/>
        <v/>
      </c>
      <c r="DS71" s="5" t="str">
        <f t="shared" si="182"/>
        <v/>
      </c>
      <c r="DT71" s="5" t="str">
        <f t="shared" si="183"/>
        <v/>
      </c>
      <c r="DU71" s="5" t="str">
        <f t="shared" si="184"/>
        <v/>
      </c>
      <c r="DV71" s="5" t="str">
        <f t="shared" si="185"/>
        <v/>
      </c>
      <c r="DW71" s="5" t="str">
        <f t="shared" si="186"/>
        <v/>
      </c>
      <c r="DX71" s="167" t="str">
        <f t="shared" si="187"/>
        <v/>
      </c>
      <c r="DY71" s="9" t="str">
        <f t="shared" si="188"/>
        <v/>
      </c>
      <c r="DZ71" s="5" t="str">
        <f t="shared" si="189"/>
        <v/>
      </c>
      <c r="EA71" s="10" t="str">
        <f t="shared" si="190"/>
        <v/>
      </c>
      <c r="EB71" s="6" t="str">
        <f t="shared" si="191"/>
        <v/>
      </c>
      <c r="EC71" s="173" t="str">
        <f t="shared" si="192"/>
        <v/>
      </c>
      <c r="ED71" s="5" t="str">
        <f t="shared" si="193"/>
        <v/>
      </c>
      <c r="EE71" s="4" t="str">
        <f t="shared" si="194"/>
        <v/>
      </c>
      <c r="EF71" s="5" t="str">
        <f t="shared" si="195"/>
        <v/>
      </c>
      <c r="EG71" s="10" t="str">
        <f t="shared" si="196"/>
        <v/>
      </c>
      <c r="EH71" s="9" t="str">
        <f t="shared" si="197"/>
        <v/>
      </c>
      <c r="EI71" s="5" t="str">
        <f t="shared" si="198"/>
        <v/>
      </c>
      <c r="EJ71" s="6" t="str">
        <f t="shared" si="199"/>
        <v/>
      </c>
      <c r="EK71" s="236" t="str">
        <f t="shared" si="200"/>
        <v/>
      </c>
      <c r="EL71" s="238" t="str">
        <f t="shared" si="201"/>
        <v/>
      </c>
      <c r="EM71" s="4" t="str">
        <f t="shared" si="202"/>
        <v/>
      </c>
      <c r="EN71" s="5" t="str">
        <f t="shared" si="203"/>
        <v/>
      </c>
      <c r="EO71" s="10" t="str">
        <f t="shared" si="204"/>
        <v/>
      </c>
      <c r="EP71" s="9" t="str">
        <f t="shared" si="205"/>
        <v/>
      </c>
      <c r="EQ71" s="5" t="str">
        <f t="shared" si="206"/>
        <v/>
      </c>
      <c r="ER71" s="7" t="str">
        <f t="shared" si="207"/>
        <v/>
      </c>
      <c r="ES71" s="21" t="str">
        <f t="shared" si="352"/>
        <v/>
      </c>
      <c r="ET71" s="5" t="str">
        <f t="shared" si="353"/>
        <v/>
      </c>
      <c r="EU71" s="10" t="str">
        <f t="shared" si="354"/>
        <v/>
      </c>
      <c r="EV71" s="174" t="str">
        <f t="shared" si="486"/>
        <v/>
      </c>
      <c r="EW71" s="9" t="str">
        <f t="shared" si="487"/>
        <v/>
      </c>
      <c r="EX71" s="5" t="str">
        <f t="shared" si="488"/>
        <v/>
      </c>
      <c r="EY71" s="6" t="str">
        <f t="shared" si="208"/>
        <v/>
      </c>
      <c r="EZ71" s="51" t="str">
        <f t="shared" si="209"/>
        <v/>
      </c>
      <c r="FA71" s="173" t="str">
        <f t="shared" si="489"/>
        <v/>
      </c>
      <c r="FB71" s="5" t="str">
        <f t="shared" si="490"/>
        <v/>
      </c>
      <c r="FC71" s="6" t="str">
        <f t="shared" si="491"/>
        <v/>
      </c>
      <c r="FD71" s="4" t="str">
        <f t="shared" si="492"/>
        <v/>
      </c>
      <c r="FE71" s="5" t="str">
        <f t="shared" si="493"/>
        <v/>
      </c>
      <c r="FF71" s="7" t="str">
        <f t="shared" si="210"/>
        <v/>
      </c>
      <c r="FG71" s="173" t="str">
        <f t="shared" si="494"/>
        <v/>
      </c>
      <c r="FH71" s="5" t="str">
        <f t="shared" si="495"/>
        <v/>
      </c>
      <c r="FI71" s="10" t="str">
        <f t="shared" si="496"/>
        <v/>
      </c>
      <c r="FJ71" s="279" t="str">
        <f t="shared" si="212"/>
        <v/>
      </c>
      <c r="FK71" s="4" t="str">
        <f t="shared" si="497"/>
        <v/>
      </c>
      <c r="FL71" s="5" t="str">
        <f t="shared" si="213"/>
        <v/>
      </c>
      <c r="FM71" s="8" t="str">
        <f t="shared" si="214"/>
        <v/>
      </c>
      <c r="FN71" s="9" t="str">
        <f t="shared" si="215"/>
        <v/>
      </c>
      <c r="FO71" s="10" t="str">
        <f t="shared" si="498"/>
        <v/>
      </c>
      <c r="FP71" s="277" t="str">
        <f t="shared" si="499"/>
        <v/>
      </c>
      <c r="FQ71" s="173" t="str">
        <f t="shared" si="243"/>
        <v/>
      </c>
      <c r="FR71" s="10" t="str">
        <f t="shared" si="216"/>
        <v/>
      </c>
      <c r="FS71" s="9" t="str">
        <f t="shared" si="217"/>
        <v/>
      </c>
      <c r="FT71" s="6" t="str">
        <f t="shared" si="218"/>
        <v/>
      </c>
      <c r="FU71" s="4" t="str">
        <f t="shared" si="219"/>
        <v/>
      </c>
      <c r="FV71" s="5" t="str">
        <f t="shared" si="220"/>
        <v/>
      </c>
      <c r="FW71" s="8" t="str">
        <f t="shared" si="244"/>
        <v/>
      </c>
      <c r="FX71" s="9" t="str">
        <f t="shared" si="245"/>
        <v/>
      </c>
      <c r="FY71" s="10" t="str">
        <f t="shared" si="500"/>
        <v/>
      </c>
      <c r="FZ71" s="277" t="str">
        <f t="shared" si="246"/>
        <v/>
      </c>
      <c r="GA71" s="177" t="str">
        <f t="shared" si="221"/>
        <v/>
      </c>
      <c r="GB71" s="4" t="str">
        <f t="shared" si="222"/>
        <v/>
      </c>
      <c r="GC71" s="5" t="str">
        <f t="shared" si="223"/>
        <v/>
      </c>
      <c r="GD71" s="10" t="str">
        <f t="shared" si="224"/>
        <v/>
      </c>
      <c r="GE71" s="311" t="str">
        <f t="shared" si="225"/>
        <v/>
      </c>
      <c r="GF71" s="341" t="str">
        <f t="shared" si="247"/>
        <v/>
      </c>
      <c r="GG71" s="285" t="str">
        <f t="shared" si="501"/>
        <v/>
      </c>
      <c r="GH71" s="286" t="str">
        <f t="shared" si="502"/>
        <v/>
      </c>
      <c r="GI71" s="281" t="str">
        <f t="shared" si="503"/>
        <v/>
      </c>
      <c r="GJ71" s="167" t="str">
        <f t="shared" si="226"/>
        <v/>
      </c>
      <c r="GK71" s="174" t="str">
        <f t="shared" si="504"/>
        <v/>
      </c>
      <c r="GL71" s="174" t="str">
        <f t="shared" si="227"/>
        <v/>
      </c>
      <c r="GM71" s="177" t="str">
        <f t="shared" si="248"/>
        <v/>
      </c>
      <c r="GN71" s="280" t="str">
        <f t="shared" si="228"/>
        <v/>
      </c>
      <c r="GO71" s="4" t="str">
        <f t="shared" si="229"/>
        <v/>
      </c>
      <c r="GP71" s="8" t="str">
        <f t="shared" si="249"/>
        <v/>
      </c>
      <c r="GQ71" s="177" t="str">
        <f t="shared" si="230"/>
        <v/>
      </c>
      <c r="GR71" s="371" t="str">
        <f t="shared" si="250"/>
        <v/>
      </c>
      <c r="GS71" s="342" t="str">
        <f t="shared" si="505"/>
        <v/>
      </c>
      <c r="GT71" s="343" t="str">
        <f t="shared" si="506"/>
        <v/>
      </c>
      <c r="GU71" s="344" t="str">
        <f t="shared" si="507"/>
        <v/>
      </c>
      <c r="GV71" s="343" t="str">
        <f t="shared" si="252"/>
        <v/>
      </c>
      <c r="GW71" s="345" t="str">
        <f t="shared" si="508"/>
        <v/>
      </c>
      <c r="GX71" s="346" t="str">
        <f t="shared" si="509"/>
        <v/>
      </c>
      <c r="GY71" s="344" t="str">
        <f t="shared" si="510"/>
        <v/>
      </c>
      <c r="GZ71" s="345" t="str">
        <f t="shared" si="511"/>
        <v/>
      </c>
      <c r="HA71" s="342" t="str">
        <f t="shared" si="512"/>
        <v/>
      </c>
      <c r="HB71" s="5" t="str">
        <f t="shared" si="231"/>
        <v/>
      </c>
      <c r="HC71" s="343" t="str">
        <f t="shared" si="232"/>
        <v/>
      </c>
      <c r="HD71" s="363" t="str">
        <f t="shared" si="233"/>
        <v/>
      </c>
      <c r="HE71" s="344" t="str">
        <f t="shared" si="513"/>
        <v/>
      </c>
      <c r="HF71" s="5" t="str">
        <f t="shared" si="514"/>
        <v/>
      </c>
      <c r="HG71" s="343" t="str">
        <f t="shared" si="234"/>
        <v/>
      </c>
      <c r="HH71" s="349" t="str">
        <f t="shared" si="235"/>
        <v/>
      </c>
      <c r="HI71" s="317" t="str">
        <f t="shared" si="408"/>
        <v/>
      </c>
      <c r="HK71" s="310" t="str">
        <f t="shared" si="459"/>
        <v/>
      </c>
      <c r="HL71" s="348" t="str">
        <f t="shared" si="409"/>
        <v/>
      </c>
      <c r="HM71" s="909" t="str">
        <f t="shared" si="410"/>
        <v/>
      </c>
      <c r="HN71" s="910" t="str">
        <f t="shared" si="411"/>
        <v/>
      </c>
      <c r="HO71" s="911"/>
      <c r="HP71" s="912"/>
      <c r="HQ71" s="910" t="str">
        <f t="shared" si="412"/>
        <v/>
      </c>
      <c r="HR71" s="913" t="str">
        <f t="shared" si="413"/>
        <v/>
      </c>
      <c r="HS71" s="865" t="str">
        <f t="shared" si="460"/>
        <v/>
      </c>
      <c r="HT71" s="875" t="str">
        <f t="shared" si="414"/>
        <v/>
      </c>
      <c r="HU71" s="876" t="str">
        <f t="shared" si="415"/>
        <v/>
      </c>
      <c r="HV71" s="872" t="str">
        <f t="shared" si="416"/>
        <v/>
      </c>
      <c r="HW71" s="866" t="str">
        <f t="shared" si="417"/>
        <v/>
      </c>
      <c r="HX71" s="867" t="str">
        <f t="shared" si="418"/>
        <v/>
      </c>
      <c r="HY71" s="866" t="str">
        <f t="shared" si="419"/>
        <v/>
      </c>
      <c r="HZ71" s="868" t="str">
        <f t="shared" si="420"/>
        <v/>
      </c>
      <c r="IA71" s="869" t="str">
        <f t="shared" si="421"/>
        <v/>
      </c>
      <c r="IB71" s="870" t="str">
        <f t="shared" si="422"/>
        <v/>
      </c>
      <c r="IC71" s="841" t="str">
        <f t="shared" si="423"/>
        <v/>
      </c>
      <c r="ID71" s="351" t="str">
        <f t="shared" si="424"/>
        <v/>
      </c>
      <c r="IE71" s="843" t="str">
        <f t="shared" si="425"/>
        <v/>
      </c>
      <c r="IF71" s="844"/>
      <c r="IG71" s="790" t="str">
        <f>IFERROR(IF($IW71="","",IF($IW71&lt;(((Settings!$C$19/2)*-1)*$IG$8),"Taper","Nose")),"")</f>
        <v/>
      </c>
      <c r="IH71" s="482" t="str">
        <f>IFERROR(IF((((($IY71*COS(RADIANS(180-$JA71)))*COS(RADIANS($JA71)))-(($IZ71*SIN(RADIANS(180-$JA71)))*SIN(RADIANS($JA71))))+$IW71)&lt;(((Settings!$C$19+$IH$8)/2)*-1),"Gage",""),"")</f>
        <v/>
      </c>
      <c r="II71" s="788">
        <f t="shared" si="236"/>
        <v>5.1130000000000004</v>
      </c>
      <c r="IJ71" s="674" t="str" cm="1">
        <f t="array" ref="IJ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K71" s="677" t="str" cm="1">
        <f t="array" ref="IK71">IFERROR(ROUND(VALUE(IF($IJ71&lt;1,$IJ71+LARGE((IF($M$9:$M$150="",0,$M$9:$M$150)-MOD(IF($M$9:$M$150="",0,$M$9:$M$150),1)),1),$IJ71)),4),"")</f>
        <v/>
      </c>
      <c r="IL71" s="482">
        <f t="shared" si="426"/>
        <v>1613</v>
      </c>
      <c r="IM71" s="482" t="str">
        <f t="shared" si="237"/>
        <v/>
      </c>
      <c r="IN71" s="670" t="str">
        <f t="shared" si="427"/>
        <v/>
      </c>
      <c r="IO71" s="702"/>
      <c r="IP71" s="5" t="str">
        <f t="shared" si="428"/>
        <v/>
      </c>
      <c r="IQ71" s="714"/>
      <c r="IR71" s="9" t="str">
        <f t="shared" si="429"/>
        <v/>
      </c>
      <c r="IS71" s="5" t="str">
        <f t="shared" si="430"/>
        <v/>
      </c>
      <c r="IT71" s="5" t="str">
        <f t="shared" si="431"/>
        <v/>
      </c>
      <c r="IU71" s="5" t="str">
        <f t="shared" si="432"/>
        <v/>
      </c>
      <c r="IV71" s="670" t="str">
        <f t="shared" si="433"/>
        <v/>
      </c>
      <c r="IW71" s="9" t="str">
        <f t="shared" si="434"/>
        <v/>
      </c>
      <c r="IX71" s="5" t="str">
        <f t="shared" si="435"/>
        <v/>
      </c>
      <c r="IY71" s="5" t="str">
        <f t="shared" si="436"/>
        <v/>
      </c>
      <c r="IZ71" s="5" t="str">
        <f t="shared" si="437"/>
        <v/>
      </c>
      <c r="JA71" s="705" t="str">
        <f t="shared" si="438"/>
        <v/>
      </c>
    </row>
    <row r="72" spans="1:261" ht="15" customHeight="1" x14ac:dyDescent="0.25">
      <c r="A72" s="75">
        <f t="shared" si="256"/>
        <v>0.02</v>
      </c>
      <c r="B72" s="578">
        <f t="shared" si="515"/>
        <v>-3.1098230204772848</v>
      </c>
      <c r="C72" s="572">
        <f t="shared" si="516"/>
        <v>-1.7531110522153825</v>
      </c>
      <c r="D72" s="576">
        <f t="shared" si="517"/>
        <v>-0.16965972071838162</v>
      </c>
      <c r="E72" s="580">
        <f t="shared" si="518"/>
        <v>0.39215606331702602</v>
      </c>
      <c r="F72" s="572">
        <f t="shared" si="519"/>
        <v>-0.88299627629700173</v>
      </c>
      <c r="G72" s="579">
        <f t="shared" si="520"/>
        <v>0.25793642249461746</v>
      </c>
      <c r="H72" s="580">
        <f t="shared" si="521"/>
        <v>0.3125</v>
      </c>
      <c r="I72" s="572">
        <f t="shared" si="522"/>
        <v>0.52</v>
      </c>
      <c r="J72" s="483">
        <f t="shared" si="523"/>
        <v>5.1189999999999998</v>
      </c>
      <c r="K72" s="806">
        <f t="shared" si="524"/>
        <v>1613</v>
      </c>
      <c r="L72" s="309"/>
      <c r="M72" s="164">
        <f t="shared" si="267"/>
        <v>5.1189999999999998</v>
      </c>
      <c r="N72" s="575">
        <f t="shared" si="268"/>
        <v>-3.1098230204772848</v>
      </c>
      <c r="O72" s="572">
        <f t="shared" si="269"/>
        <v>-1.7531110522153825</v>
      </c>
      <c r="P72" s="576">
        <f t="shared" si="270"/>
        <v>-0.16965972071838162</v>
      </c>
      <c r="Q72" s="528">
        <f t="shared" si="140"/>
        <v>209.41140749823953</v>
      </c>
      <c r="R72" s="572">
        <f t="shared" si="101"/>
        <v>3.5699296323723511</v>
      </c>
      <c r="S72" s="577">
        <f t="shared" si="102"/>
        <v>-0.16965972071838162</v>
      </c>
      <c r="T72" s="578">
        <f t="shared" si="103"/>
        <v>-1.7765566572520348</v>
      </c>
      <c r="U72" s="572">
        <f t="shared" si="104"/>
        <v>3.0964889832944129</v>
      </c>
      <c r="V72" s="579">
        <f t="shared" si="141"/>
        <v>-0.16965972071838162</v>
      </c>
      <c r="W72" s="528">
        <f t="shared" si="253"/>
        <v>119.84429834411051</v>
      </c>
      <c r="X72" s="572">
        <f t="shared" si="105"/>
        <v>3.5699296323723511</v>
      </c>
      <c r="Y72" s="573">
        <f t="shared" si="255"/>
        <v>-0.16965972071838162</v>
      </c>
      <c r="Z72" s="575">
        <f t="shared" si="271"/>
        <v>-0.39215606331702602</v>
      </c>
      <c r="AA72" s="572">
        <f t="shared" si="272"/>
        <v>0.88299627629700173</v>
      </c>
      <c r="AB72" s="572">
        <f t="shared" si="273"/>
        <v>-0.25793642249461746</v>
      </c>
      <c r="AC72" s="579">
        <f t="shared" si="106"/>
        <v>1</v>
      </c>
      <c r="AD72" s="580">
        <f t="shared" si="142"/>
        <v>-0.39215606331702602</v>
      </c>
      <c r="AE72" s="572">
        <f t="shared" si="107"/>
        <v>0.88299627629700173</v>
      </c>
      <c r="AF72" s="576">
        <f t="shared" si="108"/>
        <v>-0.25793642249461746</v>
      </c>
      <c r="AG72" s="545">
        <f t="shared" si="109"/>
        <v>73.71612652421814</v>
      </c>
      <c r="AH72" s="546">
        <f t="shared" si="110"/>
        <v>113.08872264471999</v>
      </c>
      <c r="AI72" s="528">
        <f t="shared" si="111"/>
        <v>-75.052348085786988</v>
      </c>
      <c r="AJ72" s="529">
        <f t="shared" si="112"/>
        <v>-156.05304908122761</v>
      </c>
      <c r="AK72" s="578">
        <f t="shared" si="238"/>
        <v>0.96177113539821568</v>
      </c>
      <c r="AL72" s="572">
        <f t="shared" si="113"/>
        <v>-9.2005896906151352E-2</v>
      </c>
      <c r="AM72" s="577">
        <f t="shared" si="114"/>
        <v>-0.25793642249461746</v>
      </c>
      <c r="AN72" s="524">
        <f t="shared" si="115"/>
        <v>-19.63131247542724</v>
      </c>
      <c r="AO72" s="525">
        <f t="shared" si="525"/>
        <v>15.893761035069243</v>
      </c>
      <c r="AP72" s="528">
        <f t="shared" si="117"/>
        <v>-5.4644565794671376</v>
      </c>
      <c r="AQ72" s="529">
        <f t="shared" si="274"/>
        <v>1.2769714742175462</v>
      </c>
      <c r="AS72" s="932">
        <f t="shared" si="461"/>
        <v>119.84429834411051</v>
      </c>
      <c r="AT72" s="928">
        <f t="shared" si="275"/>
        <v>0.16016528406235744</v>
      </c>
      <c r="AU72" s="418"/>
      <c r="AV72" s="164" t="str">
        <f t="shared" si="276"/>
        <v/>
      </c>
      <c r="AW72" s="797" t="str">
        <f>IFERROR(INDEX(MassProp!C$9:C$150,MATCH($M72,MassProp!$B$9:$B$150,0)),"")</f>
        <v/>
      </c>
      <c r="AX72" s="744" t="str">
        <f>IFERROR(INDEX(MassProp!D$9:D$150,MATCH($M72,MassProp!$B$9:$B$150,0)),"")</f>
        <v/>
      </c>
      <c r="AY72" s="731" t="str">
        <f>IFERROR(INDEX(MassProp!E$9:E$150,MATCH($M72,MassProp!$B$9:$B$150,0)),"")</f>
        <v/>
      </c>
      <c r="AZ72" s="297" t="str">
        <f t="shared" si="144"/>
        <v/>
      </c>
      <c r="BA72" s="296" t="str">
        <f t="shared" si="278"/>
        <v/>
      </c>
      <c r="BB72" s="177" t="str">
        <f t="shared" si="145"/>
        <v/>
      </c>
      <c r="BC72" s="9"/>
      <c r="BD72" s="5" t="str">
        <f t="shared" si="146"/>
        <v/>
      </c>
      <c r="BE72" s="6" t="str">
        <f t="shared" si="280"/>
        <v/>
      </c>
      <c r="BF72" s="4" t="str">
        <f t="shared" si="281"/>
        <v/>
      </c>
      <c r="BG72" s="5" t="str">
        <f t="shared" si="282"/>
        <v/>
      </c>
      <c r="BH72" s="10" t="str">
        <f t="shared" si="283"/>
        <v/>
      </c>
      <c r="BI72" s="9" t="str">
        <f t="shared" si="147"/>
        <v/>
      </c>
      <c r="BJ72" s="5" t="str">
        <f t="shared" si="285"/>
        <v/>
      </c>
      <c r="BK72" s="8" t="str">
        <f t="shared" si="286"/>
        <v/>
      </c>
      <c r="BL72" s="173" t="str">
        <f t="shared" si="287"/>
        <v/>
      </c>
      <c r="BM72" s="5" t="str">
        <f t="shared" si="288"/>
        <v/>
      </c>
      <c r="BN72" s="6" t="str">
        <f t="shared" si="289"/>
        <v/>
      </c>
      <c r="BO72" s="4" t="str">
        <f t="shared" si="148"/>
        <v/>
      </c>
      <c r="BP72" s="5" t="str">
        <f t="shared" si="239"/>
        <v/>
      </c>
      <c r="BQ72" s="5" t="str">
        <f t="shared" si="149"/>
        <v/>
      </c>
      <c r="BR72" s="6" t="str">
        <f t="shared" si="150"/>
        <v/>
      </c>
      <c r="BS72" s="4" t="str">
        <f t="shared" si="483"/>
        <v/>
      </c>
      <c r="BT72" s="5" t="str">
        <f t="shared" si="483"/>
        <v/>
      </c>
      <c r="BU72" s="10" t="str">
        <f t="shared" si="119"/>
        <v/>
      </c>
      <c r="BV72" s="9" t="str">
        <f t="shared" si="120"/>
        <v/>
      </c>
      <c r="BW72" s="5" t="str">
        <f t="shared" si="121"/>
        <v/>
      </c>
      <c r="BX72" s="8" t="str">
        <f t="shared" si="122"/>
        <v/>
      </c>
      <c r="BY72" s="173" t="str">
        <f t="shared" si="123"/>
        <v/>
      </c>
      <c r="BZ72" s="5" t="str">
        <f t="shared" si="124"/>
        <v/>
      </c>
      <c r="CA72" s="6" t="str">
        <f t="shared" si="125"/>
        <v/>
      </c>
      <c r="CB72" s="4" t="str">
        <f t="shared" si="151"/>
        <v/>
      </c>
      <c r="CC72" s="5" t="str">
        <f t="shared" si="152"/>
        <v/>
      </c>
      <c r="CD72" s="5" t="str">
        <f t="shared" si="153"/>
        <v/>
      </c>
      <c r="CE72" s="6" t="str">
        <f t="shared" si="154"/>
        <v/>
      </c>
      <c r="CF72" s="4" t="str">
        <f t="shared" si="155"/>
        <v/>
      </c>
      <c r="CG72" s="5" t="str">
        <f t="shared" si="156"/>
        <v/>
      </c>
      <c r="CH72" s="5" t="str">
        <f t="shared" si="157"/>
        <v/>
      </c>
      <c r="CI72" s="4" t="str">
        <f t="shared" si="126"/>
        <v/>
      </c>
      <c r="CJ72" s="5" t="str">
        <f t="shared" si="127"/>
        <v/>
      </c>
      <c r="CK72" s="8" t="str">
        <f t="shared" si="128"/>
        <v/>
      </c>
      <c r="CL72" s="173" t="str">
        <f t="shared" si="129"/>
        <v/>
      </c>
      <c r="CM72" s="5" t="str">
        <f t="shared" si="130"/>
        <v/>
      </c>
      <c r="CN72" s="6" t="str">
        <f t="shared" si="131"/>
        <v/>
      </c>
      <c r="CO72" s="167" t="str">
        <f t="shared" si="305"/>
        <v/>
      </c>
      <c r="CP72" s="4" t="str">
        <f t="shared" si="240"/>
        <v/>
      </c>
      <c r="CQ72" s="5" t="str">
        <f t="shared" si="241"/>
        <v/>
      </c>
      <c r="CR72" s="5" t="str">
        <f t="shared" si="158"/>
        <v/>
      </c>
      <c r="CS72" s="8" t="str">
        <f t="shared" si="159"/>
        <v/>
      </c>
      <c r="CT72" s="9" t="str">
        <f t="shared" si="160"/>
        <v/>
      </c>
      <c r="CU72" s="6" t="str">
        <f t="shared" si="161"/>
        <v/>
      </c>
      <c r="CV72" s="4" t="str">
        <f t="shared" si="242"/>
        <v/>
      </c>
      <c r="CW72" s="5" t="str">
        <f t="shared" si="162"/>
        <v/>
      </c>
      <c r="CX72" s="8" t="str">
        <f t="shared" si="163"/>
        <v/>
      </c>
      <c r="CY72" s="9" t="str">
        <f t="shared" si="164"/>
        <v/>
      </c>
      <c r="CZ72" s="5" t="str">
        <f t="shared" si="165"/>
        <v/>
      </c>
      <c r="DA72" s="6" t="str">
        <f t="shared" si="166"/>
        <v/>
      </c>
      <c r="DB72" s="4" t="str">
        <f t="shared" si="484"/>
        <v/>
      </c>
      <c r="DC72" s="5" t="str">
        <f t="shared" si="484"/>
        <v/>
      </c>
      <c r="DD72" s="10" t="str">
        <f t="shared" si="168"/>
        <v/>
      </c>
      <c r="DE72" s="9" t="str">
        <f t="shared" si="485"/>
        <v/>
      </c>
      <c r="DF72" s="5" t="str">
        <f t="shared" si="485"/>
        <v/>
      </c>
      <c r="DG72" s="10" t="str">
        <f t="shared" si="170"/>
        <v/>
      </c>
      <c r="DH72" s="70" t="str">
        <f t="shared" si="171"/>
        <v/>
      </c>
      <c r="DI72" s="4" t="str">
        <f t="shared" si="172"/>
        <v/>
      </c>
      <c r="DJ72" s="5" t="str">
        <f t="shared" si="173"/>
        <v/>
      </c>
      <c r="DK72" s="10" t="str">
        <f t="shared" si="174"/>
        <v/>
      </c>
      <c r="DL72" s="9" t="str">
        <f t="shared" si="175"/>
        <v/>
      </c>
      <c r="DM72" s="173" t="str">
        <f t="shared" si="176"/>
        <v/>
      </c>
      <c r="DN72" s="178" t="str">
        <f t="shared" si="177"/>
        <v/>
      </c>
      <c r="DO72" s="9" t="str">
        <f t="shared" si="178"/>
        <v/>
      </c>
      <c r="DP72" s="173" t="str">
        <f t="shared" si="179"/>
        <v/>
      </c>
      <c r="DQ72" s="11" t="str">
        <f t="shared" si="180"/>
        <v/>
      </c>
      <c r="DR72" s="173" t="str">
        <f t="shared" si="181"/>
        <v/>
      </c>
      <c r="DS72" s="5" t="str">
        <f t="shared" si="182"/>
        <v/>
      </c>
      <c r="DT72" s="5" t="str">
        <f t="shared" si="183"/>
        <v/>
      </c>
      <c r="DU72" s="5" t="str">
        <f t="shared" si="184"/>
        <v/>
      </c>
      <c r="DV72" s="5" t="str">
        <f t="shared" si="185"/>
        <v/>
      </c>
      <c r="DW72" s="5" t="str">
        <f t="shared" si="186"/>
        <v/>
      </c>
      <c r="DX72" s="167" t="str">
        <f t="shared" si="187"/>
        <v/>
      </c>
      <c r="DY72" s="9" t="str">
        <f t="shared" si="188"/>
        <v/>
      </c>
      <c r="DZ72" s="5" t="str">
        <f t="shared" si="189"/>
        <v/>
      </c>
      <c r="EA72" s="10" t="str">
        <f t="shared" si="190"/>
        <v/>
      </c>
      <c r="EB72" s="6" t="str">
        <f t="shared" si="191"/>
        <v/>
      </c>
      <c r="EC72" s="173" t="str">
        <f t="shared" si="192"/>
        <v/>
      </c>
      <c r="ED72" s="5" t="str">
        <f t="shared" si="193"/>
        <v/>
      </c>
      <c r="EE72" s="4" t="str">
        <f t="shared" si="194"/>
        <v/>
      </c>
      <c r="EF72" s="5" t="str">
        <f t="shared" si="195"/>
        <v/>
      </c>
      <c r="EG72" s="10" t="str">
        <f t="shared" si="196"/>
        <v/>
      </c>
      <c r="EH72" s="9" t="str">
        <f t="shared" si="197"/>
        <v/>
      </c>
      <c r="EI72" s="5" t="str">
        <f t="shared" si="198"/>
        <v/>
      </c>
      <c r="EJ72" s="6" t="str">
        <f t="shared" si="199"/>
        <v/>
      </c>
      <c r="EK72" s="236" t="str">
        <f t="shared" si="200"/>
        <v/>
      </c>
      <c r="EL72" s="238" t="str">
        <f t="shared" si="201"/>
        <v/>
      </c>
      <c r="EM72" s="4" t="str">
        <f t="shared" si="202"/>
        <v/>
      </c>
      <c r="EN72" s="5" t="str">
        <f t="shared" si="203"/>
        <v/>
      </c>
      <c r="EO72" s="10" t="str">
        <f t="shared" si="204"/>
        <v/>
      </c>
      <c r="EP72" s="9" t="str">
        <f t="shared" si="205"/>
        <v/>
      </c>
      <c r="EQ72" s="5" t="str">
        <f t="shared" si="206"/>
        <v/>
      </c>
      <c r="ER72" s="7" t="str">
        <f t="shared" si="207"/>
        <v/>
      </c>
      <c r="ES72" s="21" t="str">
        <f t="shared" si="352"/>
        <v/>
      </c>
      <c r="ET72" s="5" t="str">
        <f t="shared" si="353"/>
        <v/>
      </c>
      <c r="EU72" s="10" t="str">
        <f t="shared" si="354"/>
        <v/>
      </c>
      <c r="EV72" s="174" t="str">
        <f t="shared" si="486"/>
        <v/>
      </c>
      <c r="EW72" s="9" t="str">
        <f t="shared" si="487"/>
        <v/>
      </c>
      <c r="EX72" s="5" t="str">
        <f t="shared" si="488"/>
        <v/>
      </c>
      <c r="EY72" s="6" t="str">
        <f t="shared" si="208"/>
        <v/>
      </c>
      <c r="EZ72" s="51" t="str">
        <f t="shared" si="209"/>
        <v/>
      </c>
      <c r="FA72" s="173" t="str">
        <f t="shared" si="489"/>
        <v/>
      </c>
      <c r="FB72" s="5" t="str">
        <f t="shared" si="490"/>
        <v/>
      </c>
      <c r="FC72" s="6" t="str">
        <f t="shared" si="491"/>
        <v/>
      </c>
      <c r="FD72" s="4" t="str">
        <f t="shared" si="492"/>
        <v/>
      </c>
      <c r="FE72" s="5" t="str">
        <f t="shared" si="493"/>
        <v/>
      </c>
      <c r="FF72" s="7" t="str">
        <f t="shared" si="210"/>
        <v/>
      </c>
      <c r="FG72" s="173" t="str">
        <f t="shared" si="494"/>
        <v/>
      </c>
      <c r="FH72" s="5" t="str">
        <f t="shared" si="495"/>
        <v/>
      </c>
      <c r="FI72" s="10" t="str">
        <f t="shared" si="496"/>
        <v/>
      </c>
      <c r="FJ72" s="279" t="str">
        <f t="shared" si="212"/>
        <v/>
      </c>
      <c r="FK72" s="4" t="str">
        <f t="shared" si="497"/>
        <v/>
      </c>
      <c r="FL72" s="5" t="str">
        <f t="shared" si="213"/>
        <v/>
      </c>
      <c r="FM72" s="8" t="str">
        <f t="shared" si="214"/>
        <v/>
      </c>
      <c r="FN72" s="9" t="str">
        <f t="shared" si="215"/>
        <v/>
      </c>
      <c r="FO72" s="10" t="str">
        <f t="shared" si="498"/>
        <v/>
      </c>
      <c r="FP72" s="277" t="str">
        <f t="shared" si="499"/>
        <v/>
      </c>
      <c r="FQ72" s="173" t="str">
        <f t="shared" si="243"/>
        <v/>
      </c>
      <c r="FR72" s="10" t="str">
        <f t="shared" si="216"/>
        <v/>
      </c>
      <c r="FS72" s="9" t="str">
        <f t="shared" si="217"/>
        <v/>
      </c>
      <c r="FT72" s="6" t="str">
        <f t="shared" si="218"/>
        <v/>
      </c>
      <c r="FU72" s="4" t="str">
        <f t="shared" si="219"/>
        <v/>
      </c>
      <c r="FV72" s="5" t="str">
        <f t="shared" si="220"/>
        <v/>
      </c>
      <c r="FW72" s="8" t="str">
        <f t="shared" si="244"/>
        <v/>
      </c>
      <c r="FX72" s="9" t="str">
        <f t="shared" si="245"/>
        <v/>
      </c>
      <c r="FY72" s="10" t="str">
        <f t="shared" si="500"/>
        <v/>
      </c>
      <c r="FZ72" s="277" t="str">
        <f t="shared" si="246"/>
        <v/>
      </c>
      <c r="GA72" s="177" t="str">
        <f t="shared" si="221"/>
        <v/>
      </c>
      <c r="GB72" s="4" t="str">
        <f t="shared" si="222"/>
        <v/>
      </c>
      <c r="GC72" s="5" t="str">
        <f t="shared" si="223"/>
        <v/>
      </c>
      <c r="GD72" s="10" t="str">
        <f t="shared" si="224"/>
        <v/>
      </c>
      <c r="GE72" s="311" t="str">
        <f t="shared" si="225"/>
        <v/>
      </c>
      <c r="GF72" s="341" t="str">
        <f t="shared" si="247"/>
        <v/>
      </c>
      <c r="GG72" s="285" t="str">
        <f t="shared" si="501"/>
        <v/>
      </c>
      <c r="GH72" s="286" t="str">
        <f t="shared" si="502"/>
        <v/>
      </c>
      <c r="GI72" s="281" t="str">
        <f t="shared" si="503"/>
        <v/>
      </c>
      <c r="GJ72" s="167" t="str">
        <f t="shared" si="226"/>
        <v/>
      </c>
      <c r="GK72" s="174" t="str">
        <f t="shared" si="504"/>
        <v/>
      </c>
      <c r="GL72" s="174" t="str">
        <f t="shared" si="227"/>
        <v/>
      </c>
      <c r="GM72" s="177" t="str">
        <f t="shared" si="248"/>
        <v/>
      </c>
      <c r="GN72" s="280" t="str">
        <f t="shared" si="228"/>
        <v/>
      </c>
      <c r="GO72" s="4" t="str">
        <f t="shared" si="229"/>
        <v/>
      </c>
      <c r="GP72" s="8" t="str">
        <f t="shared" si="249"/>
        <v/>
      </c>
      <c r="GQ72" s="177" t="str">
        <f t="shared" si="230"/>
        <v/>
      </c>
      <c r="GR72" s="371" t="str">
        <f t="shared" si="250"/>
        <v/>
      </c>
      <c r="GS72" s="342" t="str">
        <f t="shared" si="505"/>
        <v/>
      </c>
      <c r="GT72" s="343" t="str">
        <f t="shared" si="506"/>
        <v/>
      </c>
      <c r="GU72" s="344" t="str">
        <f t="shared" si="507"/>
        <v/>
      </c>
      <c r="GV72" s="343" t="str">
        <f t="shared" si="252"/>
        <v/>
      </c>
      <c r="GW72" s="345" t="str">
        <f t="shared" si="508"/>
        <v/>
      </c>
      <c r="GX72" s="346" t="str">
        <f t="shared" si="509"/>
        <v/>
      </c>
      <c r="GY72" s="344" t="str">
        <f t="shared" si="510"/>
        <v/>
      </c>
      <c r="GZ72" s="345" t="str">
        <f t="shared" si="511"/>
        <v/>
      </c>
      <c r="HA72" s="342" t="str">
        <f t="shared" si="512"/>
        <v/>
      </c>
      <c r="HB72" s="5" t="str">
        <f t="shared" si="231"/>
        <v/>
      </c>
      <c r="HC72" s="343" t="str">
        <f t="shared" si="232"/>
        <v/>
      </c>
      <c r="HD72" s="363" t="str">
        <f t="shared" si="233"/>
        <v/>
      </c>
      <c r="HE72" s="344" t="str">
        <f t="shared" si="513"/>
        <v/>
      </c>
      <c r="HF72" s="5" t="str">
        <f t="shared" si="514"/>
        <v/>
      </c>
      <c r="HG72" s="343" t="str">
        <f t="shared" si="234"/>
        <v/>
      </c>
      <c r="HH72" s="349" t="str">
        <f t="shared" si="235"/>
        <v/>
      </c>
      <c r="HI72" s="317" t="str">
        <f t="shared" si="408"/>
        <v/>
      </c>
      <c r="HK72" s="310" t="str">
        <f t="shared" si="459"/>
        <v/>
      </c>
      <c r="HL72" s="348" t="str">
        <f t="shared" si="409"/>
        <v/>
      </c>
      <c r="HM72" s="909" t="str">
        <f t="shared" si="410"/>
        <v/>
      </c>
      <c r="HN72" s="910" t="str">
        <f t="shared" si="411"/>
        <v/>
      </c>
      <c r="HO72" s="911"/>
      <c r="HP72" s="912"/>
      <c r="HQ72" s="910" t="str">
        <f t="shared" si="412"/>
        <v/>
      </c>
      <c r="HR72" s="913" t="str">
        <f t="shared" si="413"/>
        <v/>
      </c>
      <c r="HS72" s="865" t="str">
        <f t="shared" si="460"/>
        <v/>
      </c>
      <c r="HT72" s="875" t="str">
        <f t="shared" si="414"/>
        <v/>
      </c>
      <c r="HU72" s="876" t="str">
        <f t="shared" si="415"/>
        <v/>
      </c>
      <c r="HV72" s="872" t="str">
        <f t="shared" si="416"/>
        <v/>
      </c>
      <c r="HW72" s="866" t="str">
        <f t="shared" si="417"/>
        <v/>
      </c>
      <c r="HX72" s="867" t="str">
        <f t="shared" si="418"/>
        <v/>
      </c>
      <c r="HY72" s="866" t="str">
        <f t="shared" si="419"/>
        <v/>
      </c>
      <c r="HZ72" s="868" t="str">
        <f t="shared" si="420"/>
        <v/>
      </c>
      <c r="IA72" s="869" t="str">
        <f t="shared" si="421"/>
        <v/>
      </c>
      <c r="IB72" s="870" t="str">
        <f t="shared" si="422"/>
        <v/>
      </c>
      <c r="IC72" s="841" t="str">
        <f t="shared" si="423"/>
        <v/>
      </c>
      <c r="ID72" s="351" t="str">
        <f t="shared" si="424"/>
        <v/>
      </c>
      <c r="IE72" s="843" t="str">
        <f t="shared" si="425"/>
        <v/>
      </c>
      <c r="IF72" s="844"/>
      <c r="IG72" s="790" t="str">
        <f>IFERROR(IF($IW72="","",IF($IW72&lt;(((Settings!$C$19/2)*-1)*$IG$8),"Taper","Nose")),"")</f>
        <v/>
      </c>
      <c r="IH72" s="482" t="str">
        <f>IFERROR(IF((((($IY72*COS(RADIANS(180-$JA72)))*COS(RADIANS($JA72)))-(($IZ72*SIN(RADIANS(180-$JA72)))*SIN(RADIANS($JA72))))+$IW72)&lt;(((Settings!$C$19+$IH$8)/2)*-1),"Gage",""),"")</f>
        <v/>
      </c>
      <c r="II72" s="788">
        <f t="shared" si="236"/>
        <v>5.1189999999999998</v>
      </c>
      <c r="IJ72" s="674" t="str" cm="1">
        <f t="array" ref="IJ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K72" s="677" t="str" cm="1">
        <f t="array" ref="IK72">IFERROR(ROUND(VALUE(IF($IJ72&lt;1,$IJ72+LARGE((IF($M$9:$M$150="",0,$M$9:$M$150)-MOD(IF($M$9:$M$150="",0,$M$9:$M$150),1)),1),$IJ72)),4),"")</f>
        <v/>
      </c>
      <c r="IL72" s="482">
        <f t="shared" si="426"/>
        <v>1613</v>
      </c>
      <c r="IM72" s="482" t="str">
        <f t="shared" si="237"/>
        <v/>
      </c>
      <c r="IN72" s="670" t="str">
        <f t="shared" si="427"/>
        <v/>
      </c>
      <c r="IO72" s="702"/>
      <c r="IP72" s="5" t="str">
        <f t="shared" si="428"/>
        <v/>
      </c>
      <c r="IQ72" s="714"/>
      <c r="IR72" s="9" t="str">
        <f t="shared" si="429"/>
        <v/>
      </c>
      <c r="IS72" s="5" t="str">
        <f t="shared" si="430"/>
        <v/>
      </c>
      <c r="IT72" s="5" t="str">
        <f t="shared" si="431"/>
        <v/>
      </c>
      <c r="IU72" s="5" t="str">
        <f t="shared" si="432"/>
        <v/>
      </c>
      <c r="IV72" s="670" t="str">
        <f t="shared" si="433"/>
        <v/>
      </c>
      <c r="IW72" s="9" t="str">
        <f t="shared" si="434"/>
        <v/>
      </c>
      <c r="IX72" s="5" t="str">
        <f t="shared" si="435"/>
        <v/>
      </c>
      <c r="IY72" s="5" t="str">
        <f t="shared" si="436"/>
        <v/>
      </c>
      <c r="IZ72" s="5" t="str">
        <f t="shared" si="437"/>
        <v/>
      </c>
      <c r="JA72" s="705" t="str">
        <f t="shared" si="438"/>
        <v/>
      </c>
    </row>
    <row r="73" spans="1:261" ht="15" customHeight="1" x14ac:dyDescent="0.25">
      <c r="A73" s="75">
        <f t="shared" si="256"/>
        <v>0.02</v>
      </c>
      <c r="B73" s="578">
        <f t="shared" si="515"/>
        <v>-3.7195191691405367</v>
      </c>
      <c r="C73" s="572">
        <f t="shared" si="516"/>
        <v>-2.0415414876335487</v>
      </c>
      <c r="D73" s="576">
        <f t="shared" si="517"/>
        <v>-0.53651537420653606</v>
      </c>
      <c r="E73" s="580">
        <f t="shared" si="518"/>
        <v>0.26749517746143076</v>
      </c>
      <c r="F73" s="572">
        <f t="shared" si="519"/>
        <v>-0.92622807932579221</v>
      </c>
      <c r="G73" s="579">
        <f t="shared" si="520"/>
        <v>0.26560849968201672</v>
      </c>
      <c r="H73" s="580">
        <f t="shared" si="521"/>
        <v>0.3125</v>
      </c>
      <c r="I73" s="572">
        <f t="shared" si="522"/>
        <v>0.52</v>
      </c>
      <c r="J73" s="483">
        <f t="shared" si="523"/>
        <v>5.125</v>
      </c>
      <c r="K73" s="806">
        <f t="shared" si="524"/>
        <v>1613</v>
      </c>
      <c r="L73" s="309"/>
      <c r="M73" s="164">
        <f t="shared" ref="M73:M104" si="526">IF(J73="","",VALUE(J73))</f>
        <v>5.125</v>
      </c>
      <c r="N73" s="575">
        <f t="shared" ref="N73:N104" si="527">IF(M73="","",B73)</f>
        <v>-3.7195191691405367</v>
      </c>
      <c r="O73" s="572">
        <f t="shared" ref="O73:O104" si="528">IF(M73="","",C73)</f>
        <v>-2.0415414876335487</v>
      </c>
      <c r="P73" s="576">
        <f t="shared" ref="P73:P104" si="529">IF(M73="","",D73)</f>
        <v>-0.53651537420653606</v>
      </c>
      <c r="Q73" s="528">
        <f t="shared" si="140"/>
        <v>208.76116891824458</v>
      </c>
      <c r="R73" s="572">
        <f>IF(M73="","",SQRT(N73^2+O73^2))</f>
        <v>4.242960581402202</v>
      </c>
      <c r="S73" s="577">
        <f>IF(M73="","",P73)</f>
        <v>-0.53651537420653606</v>
      </c>
      <c r="T73" s="578">
        <f>IF(M73="","",X73*COS(RADIANS(W73)))</f>
        <v>-2.0695852968899042</v>
      </c>
      <c r="U73" s="572">
        <f>IF(M73="","",X73*SIN(RADIANS(W73)))</f>
        <v>3.7039885521191938</v>
      </c>
      <c r="V73" s="579">
        <f>IF(M73="","",Y73)</f>
        <v>-0.53651537420653606</v>
      </c>
      <c r="W73" s="528">
        <f t="shared" si="253"/>
        <v>119.19405976411556</v>
      </c>
      <c r="X73" s="572">
        <f>IF(M73="","",R73)</f>
        <v>4.242960581402202</v>
      </c>
      <c r="Y73" s="573">
        <f t="shared" si="255"/>
        <v>-0.53651537420653606</v>
      </c>
      <c r="Z73" s="575">
        <f t="shared" ref="Z73:Z104" si="530">IF(M73="","",-E73)</f>
        <v>-0.26749517746143076</v>
      </c>
      <c r="AA73" s="572">
        <f t="shared" ref="AA73:AA104" si="531">IF(M73="","",-F73)</f>
        <v>0.92622807932579221</v>
      </c>
      <c r="AB73" s="572">
        <f t="shared" ref="AB73:AB104" si="532">IF(M73="","",-G73)</f>
        <v>-0.26560849968201672</v>
      </c>
      <c r="AC73" s="579">
        <f>IF(M73="","",SQRT(Z73^2+AA73^2+AB73^2))</f>
        <v>1</v>
      </c>
      <c r="AD73" s="580">
        <f>IF(M73="","",Z73*(1/SQRT(Z73^2+AA73^2+AB73^2)))</f>
        <v>-0.26749517746143076</v>
      </c>
      <c r="AE73" s="572">
        <f>IF(M73="","",AA73*(1/SQRT(Z73^2+AA73^2+AB73^2)))</f>
        <v>0.92622807932579221</v>
      </c>
      <c r="AF73" s="576">
        <f>IF(M73="","",AB73*(1/SQRT(Z73^2+AA73^2+AB73^2)))</f>
        <v>-0.26560849968201672</v>
      </c>
      <c r="AG73" s="545">
        <f>IF(M73="","",DEGREES(ATAN2(-AF73,AE73)))</f>
        <v>73.999035623441586</v>
      </c>
      <c r="AH73" s="546">
        <f>IF(M73="","",DEGREES(ACOS(AD73)))</f>
        <v>105.51526952505667</v>
      </c>
      <c r="AI73" s="528">
        <f>IF(M73="","",DEGREES(-ACOS(-AF73)))</f>
        <v>-74.596886925138378</v>
      </c>
      <c r="AJ73" s="529">
        <f>IF(M73="","",DEGREES(ATAN2(-AE73,AD73)))</f>
        <v>-163.8912535208064</v>
      </c>
      <c r="AK73" s="578">
        <f>IF(M73="","",(COS(RADIANS((90-$Q$8)-W73))*AD73)+(-SIN(RADIANS((90-$Q$8)-W73))*AE73))</f>
        <v>0.94066996900049116</v>
      </c>
      <c r="AL73" s="572">
        <f>IF(M73="","",(SIN(RADIANS((90-$Q$8)-W73))*AD73)+(COS(RADIANS((90-$Q$8)-W73))*AE73))</f>
        <v>-0.21116849745471836</v>
      </c>
      <c r="AM73" s="577">
        <f>IF(M73="","",AF73)</f>
        <v>-0.26560849968201672</v>
      </c>
      <c r="AN73" s="524">
        <f>IF(M73="","",DEGREES(ATAN2(-AM73,AL73)))</f>
        <v>-38.485986851085471</v>
      </c>
      <c r="AO73" s="525">
        <f t="shared" si="525"/>
        <v>19.835624968950093</v>
      </c>
      <c r="AP73" s="528">
        <f>IF(M73="","",DEGREES(ATAN2(AK73,AL73)))</f>
        <v>-12.652422439050985</v>
      </c>
      <c r="AQ73" s="529">
        <f t="shared" ref="AQ73:AQ104" si="533">IF(M73="","",DEGREES(ATAN(($AS$5*SIN(RADIANS(90)))/(($X73*2*PI())-($AS$5*COS(RADIANS(90)))))))</f>
        <v>1.0744664446650585</v>
      </c>
      <c r="AS73" s="932">
        <f t="shared" si="461"/>
        <v>119.19405976411556</v>
      </c>
      <c r="AT73" s="928">
        <f t="shared" ref="AT73:AT104" si="534">IF(M73="","",Y73+(((AS73-$AS$9)*$AS$6)*-1))</f>
        <v>-0.20578726028691513</v>
      </c>
      <c r="AU73" s="418"/>
      <c r="AV73" s="164" t="str">
        <f t="shared" ref="AV73:AV104" si="535">IF(AND(ISNUMBER(VALUE(K73)),ISNUMBER(AW73),ISNUMBER(AX73),ISNUMBER(AY73),AY73&gt;=0.0001),$M73,"")</f>
        <v/>
      </c>
      <c r="AW73" s="797" t="str">
        <f>IFERROR(INDEX(MassProp!C$9:C$150,MATCH($M73,MassProp!$B$9:$B$150,0)),"")</f>
        <v/>
      </c>
      <c r="AX73" s="744" t="str">
        <f>IFERROR(INDEX(MassProp!D$9:D$150,MATCH($M73,MassProp!$B$9:$B$150,0)),"")</f>
        <v/>
      </c>
      <c r="AY73" s="731" t="str">
        <f>IFERROR(INDEX(MassProp!E$9:E$150,MATCH($M73,MassProp!$B$9:$B$150,0)),"")</f>
        <v/>
      </c>
      <c r="AZ73" s="297" t="str">
        <f t="shared" si="144"/>
        <v/>
      </c>
      <c r="BA73" s="296" t="str">
        <f t="shared" ref="BA73:BA104" si="536">IF(ISNUMBER(AV73),AZ73/$AZ$151,"")</f>
        <v/>
      </c>
      <c r="BB73" s="177" t="str">
        <f t="shared" si="145"/>
        <v/>
      </c>
      <c r="BC73" s="9"/>
      <c r="BD73" s="5" t="str">
        <f t="shared" si="146"/>
        <v/>
      </c>
      <c r="BE73" s="6" t="str">
        <f t="shared" ref="BE73:BE104" si="537">IF(ISNUMBER(AV73),Y73+BB73,"")</f>
        <v/>
      </c>
      <c r="BF73" s="4" t="str">
        <f t="shared" ref="BF73:BF104" si="538">IF(ISNUMBER($AV73),N73,"")</f>
        <v/>
      </c>
      <c r="BG73" s="5" t="str">
        <f t="shared" ref="BG73:BG104" si="539">IF(ISNUMBER($AV73),O73,"")</f>
        <v/>
      </c>
      <c r="BH73" s="10" t="str">
        <f t="shared" ref="BH73:BH104" si="540">IF(ISNUMBER($AV73),P73,"")</f>
        <v/>
      </c>
      <c r="BI73" s="9" t="str">
        <f t="shared" si="147"/>
        <v/>
      </c>
      <c r="BJ73" s="5" t="str">
        <f t="shared" ref="BJ73:BJ104" si="541">IF(ISNUMBER($AV73),BG73+COS(RADIANS($AG73)),"")</f>
        <v/>
      </c>
      <c r="BK73" s="8" t="str">
        <f t="shared" ref="BK73:BK104" si="542">IF(ISNUMBER($AV73),BH73+SIN(RADIANS($AG73)),"")</f>
        <v/>
      </c>
      <c r="BL73" s="173" t="str">
        <f t="shared" ref="BL73:BL104" si="543">IF(ISNUMBER($AV73),BF73+SIN(RADIANS($AH73)),"")</f>
        <v/>
      </c>
      <c r="BM73" s="5" t="str">
        <f t="shared" ref="BM73:BM104" si="544">IF(ISNUMBER($AV73),BG73-SIN(RADIANS($AG73))*COS(RADIANS($AH73)),"")</f>
        <v/>
      </c>
      <c r="BN73" s="6" t="str">
        <f t="shared" ref="BN73:BN104" si="545">IF(ISNUMBER($AV73),BH73+COS(RADIANS($AG73))*COS(RADIANS($AH73)),"")</f>
        <v/>
      </c>
      <c r="BO73" s="4" t="str">
        <f t="shared" si="148"/>
        <v/>
      </c>
      <c r="BP73" s="5" t="str">
        <f t="shared" si="239"/>
        <v/>
      </c>
      <c r="BQ73" s="5" t="str">
        <f t="shared" si="149"/>
        <v/>
      </c>
      <c r="BR73" s="6" t="str">
        <f t="shared" si="150"/>
        <v/>
      </c>
      <c r="BS73" s="4" t="str">
        <f t="shared" si="483"/>
        <v/>
      </c>
      <c r="BT73" s="5" t="str">
        <f t="shared" si="483"/>
        <v/>
      </c>
      <c r="BU73" s="10" t="str">
        <f t="shared" si="119"/>
        <v/>
      </c>
      <c r="BV73" s="9" t="str">
        <f t="shared" si="120"/>
        <v/>
      </c>
      <c r="BW73" s="5" t="str">
        <f t="shared" si="121"/>
        <v/>
      </c>
      <c r="BX73" s="8" t="str">
        <f t="shared" si="122"/>
        <v/>
      </c>
      <c r="BY73" s="173" t="str">
        <f t="shared" si="123"/>
        <v/>
      </c>
      <c r="BZ73" s="5" t="str">
        <f t="shared" si="124"/>
        <v/>
      </c>
      <c r="CA73" s="6" t="str">
        <f t="shared" si="125"/>
        <v/>
      </c>
      <c r="CB73" s="4" t="str">
        <f t="shared" si="151"/>
        <v/>
      </c>
      <c r="CC73" s="5" t="str">
        <f t="shared" si="152"/>
        <v/>
      </c>
      <c r="CD73" s="5" t="str">
        <f t="shared" si="153"/>
        <v/>
      </c>
      <c r="CE73" s="6" t="str">
        <f t="shared" si="154"/>
        <v/>
      </c>
      <c r="CF73" s="4" t="str">
        <f t="shared" si="155"/>
        <v/>
      </c>
      <c r="CG73" s="5" t="str">
        <f t="shared" si="156"/>
        <v/>
      </c>
      <c r="CH73" s="5" t="str">
        <f t="shared" si="157"/>
        <v/>
      </c>
      <c r="CI73" s="4" t="str">
        <f t="shared" si="126"/>
        <v/>
      </c>
      <c r="CJ73" s="5" t="str">
        <f t="shared" si="127"/>
        <v/>
      </c>
      <c r="CK73" s="8" t="str">
        <f t="shared" si="128"/>
        <v/>
      </c>
      <c r="CL73" s="173" t="str">
        <f t="shared" si="129"/>
        <v/>
      </c>
      <c r="CM73" s="5" t="str">
        <f t="shared" si="130"/>
        <v/>
      </c>
      <c r="CN73" s="6" t="str">
        <f t="shared" si="131"/>
        <v/>
      </c>
      <c r="CO73" s="167" t="str">
        <f t="shared" ref="CO73:CO104" si="546">IF(ISNUMBER($AV73),IF(AND(($H73*2)&gt;=$BE$161,($H73*2)&lt;=$BF$161),($BD$161/2),IF(AND(($H73*2)&gt;=$BE$163,($H73*2)&lt;=$BF$163),($BD$163/2),IF(AND(($H73*2)&gt;=$BE$165,($H73*2)&lt;=$BF$165),($BD$165/2),IF(AND(($H73*2)&gt;=$BE$168,($H73*2)&lt;=$BF$168),($BD$168/2),"Radius")))),"")</f>
        <v/>
      </c>
      <c r="CP73" s="4" t="str">
        <f t="shared" si="240"/>
        <v/>
      </c>
      <c r="CQ73" s="5" t="str">
        <f t="shared" si="241"/>
        <v/>
      </c>
      <c r="CR73" s="5" t="str">
        <f t="shared" si="158"/>
        <v/>
      </c>
      <c r="CS73" s="8" t="str">
        <f t="shared" si="159"/>
        <v/>
      </c>
      <c r="CT73" s="9" t="str">
        <f t="shared" si="160"/>
        <v/>
      </c>
      <c r="CU73" s="6" t="str">
        <f t="shared" si="161"/>
        <v/>
      </c>
      <c r="CV73" s="4" t="str">
        <f t="shared" si="242"/>
        <v/>
      </c>
      <c r="CW73" s="5" t="str">
        <f t="shared" si="162"/>
        <v/>
      </c>
      <c r="CX73" s="8" t="str">
        <f t="shared" si="163"/>
        <v/>
      </c>
      <c r="CY73" s="9" t="str">
        <f t="shared" si="164"/>
        <v/>
      </c>
      <c r="CZ73" s="5" t="str">
        <f t="shared" si="165"/>
        <v/>
      </c>
      <c r="DA73" s="6" t="str">
        <f t="shared" si="166"/>
        <v/>
      </c>
      <c r="DB73" s="4" t="str">
        <f t="shared" si="484"/>
        <v/>
      </c>
      <c r="DC73" s="5" t="str">
        <f t="shared" si="484"/>
        <v/>
      </c>
      <c r="DD73" s="10" t="str">
        <f t="shared" si="168"/>
        <v/>
      </c>
      <c r="DE73" s="9" t="str">
        <f t="shared" si="485"/>
        <v/>
      </c>
      <c r="DF73" s="5" t="str">
        <f t="shared" si="485"/>
        <v/>
      </c>
      <c r="DG73" s="10" t="str">
        <f t="shared" si="170"/>
        <v/>
      </c>
      <c r="DH73" s="70" t="str">
        <f t="shared" si="171"/>
        <v/>
      </c>
      <c r="DI73" s="4" t="str">
        <f t="shared" si="172"/>
        <v/>
      </c>
      <c r="DJ73" s="5" t="str">
        <f t="shared" si="173"/>
        <v/>
      </c>
      <c r="DK73" s="10" t="str">
        <f t="shared" si="174"/>
        <v/>
      </c>
      <c r="DL73" s="9" t="str">
        <f t="shared" si="175"/>
        <v/>
      </c>
      <c r="DM73" s="173" t="str">
        <f t="shared" si="176"/>
        <v/>
      </c>
      <c r="DN73" s="178" t="str">
        <f t="shared" si="177"/>
        <v/>
      </c>
      <c r="DO73" s="9" t="str">
        <f t="shared" si="178"/>
        <v/>
      </c>
      <c r="DP73" s="173" t="str">
        <f t="shared" si="179"/>
        <v/>
      </c>
      <c r="DQ73" s="11" t="str">
        <f t="shared" si="180"/>
        <v/>
      </c>
      <c r="DR73" s="173" t="str">
        <f t="shared" si="181"/>
        <v/>
      </c>
      <c r="DS73" s="5" t="str">
        <f t="shared" si="182"/>
        <v/>
      </c>
      <c r="DT73" s="5" t="str">
        <f t="shared" si="183"/>
        <v/>
      </c>
      <c r="DU73" s="5" t="str">
        <f t="shared" si="184"/>
        <v/>
      </c>
      <c r="DV73" s="5" t="str">
        <f t="shared" si="185"/>
        <v/>
      </c>
      <c r="DW73" s="5" t="str">
        <f t="shared" si="186"/>
        <v/>
      </c>
      <c r="DX73" s="167" t="str">
        <f t="shared" si="187"/>
        <v/>
      </c>
      <c r="DY73" s="9" t="str">
        <f t="shared" si="188"/>
        <v/>
      </c>
      <c r="DZ73" s="5" t="str">
        <f t="shared" si="189"/>
        <v/>
      </c>
      <c r="EA73" s="10" t="str">
        <f t="shared" si="190"/>
        <v/>
      </c>
      <c r="EB73" s="6" t="str">
        <f t="shared" si="191"/>
        <v/>
      </c>
      <c r="EC73" s="173" t="str">
        <f t="shared" si="192"/>
        <v/>
      </c>
      <c r="ED73" s="5" t="str">
        <f t="shared" si="193"/>
        <v/>
      </c>
      <c r="EE73" s="4" t="str">
        <f t="shared" si="194"/>
        <v/>
      </c>
      <c r="EF73" s="5" t="str">
        <f t="shared" si="195"/>
        <v/>
      </c>
      <c r="EG73" s="10" t="str">
        <f t="shared" si="196"/>
        <v/>
      </c>
      <c r="EH73" s="9" t="str">
        <f t="shared" si="197"/>
        <v/>
      </c>
      <c r="EI73" s="5" t="str">
        <f t="shared" si="198"/>
        <v/>
      </c>
      <c r="EJ73" s="6" t="str">
        <f t="shared" si="199"/>
        <v/>
      </c>
      <c r="EK73" s="236" t="str">
        <f t="shared" si="200"/>
        <v/>
      </c>
      <c r="EL73" s="238" t="str">
        <f t="shared" si="201"/>
        <v/>
      </c>
      <c r="EM73" s="4" t="str">
        <f t="shared" si="202"/>
        <v/>
      </c>
      <c r="EN73" s="5" t="str">
        <f t="shared" si="203"/>
        <v/>
      </c>
      <c r="EO73" s="10" t="str">
        <f t="shared" si="204"/>
        <v/>
      </c>
      <c r="EP73" s="9" t="str">
        <f t="shared" si="205"/>
        <v/>
      </c>
      <c r="EQ73" s="5" t="str">
        <f t="shared" si="206"/>
        <v/>
      </c>
      <c r="ER73" s="7" t="str">
        <f t="shared" si="207"/>
        <v/>
      </c>
      <c r="ES73" s="21" t="str">
        <f t="shared" ref="ES73:ES104" si="547">IF(ISNUMBER($AV73),AD73,"")</f>
        <v/>
      </c>
      <c r="ET73" s="5" t="str">
        <f t="shared" ref="ET73:ET104" si="548">IF(ISNUMBER($AV73),AE73,"")</f>
        <v/>
      </c>
      <c r="EU73" s="10" t="str">
        <f t="shared" ref="EU73:EU104" si="549">IF(ISNUMBER($AV73),AF73,"")</f>
        <v/>
      </c>
      <c r="EV73" s="174" t="str">
        <f t="shared" ref="EV73:EV104" si="550">IF(ISNUMBER($AV73),IF(($EV$1-EP73)&lt;0,(360+($EV$1-EP73)),($EV$1-EP73)),"")</f>
        <v/>
      </c>
      <c r="EW73" s="9" t="str">
        <f t="shared" ref="EW73:EW104" si="551">IF(ISNUMBER($AV73),(COS(RADIANS($EV73))*ES73)+(-SIN(RADIANS($EV73))*ET73),"")</f>
        <v/>
      </c>
      <c r="EX73" s="5" t="str">
        <f t="shared" ref="EX73:EX104" si="552">IF(ISNUMBER($AV73),(SIN(RADIANS($EV73))*ES73)+(COS(RADIANS($EV73))*ET73),"")</f>
        <v/>
      </c>
      <c r="EY73" s="6" t="str">
        <f t="shared" si="208"/>
        <v/>
      </c>
      <c r="EZ73" s="51" t="str">
        <f t="shared" si="209"/>
        <v/>
      </c>
      <c r="FA73" s="173" t="str">
        <f t="shared" ref="FA73:FA104" si="553">IF(ISNUMBER($AV73),SIN(RADIANS($EP73))*COS(RADIANS($EZ73)),"")</f>
        <v/>
      </c>
      <c r="FB73" s="5" t="str">
        <f t="shared" ref="FB73:FB104" si="554">IF(ISNUMBER($AV73),-1*COS(RADIANS($EP73))*COS(RADIANS($EZ73)),"")</f>
        <v/>
      </c>
      <c r="FC73" s="6" t="str">
        <f t="shared" ref="FC73:FC104" si="555">IF(ISNUMBER($AV73),-1*SIN(RADIANS($EZ73)),"")</f>
        <v/>
      </c>
      <c r="FD73" s="4" t="str">
        <f t="shared" ref="FD73:FD104" si="556">IF(ISNUMBER($AV73),(COS(RADIANS($EV73))*FA73)+(-SIN(RADIANS($EV73))*FB73),"")</f>
        <v/>
      </c>
      <c r="FE73" s="5" t="str">
        <f t="shared" ref="FE73:FE104" si="557">IF(ISNUMBER($AV73),(SIN(RADIANS($EV73))*FA73)+(COS(RADIANS($EV73))*FB73),"")</f>
        <v/>
      </c>
      <c r="FF73" s="7" t="str">
        <f t="shared" si="210"/>
        <v/>
      </c>
      <c r="FG73" s="173" t="str">
        <f t="shared" ref="FG73:FG104" si="558">IF(ISNUMBER($AV73),EW73-FD73,"")</f>
        <v/>
      </c>
      <c r="FH73" s="5" t="str">
        <f t="shared" ref="FH73:FH104" si="559">IF(ISNUMBER($AV73),EX73-FE73,"")</f>
        <v/>
      </c>
      <c r="FI73" s="10" t="str">
        <f t="shared" ref="FI73:FI104" si="560">IF(ISNUMBER($AV73),EY73-FF73,"")</f>
        <v/>
      </c>
      <c r="FJ73" s="279" t="str">
        <f t="shared" si="212"/>
        <v/>
      </c>
      <c r="FK73" s="4" t="str">
        <f t="shared" ref="FK73:FK104" si="561">IF(ISNUMBER($AV73),SQRT(ES73^2+ET73^2),"")</f>
        <v/>
      </c>
      <c r="FL73" s="5" t="str">
        <f t="shared" si="213"/>
        <v/>
      </c>
      <c r="FM73" s="8" t="str">
        <f t="shared" si="214"/>
        <v/>
      </c>
      <c r="FN73" s="9" t="str">
        <f t="shared" si="215"/>
        <v/>
      </c>
      <c r="FO73" s="10" t="str">
        <f t="shared" ref="FO73:FO104" si="562">IF(ISNUMBER($AV73),IF(SQRT((EM73+(ES73/SQRT(ES73^2+(ET73/SQRT(ES73^2+ET73^2))^2)))^2+(EN73+ET73)^2)&gt;SQRT((EM73+(FA73/SQRT(FA73^2+FB73^2)))^2+(EN73+(FB73/SQRT(FA73^2+FB73^2)))^2),-1,1),"")</f>
        <v/>
      </c>
      <c r="FP73" s="277" t="str">
        <f>IF(ISNUMBER($AV73),FN73*FO73,"")</f>
        <v/>
      </c>
      <c r="FQ73" s="173" t="str">
        <f t="shared" si="243"/>
        <v/>
      </c>
      <c r="FR73" s="10" t="str">
        <f t="shared" si="216"/>
        <v/>
      </c>
      <c r="FS73" s="9" t="str">
        <f t="shared" si="217"/>
        <v/>
      </c>
      <c r="FT73" s="6" t="str">
        <f t="shared" si="218"/>
        <v/>
      </c>
      <c r="FU73" s="4" t="str">
        <f t="shared" si="219"/>
        <v/>
      </c>
      <c r="FV73" s="5" t="str">
        <f t="shared" si="220"/>
        <v/>
      </c>
      <c r="FW73" s="8" t="str">
        <f t="shared" si="244"/>
        <v/>
      </c>
      <c r="FX73" s="9" t="str">
        <f t="shared" si="245"/>
        <v/>
      </c>
      <c r="FY73" s="10" t="str">
        <f t="shared" ref="FY73:FY104" si="563">IF(ISNUMBER($AV73),IF(EU73&lt;FC73,1,-1),"")</f>
        <v/>
      </c>
      <c r="FZ73" s="277" t="str">
        <f t="shared" si="246"/>
        <v/>
      </c>
      <c r="GA73" s="177" t="str">
        <f t="shared" si="221"/>
        <v/>
      </c>
      <c r="GB73" s="4" t="str">
        <f t="shared" si="222"/>
        <v/>
      </c>
      <c r="GC73" s="5" t="str">
        <f t="shared" si="223"/>
        <v/>
      </c>
      <c r="GD73" s="10" t="str">
        <f t="shared" si="224"/>
        <v/>
      </c>
      <c r="GE73" s="311" t="str">
        <f t="shared" si="225"/>
        <v/>
      </c>
      <c r="GF73" s="341" t="str">
        <f t="shared" si="247"/>
        <v/>
      </c>
      <c r="GG73" s="285" t="str">
        <f t="shared" ref="GG73:GG104" si="564">IF(ISNUMBER($AV73),ABS(GB73)/(ABS($GB73)+ABS($GC73)+ABS($GD73)),"")</f>
        <v/>
      </c>
      <c r="GH73" s="286" t="str">
        <f t="shared" ref="GH73:GH104" si="565">IF(ISNUMBER($AV73),ABS(GC73)/(ABS($GB73)+ABS($GC73)+ABS($GD73)),"")</f>
        <v/>
      </c>
      <c r="GI73" s="281" t="str">
        <f t="shared" ref="GI73:GI104" si="566">IF(ISNUMBER($AV73),ABS(GD73)/(ABS($GB73)+ABS($GC73)+ABS($GD73)),"")</f>
        <v/>
      </c>
      <c r="GJ73" s="167" t="str">
        <f t="shared" si="226"/>
        <v/>
      </c>
      <c r="GK73" s="174" t="str">
        <f t="shared" ref="GK73:GK104" si="567">IF(ISNUMBER($AV73),SQRT((2*PI()*$GJ73)^2+$AS$5^2)/12,"")</f>
        <v/>
      </c>
      <c r="GL73" s="174" t="str">
        <f t="shared" si="227"/>
        <v/>
      </c>
      <c r="GM73" s="177" t="str">
        <f t="shared" si="248"/>
        <v/>
      </c>
      <c r="GN73" s="280" t="str">
        <f t="shared" si="228"/>
        <v/>
      </c>
      <c r="GO73" s="4" t="str">
        <f t="shared" si="229"/>
        <v/>
      </c>
      <c r="GP73" s="8" t="str">
        <f t="shared" si="249"/>
        <v/>
      </c>
      <c r="GQ73" s="177" t="str">
        <f t="shared" si="230"/>
        <v/>
      </c>
      <c r="GR73" s="371" t="str">
        <f t="shared" si="250"/>
        <v/>
      </c>
      <c r="GS73" s="342" t="str">
        <f t="shared" ref="GS73:GS104" si="568">IF(ISNUMBER($AV73),GU73/GH73*GG73,"")</f>
        <v/>
      </c>
      <c r="GT73" s="343" t="str">
        <f t="shared" ref="GT73:GT104" si="569">IF(ISNUMBER($AV73),GS73/$GK73,"")</f>
        <v/>
      </c>
      <c r="GU73" s="344" t="str">
        <f t="shared" ref="GU73:GU104" si="570">IF(ISNUMBER($AV73),$GV73*$GK73,"")</f>
        <v/>
      </c>
      <c r="GV73" s="343" t="str">
        <f t="shared" si="252"/>
        <v/>
      </c>
      <c r="GW73" s="345" t="str">
        <f t="shared" ref="GW73:GW104" si="571">IF(ISNUMBER($AV73),$GW$2,"")</f>
        <v/>
      </c>
      <c r="GX73" s="346" t="str">
        <f t="shared" ref="GX73:GX104" si="572">IF(ISNUMBER($AV73),($GJ73/12)*$GV73,"")</f>
        <v/>
      </c>
      <c r="GY73" s="344" t="str">
        <f t="shared" ref="GY73:GY104" si="573">IF(ISNUMBER($AV73),GU73/GH73*GI73,"")</f>
        <v/>
      </c>
      <c r="GZ73" s="345" t="str">
        <f t="shared" ref="GZ73:GZ104" si="574">IF(ISNUMBER($AV73),GY73/$GK73,"")</f>
        <v/>
      </c>
      <c r="HA73" s="342" t="str">
        <f t="shared" ref="HA73:HA104" si="575">IF(ISNUMBER($AV73),$FO73*$GS73,"")</f>
        <v/>
      </c>
      <c r="HB73" s="5" t="str">
        <f t="shared" si="231"/>
        <v/>
      </c>
      <c r="HC73" s="343" t="str">
        <f t="shared" si="232"/>
        <v/>
      </c>
      <c r="HD73" s="363" t="str">
        <f t="shared" si="233"/>
        <v/>
      </c>
      <c r="HE73" s="344" t="str">
        <f t="shared" ref="HE73:HE104" si="576">IF(ISNUMBER($AV73),$FY73*$GV73,"")</f>
        <v/>
      </c>
      <c r="HF73" s="5" t="str">
        <f t="shared" ref="HF73:HF104" si="577">IF(ISNUMBER($AV73),IF(($HB73+90)&lt;0,(360+($HB73+90)),($HB73+90)),"")</f>
        <v/>
      </c>
      <c r="HG73" s="343" t="str">
        <f t="shared" si="234"/>
        <v/>
      </c>
      <c r="HH73" s="349" t="str">
        <f t="shared" si="235"/>
        <v/>
      </c>
      <c r="HI73" s="317" t="str">
        <f t="shared" ref="HI73:HI104" si="578">IF(ISNUMBER($AV73),$M73,"")</f>
        <v/>
      </c>
      <c r="HK73" s="310" t="str">
        <f t="shared" si="459"/>
        <v/>
      </c>
      <c r="HL73" s="348" t="str">
        <f t="shared" ref="HL73:HL104" si="579">IF(ISNUMBER($HS73),INDEX(HI$9:HI$150,MATCH($HS73,$GJ$9:$GJ$150,0)),"")</f>
        <v/>
      </c>
      <c r="HM73" s="909" t="str">
        <f t="shared" ref="HM73:HM104" si="580">IF(ISNUMBER($HL73),INDEX(GO$9:GO$150,MATCH($HL73,$AV$9:$AV$150,0)),"")</f>
        <v/>
      </c>
      <c r="HN73" s="910" t="str">
        <f t="shared" ref="HN73:HN104" si="581">IF(ISNUMBER($HL73),INDEX(AO$9:AO$150,MATCH($HL73,$AV$9:$AV$150,0)),"")</f>
        <v/>
      </c>
      <c r="HO73" s="911"/>
      <c r="HP73" s="912"/>
      <c r="HQ73" s="910" t="str">
        <f t="shared" ref="HQ73:HQ104" si="582">IF(ISNUMBER($HL73),INDEX(GQ$9:GQ$150,MATCH($HL73,$AV$9:$AV$150,0)),"")</f>
        <v/>
      </c>
      <c r="HR73" s="913" t="str">
        <f t="shared" ref="HR73:HR104" si="583">IF(ISNUMBER($HL73),INDEX(GP$9:GP$150,MATCH($HL73,$AV$9:$AV$150,0)),"")</f>
        <v/>
      </c>
      <c r="HS73" s="865" t="str">
        <f t="shared" si="460"/>
        <v/>
      </c>
      <c r="HT73" s="875" t="str">
        <f t="shared" ref="HT73:HT104" si="584">IF(ISNUMBER($HL73),INDEX(GL$9:GL$150,MATCH($HL73,$AV$9:$AV$150,0)),"")</f>
        <v/>
      </c>
      <c r="HU73" s="876" t="str">
        <f t="shared" ref="HU73:HU104" si="585">IF(ISNUMBER($HL73),INDEX(GM$9:GM$150,MATCH($HL73,$AV$9:$AV$150,0)),"")</f>
        <v/>
      </c>
      <c r="HV73" s="872" t="str">
        <f t="shared" ref="HV73:HV104" si="586">IF(ISNUMBER($HL73),INDEX(GN$9:GN$150,MATCH($HL73,$AV$9:$AV$150,0)),"")</f>
        <v/>
      </c>
      <c r="HW73" s="866" t="str">
        <f t="shared" ref="HW73:HW104" si="587">IF(ISNUMBER($HL73),INDEX(GW$9:GW$150,MATCH($HL73,$AV$9:$AV$150,0)),"")</f>
        <v/>
      </c>
      <c r="HX73" s="867" t="str">
        <f t="shared" ref="HX73:HX104" si="588">IF(ISNUMBER($HL73),INDEX(GX$9:GX$150,MATCH($HL73,$AV$9:$AV$150,0)),"")</f>
        <v/>
      </c>
      <c r="HY73" s="866" t="str">
        <f t="shared" ref="HY73:HY104" si="589">IF(ISNUMBER($HL73),INDEX(GS$9:GS$150,MATCH($HL73,$AV$9:$AV$150,0)),"")</f>
        <v/>
      </c>
      <c r="HZ73" s="868" t="str">
        <f t="shared" ref="HZ73:HZ104" si="590">IF(ISNUMBER($HL73),INDEX(GU$9:GU$150,MATCH($HL73,$AV$9:$AV$150,0)),"")</f>
        <v/>
      </c>
      <c r="IA73" s="869" t="str">
        <f t="shared" ref="IA73:IA104" si="591">IF(ISNUMBER($HL73),INDEX(GY$9:GY$150,MATCH($HL73,$AV$9:$AV$150,0)),"")</f>
        <v/>
      </c>
      <c r="IB73" s="870" t="str">
        <f t="shared" ref="IB73:IB104" si="592">IF(ISNUMBER($HL73),INDEX(GR$9:GR$150,MATCH($HL73,$AV$9:$AV$150,0)),"")</f>
        <v/>
      </c>
      <c r="IC73" s="841" t="str">
        <f t="shared" ref="IC73:IC104" si="593">IF(ISNUMBER($HL73),INDEX(GT$9:GT$150,MATCH($HL73,$AV$9:$AV$150,0)),"")</f>
        <v/>
      </c>
      <c r="ID73" s="351" t="str">
        <f t="shared" ref="ID73:ID104" si="594">IF(ISNUMBER($HL73),INDEX(GV$9:GV$150,MATCH($HL73,$AV$9:$AV$150,0)),"")</f>
        <v/>
      </c>
      <c r="IE73" s="843" t="str">
        <f t="shared" ref="IE73:IE104" si="595">IF(ISNUMBER($HL73),INDEX(GZ$9:GZ$150,MATCH($HL73,$AV$9:$AV$150,0)),"")</f>
        <v/>
      </c>
      <c r="IF73" s="844"/>
      <c r="IG73" s="790" t="str">
        <f>IFERROR(IF($IW73="","",IF($IW73&lt;(((Settings!$C$19/2)*-1)*$IG$8),"Taper","Nose")),"")</f>
        <v/>
      </c>
      <c r="IH73" s="482" t="str">
        <f>IFERROR(IF((((($IY73*COS(RADIANS(180-$JA73)))*COS(RADIANS($JA73)))-(($IZ73*SIN(RADIANS(180-$JA73)))*SIN(RADIANS($JA73))))+$IW73)&lt;(((Settings!$C$19+$IH$8)/2)*-1),"Gage",""),"")</f>
        <v/>
      </c>
      <c r="II73" s="788">
        <f t="shared" si="236"/>
        <v>5.125</v>
      </c>
      <c r="IJ73" s="674" t="str" cm="1">
        <f t="array" ref="IJ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K73" s="677" t="str" cm="1">
        <f t="array" ref="IK73">IFERROR(ROUND(VALUE(IF($IJ73&lt;1,$IJ73+LARGE((IF($M$9:$M$150="",0,$M$9:$M$150)-MOD(IF($M$9:$M$150="",0,$M$9:$M$150),1)),1),$IJ73)),4),"")</f>
        <v/>
      </c>
      <c r="IL73" s="482">
        <f t="shared" ref="IL73:IL104" si="596">IF(ISNUMBER($IK73),INDEX($K$9:$K$150,MATCH($IK73,$M$9:$M$150,0)),$K73)</f>
        <v>1613</v>
      </c>
      <c r="IM73" s="482" t="str">
        <f t="shared" si="237"/>
        <v/>
      </c>
      <c r="IN73" s="670" t="str">
        <f t="shared" ref="IN73:IN104" si="597">IF(ISNUMBER($IK73),IFERROR(IF(INDEX($W$9:$W$150,MATCH($IK73,$M$9:$M$150,0))&lt;$W73,((INDEX($W$9:$W$150,MATCH($IK73,$M$9:$M$150,0))+360)-$W73),INDEX($W$9:$W$150,MATCH($IK73,$M$9:$M$150,0))-$W73),""),"")</f>
        <v/>
      </c>
      <c r="IO73" s="702"/>
      <c r="IP73" s="5" t="str">
        <f t="shared" ref="IP73:IP104" si="598">IF(ISNUMBER($IK73),(($IQ73*12)/60)/$AS$3,"")</f>
        <v/>
      </c>
      <c r="IQ73" s="714"/>
      <c r="IR73" s="9" t="str">
        <f t="shared" ref="IR73:IR104" si="599">IF(ISNUMBER($IK73),(INDEX($X$9:$X$150,MATCH($IK73,$M$9:$M$150,0))*-1),"")</f>
        <v/>
      </c>
      <c r="IS73" s="5" t="str">
        <f t="shared" ref="IS73:IS104" si="600">IF(ISNUMBER($IK73),INDEX($Y$9:$Y$150,MATCH($IK73,$M$9:$M$150,0)),"")</f>
        <v/>
      </c>
      <c r="IT73" s="5" t="str">
        <f t="shared" ref="IT73:IT104" si="601">IF(ISNUMBER($IK73),INDEX($H$9:$H$150,MATCH($IK73,$M$9:$M$150,0)),"")</f>
        <v/>
      </c>
      <c r="IU73" s="5" t="str">
        <f t="shared" ref="IU73:IU104" si="602">IF(ISNUMBER($IK73),$IT73*COS(RADIANS(INDEX($AO$9:$AO$150,MATCH($IK73,$M$9:$M$150,0)))),"")</f>
        <v/>
      </c>
      <c r="IV73" s="670" t="str">
        <f t="shared" ref="IV73:IV104" si="603">IF(ISNUMBER($IK73),(-1*INDEX($AN$9:$AN$150,MATCH($IK73,$M$9:$M$150,0))),"")</f>
        <v/>
      </c>
      <c r="IW73" s="9" t="str">
        <f t="shared" ref="IW73:IW104" si="604">IF(ISNUMBER($IK73),-$X73,"")</f>
        <v/>
      </c>
      <c r="IX73" s="5" t="str">
        <f t="shared" ref="IX73:IX104" si="605">IF(ISNUMBER($IK73),$Y73,"")</f>
        <v/>
      </c>
      <c r="IY73" s="5" t="str">
        <f t="shared" ref="IY73:IY104" si="606">IF(ISNUMBER($IK73),$H73,"")</f>
        <v/>
      </c>
      <c r="IZ73" s="5" t="str">
        <f t="shared" ref="IZ73:IZ104" si="607">IF(ISNUMBER($IK73),$IY73*COS(RADIANS($AO73)),"")</f>
        <v/>
      </c>
      <c r="JA73" s="705" t="str">
        <f t="shared" ref="JA73:JA104" si="608">IF(ISNUMBER($IK73),(-1*$AN73),"")</f>
        <v/>
      </c>
    </row>
    <row r="74" spans="1:261" ht="15" customHeight="1" x14ac:dyDescent="0.25">
      <c r="A74" s="75">
        <f t="shared" si="256"/>
        <v>0.02</v>
      </c>
      <c r="B74" s="578">
        <f t="shared" si="515"/>
        <v>-4.1822668763766604</v>
      </c>
      <c r="C74" s="572">
        <f t="shared" si="516"/>
        <v>-2.2333241668052772</v>
      </c>
      <c r="D74" s="576">
        <f t="shared" si="517"/>
        <v>-1.1186852804601963</v>
      </c>
      <c r="E74" s="580">
        <f t="shared" si="518"/>
        <v>0.13188907511856623</v>
      </c>
      <c r="F74" s="572">
        <f t="shared" si="519"/>
        <v>-0.96678633895088661</v>
      </c>
      <c r="G74" s="579">
        <f t="shared" si="520"/>
        <v>0.21892794860937828</v>
      </c>
      <c r="H74" s="580">
        <f t="shared" si="521"/>
        <v>0.3125</v>
      </c>
      <c r="I74" s="572">
        <f t="shared" si="522"/>
        <v>0.52</v>
      </c>
      <c r="J74" s="483">
        <f t="shared" si="523"/>
        <v>5.1310000000000002</v>
      </c>
      <c r="K74" s="806">
        <f t="shared" si="524"/>
        <v>1613</v>
      </c>
      <c r="L74" s="309"/>
      <c r="M74" s="164">
        <f t="shared" si="526"/>
        <v>5.1310000000000002</v>
      </c>
      <c r="N74" s="575">
        <f t="shared" si="527"/>
        <v>-4.1822668763766604</v>
      </c>
      <c r="O74" s="572">
        <f t="shared" si="528"/>
        <v>-2.2333241668052772</v>
      </c>
      <c r="P74" s="576">
        <f t="shared" si="529"/>
        <v>-1.1186852804601963</v>
      </c>
      <c r="Q74" s="528">
        <f t="shared" ref="Q74:Q129" si="609">IF(M74="","",IF(DEGREES(ATAN2(N74,O74))&lt;0,DEGREES(ATAN2(N74,O74))+360,IF(DEGREES(ATAN2(N74,O74))&gt;360,DEGREES(ATAN2(N74,O74))-360,DEGREES(ATAN2(N74,O74)))))</f>
        <v>208.10214935795102</v>
      </c>
      <c r="R74" s="572">
        <f>IF(M74="","",SQRT(N74^2+O74^2))</f>
        <v>4.7412121930234123</v>
      </c>
      <c r="S74" s="577">
        <f>IF(M74="","",P74)</f>
        <v>-1.1186852804601963</v>
      </c>
      <c r="T74" s="578">
        <f>IF(M74="","",X74*COS(RADIANS(W74)))</f>
        <v>-2.2648586994046163</v>
      </c>
      <c r="U74" s="572">
        <f>IF(M74="","",X74*SIN(RADIANS(W74)))</f>
        <v>4.1652740763370071</v>
      </c>
      <c r="V74" s="579">
        <f>IF(M74="","",Y74)</f>
        <v>-1.1186852804601963</v>
      </c>
      <c r="W74" s="528">
        <f t="shared" si="253"/>
        <v>118.53504020382201</v>
      </c>
      <c r="X74" s="572">
        <f>IF(M74="","",R74)</f>
        <v>4.7412121930234123</v>
      </c>
      <c r="Y74" s="573">
        <f t="shared" si="255"/>
        <v>-1.1186852804601963</v>
      </c>
      <c r="Z74" s="575">
        <f t="shared" si="530"/>
        <v>-0.13188907511856623</v>
      </c>
      <c r="AA74" s="572">
        <f t="shared" si="531"/>
        <v>0.96678633895088661</v>
      </c>
      <c r="AB74" s="572">
        <f t="shared" si="532"/>
        <v>-0.21892794860937828</v>
      </c>
      <c r="AC74" s="579">
        <f>IF(M74="","",SQRT(Z74^2+AA74^2+AB74^2))</f>
        <v>1</v>
      </c>
      <c r="AD74" s="580">
        <f>IF(M74="","",Z74*(1/SQRT(Z74^2+AA74^2+AB74^2)))</f>
        <v>-0.13188907511856623</v>
      </c>
      <c r="AE74" s="572">
        <f>IF(M74="","",AA74*(1/SQRT(Z74^2+AA74^2+AB74^2)))</f>
        <v>0.96678633895088661</v>
      </c>
      <c r="AF74" s="576">
        <f>IF(M74="","",AB74*(1/SQRT(Z74^2+AA74^2+AB74^2)))</f>
        <v>-0.21892794860937828</v>
      </c>
      <c r="AG74" s="545">
        <f>IF(M74="","",DEGREES(ATAN2(-AF74,AE74)))</f>
        <v>77.240611536494242</v>
      </c>
      <c r="AH74" s="546">
        <f>IF(M74="","",DEGREES(ACOS(AD74)))</f>
        <v>97.578768404502398</v>
      </c>
      <c r="AI74" s="528">
        <f>IF(M74="","",DEGREES(-ACOS(-AF74)))</f>
        <v>-77.353925929778541</v>
      </c>
      <c r="AJ74" s="529">
        <f>IF(M74="","",DEGREES(ATAN2(-AE74,AD74)))</f>
        <v>-172.23165874652915</v>
      </c>
      <c r="AK74" s="578">
        <f>IF(M74="","",(COS(RADIANS((90-$Q$8)-W74))*AD74)+(-SIN(RADIANS((90-$Q$8)-W74))*AE74))</f>
        <v>0.91493680605790639</v>
      </c>
      <c r="AL74" s="572">
        <f>IF(M74="","",(SIN(RADIANS((90-$Q$8)-W74))*AD74)+(COS(RADIANS((90-$Q$8)-W74))*AE74))</f>
        <v>-0.33905927835445893</v>
      </c>
      <c r="AM74" s="577">
        <f>IF(M74="","",AF74)</f>
        <v>-0.21892794860937828</v>
      </c>
      <c r="AN74" s="524">
        <f>IF(M74="","",DEGREES(ATAN2(-AM74,AL74)))</f>
        <v>-57.149982620263913</v>
      </c>
      <c r="AO74" s="525">
        <f t="shared" si="525"/>
        <v>23.803245732477407</v>
      </c>
      <c r="AP74" s="528">
        <f>IF(M74="","",DEGREES(ATAN2(AK74,AL74)))</f>
        <v>-20.333808104480187</v>
      </c>
      <c r="AQ74" s="529">
        <f t="shared" si="533"/>
        <v>0.96157375024750891</v>
      </c>
      <c r="AS74" s="932">
        <f t="shared" si="461"/>
        <v>118.53504020382201</v>
      </c>
      <c r="AT74" s="928">
        <f t="shared" si="534"/>
        <v>-0.78704186159572331</v>
      </c>
      <c r="AU74" s="418"/>
      <c r="AV74" s="164" t="str">
        <f t="shared" si="535"/>
        <v/>
      </c>
      <c r="AW74" s="797" t="str">
        <f>IFERROR(INDEX(MassProp!C$9:C$150,MATCH($M74,MassProp!$B$9:$B$150,0)),"")</f>
        <v/>
      </c>
      <c r="AX74" s="744" t="str">
        <f>IFERROR(INDEX(MassProp!D$9:D$150,MATCH($M74,MassProp!$B$9:$B$150,0)),"")</f>
        <v/>
      </c>
      <c r="AY74" s="731" t="str">
        <f>IFERROR(INDEX(MassProp!E$9:E$150,MATCH($M74,MassProp!$B$9:$B$150,0)),"")</f>
        <v/>
      </c>
      <c r="AZ74" s="297" t="str">
        <f t="shared" si="144"/>
        <v/>
      </c>
      <c r="BA74" s="296" t="str">
        <f t="shared" si="536"/>
        <v/>
      </c>
      <c r="BB74" s="177" t="str">
        <f t="shared" ref="BB74:BB150" si="610">IF(ISNUMBER($AV74),$AX74-($AT74+$AS$5),"")</f>
        <v/>
      </c>
      <c r="BC74" s="9"/>
      <c r="BD74" s="5" t="str">
        <f t="shared" ref="BD74:BD129" si="611">IF(ISNUMBER(AV74),AW74,"")</f>
        <v/>
      </c>
      <c r="BE74" s="6" t="str">
        <f t="shared" si="537"/>
        <v/>
      </c>
      <c r="BF74" s="4" t="str">
        <f t="shared" si="538"/>
        <v/>
      </c>
      <c r="BG74" s="5" t="str">
        <f t="shared" si="539"/>
        <v/>
      </c>
      <c r="BH74" s="10" t="str">
        <f t="shared" si="540"/>
        <v/>
      </c>
      <c r="BI74" s="9" t="str">
        <f t="shared" si="147"/>
        <v/>
      </c>
      <c r="BJ74" s="5" t="str">
        <f t="shared" si="541"/>
        <v/>
      </c>
      <c r="BK74" s="8" t="str">
        <f t="shared" si="542"/>
        <v/>
      </c>
      <c r="BL74" s="173" t="str">
        <f t="shared" si="543"/>
        <v/>
      </c>
      <c r="BM74" s="5" t="str">
        <f t="shared" si="544"/>
        <v/>
      </c>
      <c r="BN74" s="6" t="str">
        <f t="shared" si="545"/>
        <v/>
      </c>
      <c r="BO74" s="4" t="str">
        <f t="shared" si="148"/>
        <v/>
      </c>
      <c r="BP74" s="5" t="str">
        <f t="shared" si="239"/>
        <v/>
      </c>
      <c r="BQ74" s="5" t="str">
        <f t="shared" si="149"/>
        <v/>
      </c>
      <c r="BR74" s="6" t="str">
        <f t="shared" si="150"/>
        <v/>
      </c>
      <c r="BS74" s="4" t="str">
        <f t="shared" ref="BS74:BT105" si="612">IF(ISNUMBER($AV74),0,"")</f>
        <v/>
      </c>
      <c r="BT74" s="5" t="str">
        <f t="shared" si="612"/>
        <v/>
      </c>
      <c r="BU74" s="10" t="str">
        <f t="shared" ref="BU74:BU150" si="613">IF(ISNUMBER($AV74),$BE74,"")</f>
        <v/>
      </c>
      <c r="BV74" s="9" t="str">
        <f t="shared" ref="BV74:BV150" si="614">IF(ISNUMBER($AV74),0,"")</f>
        <v/>
      </c>
      <c r="BW74" s="5" t="str">
        <f t="shared" ref="BW74:BW150" si="615">IF(ISNUMBER($AV74),1,"")</f>
        <v/>
      </c>
      <c r="BX74" s="8" t="str">
        <f t="shared" ref="BX74:BX150" si="616">IF(ISNUMBER($AV74),$BE74,"")</f>
        <v/>
      </c>
      <c r="BY74" s="173" t="str">
        <f t="shared" ref="BY74:BY150" si="617">IF(ISNUMBER($AV74),1,"")</f>
        <v/>
      </c>
      <c r="BZ74" s="5" t="str">
        <f t="shared" ref="BZ74:BZ150" si="618">IF(ISNUMBER($AV74),0,"")</f>
        <v/>
      </c>
      <c r="CA74" s="6" t="str">
        <f t="shared" ref="CA74:CA150" si="619">IF(ISNUMBER($AV74),$BE74,"")</f>
        <v/>
      </c>
      <c r="CB74" s="4" t="str">
        <f t="shared" si="151"/>
        <v/>
      </c>
      <c r="CC74" s="5" t="str">
        <f t="shared" si="152"/>
        <v/>
      </c>
      <c r="CD74" s="5" t="str">
        <f t="shared" si="153"/>
        <v/>
      </c>
      <c r="CE74" s="6" t="str">
        <f t="shared" si="154"/>
        <v/>
      </c>
      <c r="CF74" s="4" t="str">
        <f t="shared" si="155"/>
        <v/>
      </c>
      <c r="CG74" s="5" t="str">
        <f t="shared" si="156"/>
        <v/>
      </c>
      <c r="CH74" s="5" t="str">
        <f t="shared" si="157"/>
        <v/>
      </c>
      <c r="CI74" s="4" t="str">
        <f t="shared" ref="CI74:CI150" si="620">IF(ISNUMBER($AV74),0,"")</f>
        <v/>
      </c>
      <c r="CJ74" s="5" t="str">
        <f t="shared" ref="CJ74:CJ129" si="621">IF(ISNUMBER($AV74),(CD74*BR74-BQ74*CE74)/(BQ74*CC74-CD74*BP74),"")</f>
        <v/>
      </c>
      <c r="CK74" s="8" t="str">
        <f t="shared" ref="CK74:CK129" si="622">IF(ISNUMBER($AV74),(CC74*BR74-BP74*CE74)/(-CC74*BQ74+BP74*CD74),"")</f>
        <v/>
      </c>
      <c r="CL74" s="173" t="str">
        <f t="shared" ref="CL74:CL129" si="623">IF(ISNUMBER($AV74),CI74+CF74,"")</f>
        <v/>
      </c>
      <c r="CM74" s="5" t="str">
        <f t="shared" ref="CM74:CM129" si="624">IF(ISNUMBER($AV74),CJ74+CG74,"")</f>
        <v/>
      </c>
      <c r="CN74" s="6" t="str">
        <f t="shared" ref="CN74:CN129" si="625">IF(ISNUMBER($AV74),CK74+CH74,"")</f>
        <v/>
      </c>
      <c r="CO74" s="167" t="str">
        <f t="shared" si="546"/>
        <v/>
      </c>
      <c r="CP74" s="4" t="str">
        <f t="shared" si="240"/>
        <v/>
      </c>
      <c r="CQ74" s="5" t="str">
        <f t="shared" si="241"/>
        <v/>
      </c>
      <c r="CR74" s="5" t="str">
        <f t="shared" si="158"/>
        <v/>
      </c>
      <c r="CS74" s="8" t="str">
        <f t="shared" si="159"/>
        <v/>
      </c>
      <c r="CT74" s="9" t="str">
        <f t="shared" si="160"/>
        <v/>
      </c>
      <c r="CU74" s="6" t="str">
        <f t="shared" si="161"/>
        <v/>
      </c>
      <c r="CV74" s="4" t="str">
        <f t="shared" si="242"/>
        <v/>
      </c>
      <c r="CW74" s="5" t="str">
        <f t="shared" si="162"/>
        <v/>
      </c>
      <c r="CX74" s="8" t="str">
        <f t="shared" si="163"/>
        <v/>
      </c>
      <c r="CY74" s="9" t="str">
        <f t="shared" si="164"/>
        <v/>
      </c>
      <c r="CZ74" s="5" t="str">
        <f t="shared" si="165"/>
        <v/>
      </c>
      <c r="DA74" s="6" t="str">
        <f t="shared" si="166"/>
        <v/>
      </c>
      <c r="DB74" s="4" t="str">
        <f t="shared" si="484"/>
        <v/>
      </c>
      <c r="DC74" s="5" t="str">
        <f t="shared" si="484"/>
        <v/>
      </c>
      <c r="DD74" s="10" t="str">
        <f t="shared" si="168"/>
        <v/>
      </c>
      <c r="DE74" s="9" t="str">
        <f t="shared" si="485"/>
        <v/>
      </c>
      <c r="DF74" s="5" t="str">
        <f t="shared" si="485"/>
        <v/>
      </c>
      <c r="DG74" s="10" t="str">
        <f t="shared" si="170"/>
        <v/>
      </c>
      <c r="DH74" s="70" t="str">
        <f t="shared" si="171"/>
        <v/>
      </c>
      <c r="DI74" s="4" t="str">
        <f t="shared" si="172"/>
        <v/>
      </c>
      <c r="DJ74" s="5" t="str">
        <f t="shared" si="173"/>
        <v/>
      </c>
      <c r="DK74" s="10" t="str">
        <f t="shared" si="174"/>
        <v/>
      </c>
      <c r="DL74" s="9" t="str">
        <f t="shared" si="175"/>
        <v/>
      </c>
      <c r="DM74" s="173" t="str">
        <f t="shared" si="176"/>
        <v/>
      </c>
      <c r="DN74" s="178" t="str">
        <f t="shared" si="177"/>
        <v/>
      </c>
      <c r="DO74" s="9" t="str">
        <f t="shared" si="178"/>
        <v/>
      </c>
      <c r="DP74" s="173" t="str">
        <f t="shared" si="179"/>
        <v/>
      </c>
      <c r="DQ74" s="11" t="str">
        <f t="shared" si="180"/>
        <v/>
      </c>
      <c r="DR74" s="173" t="str">
        <f t="shared" si="181"/>
        <v/>
      </c>
      <c r="DS74" s="5" t="str">
        <f t="shared" si="182"/>
        <v/>
      </c>
      <c r="DT74" s="5" t="str">
        <f t="shared" si="183"/>
        <v/>
      </c>
      <c r="DU74" s="5" t="str">
        <f t="shared" si="184"/>
        <v/>
      </c>
      <c r="DV74" s="5" t="str">
        <f t="shared" si="185"/>
        <v/>
      </c>
      <c r="DW74" s="5" t="str">
        <f t="shared" si="186"/>
        <v/>
      </c>
      <c r="DX74" s="167" t="str">
        <f t="shared" si="187"/>
        <v/>
      </c>
      <c r="DY74" s="9" t="str">
        <f t="shared" si="188"/>
        <v/>
      </c>
      <c r="DZ74" s="5" t="str">
        <f t="shared" si="189"/>
        <v/>
      </c>
      <c r="EA74" s="10" t="str">
        <f t="shared" si="190"/>
        <v/>
      </c>
      <c r="EB74" s="6" t="str">
        <f t="shared" si="191"/>
        <v/>
      </c>
      <c r="EC74" s="173" t="str">
        <f t="shared" si="192"/>
        <v/>
      </c>
      <c r="ED74" s="5" t="str">
        <f t="shared" si="193"/>
        <v/>
      </c>
      <c r="EE74" s="4" t="str">
        <f t="shared" si="194"/>
        <v/>
      </c>
      <c r="EF74" s="5" t="str">
        <f t="shared" si="195"/>
        <v/>
      </c>
      <c r="EG74" s="10" t="str">
        <f t="shared" si="196"/>
        <v/>
      </c>
      <c r="EH74" s="9" t="str">
        <f t="shared" si="197"/>
        <v/>
      </c>
      <c r="EI74" s="5" t="str">
        <f t="shared" si="198"/>
        <v/>
      </c>
      <c r="EJ74" s="6" t="str">
        <f t="shared" si="199"/>
        <v/>
      </c>
      <c r="EK74" s="236" t="str">
        <f t="shared" si="200"/>
        <v/>
      </c>
      <c r="EL74" s="238" t="str">
        <f t="shared" si="201"/>
        <v/>
      </c>
      <c r="EM74" s="4" t="str">
        <f t="shared" si="202"/>
        <v/>
      </c>
      <c r="EN74" s="5" t="str">
        <f t="shared" si="203"/>
        <v/>
      </c>
      <c r="EO74" s="10" t="str">
        <f t="shared" si="204"/>
        <v/>
      </c>
      <c r="EP74" s="9" t="str">
        <f t="shared" si="205"/>
        <v/>
      </c>
      <c r="EQ74" s="5" t="str">
        <f t="shared" si="206"/>
        <v/>
      </c>
      <c r="ER74" s="7" t="str">
        <f t="shared" si="207"/>
        <v/>
      </c>
      <c r="ES74" s="21" t="str">
        <f t="shared" si="547"/>
        <v/>
      </c>
      <c r="ET74" s="5" t="str">
        <f t="shared" si="548"/>
        <v/>
      </c>
      <c r="EU74" s="10" t="str">
        <f t="shared" si="549"/>
        <v/>
      </c>
      <c r="EV74" s="174" t="str">
        <f t="shared" si="550"/>
        <v/>
      </c>
      <c r="EW74" s="9" t="str">
        <f t="shared" si="551"/>
        <v/>
      </c>
      <c r="EX74" s="5" t="str">
        <f t="shared" si="552"/>
        <v/>
      </c>
      <c r="EY74" s="6" t="str">
        <f t="shared" si="208"/>
        <v/>
      </c>
      <c r="EZ74" s="51" t="str">
        <f t="shared" si="209"/>
        <v/>
      </c>
      <c r="FA74" s="173" t="str">
        <f t="shared" si="553"/>
        <v/>
      </c>
      <c r="FB74" s="5" t="str">
        <f t="shared" si="554"/>
        <v/>
      </c>
      <c r="FC74" s="6" t="str">
        <f t="shared" si="555"/>
        <v/>
      </c>
      <c r="FD74" s="4" t="str">
        <f t="shared" si="556"/>
        <v/>
      </c>
      <c r="FE74" s="5" t="str">
        <f t="shared" si="557"/>
        <v/>
      </c>
      <c r="FF74" s="7" t="str">
        <f t="shared" si="210"/>
        <v/>
      </c>
      <c r="FG74" s="173" t="str">
        <f t="shared" si="558"/>
        <v/>
      </c>
      <c r="FH74" s="5" t="str">
        <f t="shared" si="559"/>
        <v/>
      </c>
      <c r="FI74" s="10" t="str">
        <f t="shared" si="560"/>
        <v/>
      </c>
      <c r="FJ74" s="279" t="str">
        <f t="shared" si="212"/>
        <v/>
      </c>
      <c r="FK74" s="4" t="str">
        <f t="shared" si="561"/>
        <v/>
      </c>
      <c r="FL74" s="5" t="str">
        <f t="shared" ref="FL74:FL129" si="626">IF(ISNUMBER($AV74),SQRT(FA74^2+FB74^2),"")</f>
        <v/>
      </c>
      <c r="FM74" s="8" t="str">
        <f t="shared" ref="FM74:FM129" si="627">IF(ISNUMBER($AV74),SQRT(FG74^2+FH74^2),"")</f>
        <v/>
      </c>
      <c r="FN74" s="9" t="str">
        <f t="shared" ref="FN74:FN129" si="628">IF(ISNUMBER($AV74),DEGREES(ACOS((FK74^2+FL74^2-FM74^2)/(2*FK74*FL74))),"")</f>
        <v/>
      </c>
      <c r="FO74" s="10" t="str">
        <f t="shared" si="562"/>
        <v/>
      </c>
      <c r="FP74" s="277" t="str">
        <f t="shared" ref="FP74:FP129" si="629">IF(ISNUMBER($AV74),FN74*FO74,"")</f>
        <v/>
      </c>
      <c r="FQ74" s="173" t="str">
        <f t="shared" si="243"/>
        <v/>
      </c>
      <c r="FR74" s="10" t="str">
        <f t="shared" si="216"/>
        <v/>
      </c>
      <c r="FS74" s="9" t="str">
        <f t="shared" si="217"/>
        <v/>
      </c>
      <c r="FT74" s="6" t="str">
        <f t="shared" si="218"/>
        <v/>
      </c>
      <c r="FU74" s="4" t="str">
        <f t="shared" si="219"/>
        <v/>
      </c>
      <c r="FV74" s="5" t="str">
        <f t="shared" si="220"/>
        <v/>
      </c>
      <c r="FW74" s="8" t="str">
        <f t="shared" si="244"/>
        <v/>
      </c>
      <c r="FX74" s="9" t="str">
        <f t="shared" si="245"/>
        <v/>
      </c>
      <c r="FY74" s="10" t="str">
        <f t="shared" si="563"/>
        <v/>
      </c>
      <c r="FZ74" s="277" t="str">
        <f t="shared" si="246"/>
        <v/>
      </c>
      <c r="GA74" s="177" t="str">
        <f t="shared" si="221"/>
        <v/>
      </c>
      <c r="GB74" s="4" t="str">
        <f t="shared" si="222"/>
        <v/>
      </c>
      <c r="GC74" s="5" t="str">
        <f t="shared" si="223"/>
        <v/>
      </c>
      <c r="GD74" s="10" t="str">
        <f t="shared" si="224"/>
        <v/>
      </c>
      <c r="GE74" s="311" t="str">
        <f t="shared" si="225"/>
        <v/>
      </c>
      <c r="GF74" s="341" t="str">
        <f t="shared" si="247"/>
        <v/>
      </c>
      <c r="GG74" s="285" t="str">
        <f t="shared" si="564"/>
        <v/>
      </c>
      <c r="GH74" s="286" t="str">
        <f t="shared" si="565"/>
        <v/>
      </c>
      <c r="GI74" s="281" t="str">
        <f t="shared" si="566"/>
        <v/>
      </c>
      <c r="GJ74" s="167" t="str">
        <f t="shared" si="226"/>
        <v/>
      </c>
      <c r="GK74" s="174" t="str">
        <f t="shared" si="567"/>
        <v/>
      </c>
      <c r="GL74" s="174" t="str">
        <f t="shared" si="227"/>
        <v/>
      </c>
      <c r="GM74" s="177" t="str">
        <f t="shared" si="248"/>
        <v/>
      </c>
      <c r="GN74" s="280" t="str">
        <f t="shared" si="228"/>
        <v/>
      </c>
      <c r="GO74" s="4" t="str">
        <f t="shared" si="229"/>
        <v/>
      </c>
      <c r="GP74" s="8" t="str">
        <f t="shared" si="249"/>
        <v/>
      </c>
      <c r="GQ74" s="177" t="str">
        <f t="shared" si="230"/>
        <v/>
      </c>
      <c r="GR74" s="371" t="str">
        <f t="shared" si="250"/>
        <v/>
      </c>
      <c r="GS74" s="342" t="str">
        <f t="shared" si="568"/>
        <v/>
      </c>
      <c r="GT74" s="343" t="str">
        <f t="shared" si="569"/>
        <v/>
      </c>
      <c r="GU74" s="344" t="str">
        <f t="shared" si="570"/>
        <v/>
      </c>
      <c r="GV74" s="343" t="str">
        <f t="shared" si="252"/>
        <v/>
      </c>
      <c r="GW74" s="345" t="str">
        <f t="shared" si="571"/>
        <v/>
      </c>
      <c r="GX74" s="346" t="str">
        <f t="shared" si="572"/>
        <v/>
      </c>
      <c r="GY74" s="344" t="str">
        <f t="shared" si="573"/>
        <v/>
      </c>
      <c r="GZ74" s="345" t="str">
        <f t="shared" si="574"/>
        <v/>
      </c>
      <c r="HA74" s="342" t="str">
        <f t="shared" si="575"/>
        <v/>
      </c>
      <c r="HB74" s="5" t="str">
        <f t="shared" si="231"/>
        <v/>
      </c>
      <c r="HC74" s="343" t="str">
        <f t="shared" si="232"/>
        <v/>
      </c>
      <c r="HD74" s="363" t="str">
        <f t="shared" si="233"/>
        <v/>
      </c>
      <c r="HE74" s="344" t="str">
        <f t="shared" si="576"/>
        <v/>
      </c>
      <c r="HF74" s="5" t="str">
        <f t="shared" si="577"/>
        <v/>
      </c>
      <c r="HG74" s="343" t="str">
        <f t="shared" si="234"/>
        <v/>
      </c>
      <c r="HH74" s="349" t="str">
        <f t="shared" si="235"/>
        <v/>
      </c>
      <c r="HI74" s="317" t="str">
        <f t="shared" si="578"/>
        <v/>
      </c>
      <c r="HK74" s="310" t="str">
        <f t="shared" ref="HK74:HK105" si="630">IF(ISNUMBER(HS74),HK73+1,"")</f>
        <v/>
      </c>
      <c r="HL74" s="348" t="str">
        <f t="shared" si="579"/>
        <v/>
      </c>
      <c r="HM74" s="909" t="str">
        <f t="shared" si="580"/>
        <v/>
      </c>
      <c r="HN74" s="910" t="str">
        <f t="shared" si="581"/>
        <v/>
      </c>
      <c r="HO74" s="911"/>
      <c r="HP74" s="912"/>
      <c r="HQ74" s="910" t="str">
        <f t="shared" si="582"/>
        <v/>
      </c>
      <c r="HR74" s="913" t="str">
        <f t="shared" si="583"/>
        <v/>
      </c>
      <c r="HS74" s="865" t="str">
        <f t="shared" ref="HS74:HS105" si="631">IFERROR(SMALL($GJ$9:$GJ$150,($HK73+1)),"")</f>
        <v/>
      </c>
      <c r="HT74" s="875" t="str">
        <f t="shared" si="584"/>
        <v/>
      </c>
      <c r="HU74" s="876" t="str">
        <f t="shared" si="585"/>
        <v/>
      </c>
      <c r="HV74" s="872" t="str">
        <f t="shared" si="586"/>
        <v/>
      </c>
      <c r="HW74" s="866" t="str">
        <f t="shared" si="587"/>
        <v/>
      </c>
      <c r="HX74" s="867" t="str">
        <f t="shared" si="588"/>
        <v/>
      </c>
      <c r="HY74" s="866" t="str">
        <f t="shared" si="589"/>
        <v/>
      </c>
      <c r="HZ74" s="868" t="str">
        <f t="shared" si="590"/>
        <v/>
      </c>
      <c r="IA74" s="869" t="str">
        <f t="shared" si="591"/>
        <v/>
      </c>
      <c r="IB74" s="870" t="str">
        <f t="shared" si="592"/>
        <v/>
      </c>
      <c r="IC74" s="841" t="str">
        <f t="shared" si="593"/>
        <v/>
      </c>
      <c r="ID74" s="351" t="str">
        <f t="shared" si="594"/>
        <v/>
      </c>
      <c r="IE74" s="843" t="str">
        <f t="shared" si="595"/>
        <v/>
      </c>
      <c r="IF74" s="844"/>
      <c r="IG74" s="790" t="str">
        <f>IFERROR(IF($IW74="","",IF($IW74&lt;(((Settings!$C$19/2)*-1)*$IG$8),"Taper","Nose")),"")</f>
        <v/>
      </c>
      <c r="IH74" s="482" t="str">
        <f>IFERROR(IF((((($IY74*COS(RADIANS(180-$JA74)))*COS(RADIANS($JA74)))-(($IZ74*SIN(RADIANS(180-$JA74)))*SIN(RADIANS($JA74))))+$IW74)&lt;(((Settings!$C$19+$IH$8)/2)*-1),"Gage",""),"")</f>
        <v/>
      </c>
      <c r="II74" s="788">
        <f t="shared" si="236"/>
        <v>5.1310000000000002</v>
      </c>
      <c r="IJ74" s="674" t="str" cm="1">
        <f t="array" ref="IJ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K74" s="677" t="str" cm="1">
        <f t="array" ref="IK74">IFERROR(ROUND(VALUE(IF($IJ74&lt;1,$IJ74+LARGE((IF($M$9:$M$150="",0,$M$9:$M$150)-MOD(IF($M$9:$M$150="",0,$M$9:$M$150),1)),1),$IJ74)),4),"")</f>
        <v/>
      </c>
      <c r="IL74" s="482">
        <f t="shared" si="596"/>
        <v>1613</v>
      </c>
      <c r="IM74" s="482" t="str">
        <f t="shared" si="237"/>
        <v/>
      </c>
      <c r="IN74" s="670" t="str">
        <f t="shared" si="597"/>
        <v/>
      </c>
      <c r="IO74" s="702"/>
      <c r="IP74" s="5" t="str">
        <f t="shared" si="598"/>
        <v/>
      </c>
      <c r="IQ74" s="714"/>
      <c r="IR74" s="9" t="str">
        <f t="shared" si="599"/>
        <v/>
      </c>
      <c r="IS74" s="5" t="str">
        <f t="shared" si="600"/>
        <v/>
      </c>
      <c r="IT74" s="5" t="str">
        <f t="shared" si="601"/>
        <v/>
      </c>
      <c r="IU74" s="5" t="str">
        <f t="shared" si="602"/>
        <v/>
      </c>
      <c r="IV74" s="670" t="str">
        <f t="shared" si="603"/>
        <v/>
      </c>
      <c r="IW74" s="9" t="str">
        <f t="shared" si="604"/>
        <v/>
      </c>
      <c r="IX74" s="5" t="str">
        <f t="shared" si="605"/>
        <v/>
      </c>
      <c r="IY74" s="5" t="str">
        <f t="shared" si="606"/>
        <v/>
      </c>
      <c r="IZ74" s="5" t="str">
        <f t="shared" si="607"/>
        <v/>
      </c>
      <c r="JA74" s="705" t="str">
        <f t="shared" si="608"/>
        <v/>
      </c>
    </row>
    <row r="75" spans="1:261" ht="15" customHeight="1" x14ac:dyDescent="0.25">
      <c r="A75" s="75">
        <f t="shared" si="256"/>
        <v>0.02</v>
      </c>
      <c r="B75" s="578">
        <f t="shared" si="515"/>
        <v>-4.4259169683982016</v>
      </c>
      <c r="C75" s="572">
        <f t="shared" si="516"/>
        <v>-2.3254879791312497</v>
      </c>
      <c r="D75" s="576">
        <f t="shared" si="517"/>
        <v>-1.8396121131321506</v>
      </c>
      <c r="E75" s="580">
        <f t="shared" si="518"/>
        <v>1.1564149540854851E-2</v>
      </c>
      <c r="F75" s="572">
        <f t="shared" si="519"/>
        <v>-0.99329221137281176</v>
      </c>
      <c r="G75" s="579">
        <f t="shared" si="520"/>
        <v>0.11505152442061059</v>
      </c>
      <c r="H75" s="580">
        <f t="shared" si="521"/>
        <v>0.3125</v>
      </c>
      <c r="I75" s="572">
        <f t="shared" si="522"/>
        <v>0.52</v>
      </c>
      <c r="J75" s="483">
        <f t="shared" si="523"/>
        <v>5.1369999999999996</v>
      </c>
      <c r="K75" s="806">
        <f t="shared" si="524"/>
        <v>1613</v>
      </c>
      <c r="L75" s="309"/>
      <c r="M75" s="164">
        <f t="shared" si="526"/>
        <v>5.1369999999999996</v>
      </c>
      <c r="N75" s="575">
        <f t="shared" si="527"/>
        <v>-4.4259169683982016</v>
      </c>
      <c r="O75" s="572">
        <f t="shared" si="528"/>
        <v>-2.3254879791312497</v>
      </c>
      <c r="P75" s="576">
        <f t="shared" si="529"/>
        <v>-1.8396121131321506</v>
      </c>
      <c r="Q75" s="528">
        <f t="shared" si="609"/>
        <v>207.71856434528394</v>
      </c>
      <c r="R75" s="572">
        <f>IF(M75="","",SQRT(N75^2+O75^2))</f>
        <v>4.9996635239022913</v>
      </c>
      <c r="S75" s="577">
        <f>IF(M75="","",P75)</f>
        <v>-1.8396121131321506</v>
      </c>
      <c r="T75" s="578">
        <f>IF(M75="","",X75*COS(RADIANS(W75)))</f>
        <v>-2.3588607304397757</v>
      </c>
      <c r="U75" s="572">
        <f>IF(M75="","",X75*SIN(RADIANS(W75)))</f>
        <v>4.4082208890467598</v>
      </c>
      <c r="V75" s="579">
        <f>IF(M75="","",Y75)</f>
        <v>-1.8396121131321506</v>
      </c>
      <c r="W75" s="528">
        <f t="shared" si="253"/>
        <v>118.15145519115492</v>
      </c>
      <c r="X75" s="572">
        <f>IF(M75="","",R75)</f>
        <v>4.9996635239022913</v>
      </c>
      <c r="Y75" s="573">
        <f t="shared" si="255"/>
        <v>-1.8396121131321506</v>
      </c>
      <c r="Z75" s="575">
        <f t="shared" si="530"/>
        <v>-1.1564149540854851E-2</v>
      </c>
      <c r="AA75" s="572">
        <f t="shared" si="531"/>
        <v>0.99329221137281176</v>
      </c>
      <c r="AB75" s="572">
        <f t="shared" si="532"/>
        <v>-0.11505152442061059</v>
      </c>
      <c r="AC75" s="579">
        <f>IF(M75="","",SQRT(Z75^2+AA75^2+AB75^2))</f>
        <v>1</v>
      </c>
      <c r="AD75" s="580">
        <f>IF(M75="","",Z75*(1/SQRT(Z75^2+AA75^2+AB75^2)))</f>
        <v>-1.1564149540854851E-2</v>
      </c>
      <c r="AE75" s="572">
        <f>IF(M75="","",AA75*(1/SQRT(Z75^2+AA75^2+AB75^2)))</f>
        <v>0.99329221137281176</v>
      </c>
      <c r="AF75" s="576">
        <f>IF(M75="","",AB75*(1/SQRT(Z75^2+AA75^2+AB75^2)))</f>
        <v>-0.11505152442061059</v>
      </c>
      <c r="AG75" s="545">
        <f>IF(M75="","",DEGREES(ATAN2(-AF75,AE75)))</f>
        <v>83.392959332156309</v>
      </c>
      <c r="AH75" s="546">
        <f>IF(M75="","",DEGREES(ACOS(AD75)))</f>
        <v>90.662591730924916</v>
      </c>
      <c r="AI75" s="528">
        <f>IF(M75="","",DEGREES(-ACOS(-AF75)))</f>
        <v>-83.393403093744979</v>
      </c>
      <c r="AJ75" s="529">
        <f>IF(M75="","",DEGREES(ATAN2(-AE75,AD75)))</f>
        <v>-179.33297873317977</v>
      </c>
      <c r="AK75" s="578">
        <f>IF(M75="","",(COS(RADIANS((90-$Q$8)-W75))*AD75)+(-SIN(RADIANS((90-$Q$8)-W75))*AE75))</f>
        <v>0.88468376371587143</v>
      </c>
      <c r="AL75" s="572">
        <f>IF(M75="","",(SIN(RADIANS((90-$Q$8)-W75))*AD75)+(COS(RADIANS((90-$Q$8)-W75))*AE75))</f>
        <v>-0.45177182841121682</v>
      </c>
      <c r="AM75" s="577">
        <f>IF(M75="","",AF75)</f>
        <v>-0.11505152442061059</v>
      </c>
      <c r="AN75" s="524">
        <f>IF(M75="","",DEGREES(ATAN2(-AM75,AL75)))</f>
        <v>-75.712346529077777</v>
      </c>
      <c r="AO75" s="525">
        <f t="shared" si="525"/>
        <v>27.787369752383814</v>
      </c>
      <c r="AP75" s="528">
        <f>IF(M75="","",DEGREES(ATAN2(AK75,AL75)))</f>
        <v>-27.051543078463716</v>
      </c>
      <c r="AQ75" s="529">
        <f t="shared" si="533"/>
        <v>0.9118750240831005</v>
      </c>
      <c r="AS75" s="932">
        <f t="shared" ref="AS75:AS106" si="632">IF(G75="","",IF(AND(W75&lt;(AS74+180),W75&gt;(AS74-180)),W75,IF(W75&gt;(AS74+180),W75-360,IF(W75&lt;(AS74-180),W75+360,"Error"))))</f>
        <v>118.15145519115492</v>
      </c>
      <c r="AT75" s="928">
        <f t="shared" si="534"/>
        <v>-1.5074359373056399</v>
      </c>
      <c r="AU75" s="418"/>
      <c r="AV75" s="164" t="str">
        <f t="shared" si="535"/>
        <v/>
      </c>
      <c r="AW75" s="797" t="str">
        <f>IFERROR(INDEX(MassProp!C$9:C$150,MATCH($M75,MassProp!$B$9:$B$150,0)),"")</f>
        <v/>
      </c>
      <c r="AX75" s="744" t="str">
        <f>IFERROR(INDEX(MassProp!D$9:D$150,MATCH($M75,MassProp!$B$9:$B$150,0)),"")</f>
        <v/>
      </c>
      <c r="AY75" s="731" t="str">
        <f>IFERROR(INDEX(MassProp!E$9:E$150,MATCH($M75,MassProp!$B$9:$B$150,0)),"")</f>
        <v/>
      </c>
      <c r="AZ75" s="297" t="str">
        <f t="shared" ref="AZ75:AZ129" si="633">IF(ISNUMBER(AV75),$AY75*SQRT((2*PI()*$AW75)^2+$AS$5^2),"")</f>
        <v/>
      </c>
      <c r="BA75" s="296" t="str">
        <f t="shared" si="536"/>
        <v/>
      </c>
      <c r="BB75" s="177" t="str">
        <f t="shared" si="610"/>
        <v/>
      </c>
      <c r="BC75" s="9"/>
      <c r="BD75" s="5" t="str">
        <f t="shared" si="611"/>
        <v/>
      </c>
      <c r="BE75" s="6" t="str">
        <f t="shared" si="537"/>
        <v/>
      </c>
      <c r="BF75" s="4" t="str">
        <f t="shared" si="538"/>
        <v/>
      </c>
      <c r="BG75" s="5" t="str">
        <f t="shared" si="539"/>
        <v/>
      </c>
      <c r="BH75" s="10" t="str">
        <f t="shared" si="540"/>
        <v/>
      </c>
      <c r="BI75" s="9" t="str">
        <f t="shared" ref="BI75:BI129" si="634">IF(ISNUMBER($AV75),BF75+0,"")</f>
        <v/>
      </c>
      <c r="BJ75" s="5" t="str">
        <f t="shared" si="541"/>
        <v/>
      </c>
      <c r="BK75" s="8" t="str">
        <f t="shared" si="542"/>
        <v/>
      </c>
      <c r="BL75" s="173" t="str">
        <f t="shared" si="543"/>
        <v/>
      </c>
      <c r="BM75" s="5" t="str">
        <f t="shared" si="544"/>
        <v/>
      </c>
      <c r="BN75" s="6" t="str">
        <f t="shared" si="545"/>
        <v/>
      </c>
      <c r="BO75" s="4" t="str">
        <f t="shared" ref="BO75:BO129" si="635">IF(ISNUMBER($AV75),BJ75*BN75-BM75*BK75-BG75*(BN75-BK75)+BH75*(BM75-BJ75),"")</f>
        <v/>
      </c>
      <c r="BP75" s="5" t="str">
        <f t="shared" si="239"/>
        <v/>
      </c>
      <c r="BQ75" s="5" t="str">
        <f t="shared" ref="BQ75:BQ129" si="636">IF(ISNUMBER($AV75),BF75*(BJ75-BM75)-BG75*(BI75-BL75)+(BI75*BM75-BL75*BJ75),"")</f>
        <v/>
      </c>
      <c r="BR75" s="6" t="str">
        <f t="shared" ref="BR75:BR129" si="637">IF(ISNUMBER($AV75),-(BF75*(BJ75*BN75-BM75*BK75)-BG75*(BI75*BN75-BL75*BK75)+BH75*(BI75*BM75-BL75*BJ75)),"")</f>
        <v/>
      </c>
      <c r="BS75" s="4" t="str">
        <f t="shared" si="612"/>
        <v/>
      </c>
      <c r="BT75" s="5" t="str">
        <f t="shared" si="612"/>
        <v/>
      </c>
      <c r="BU75" s="10" t="str">
        <f t="shared" si="613"/>
        <v/>
      </c>
      <c r="BV75" s="9" t="str">
        <f t="shared" si="614"/>
        <v/>
      </c>
      <c r="BW75" s="5" t="str">
        <f t="shared" si="615"/>
        <v/>
      </c>
      <c r="BX75" s="8" t="str">
        <f t="shared" si="616"/>
        <v/>
      </c>
      <c r="BY75" s="173" t="str">
        <f t="shared" si="617"/>
        <v/>
      </c>
      <c r="BZ75" s="5" t="str">
        <f t="shared" si="618"/>
        <v/>
      </c>
      <c r="CA75" s="6" t="str">
        <f t="shared" si="619"/>
        <v/>
      </c>
      <c r="CB75" s="4" t="str">
        <f t="shared" ref="CB75:CB129" si="638">IF(ISNUMBER($AV75),BW75*CA75-BZ75*BX75-BT75*(CA75-BX75)+BU75*(BZ75-BW75),"")</f>
        <v/>
      </c>
      <c r="CC75" s="5" t="str">
        <f t="shared" ref="CC75:CC129" si="639">IF(ISNUMBER($AV75),BS75*(CA75-BX75)-(BV75*CA75-BY75*BX75)+BU75*(BV75-BY75),"")</f>
        <v/>
      </c>
      <c r="CD75" s="5" t="str">
        <f t="shared" ref="CD75:CD129" si="640">IF(ISNUMBER($AV75),BS75*(BW75-BZ75)-BT75*(BV75-BY75)+(BV75*BZ75-BY75*BW75),"")</f>
        <v/>
      </c>
      <c r="CE75" s="6" t="str">
        <f t="shared" ref="CE75:CE129" si="641">IF(ISNUMBER($AV75),-(BS75*(BW75*CA75-BZ75*BX75)-BT75*(BV75*CA75-BY75*BX75)+BU75*(BV75*BZ75-BY75*BW75)),"")</f>
        <v/>
      </c>
      <c r="CF75" s="4" t="str">
        <f t="shared" ref="CF75:CF129" si="642">IF(ISNUMBER($AV75),(BP75*CD75)-(BQ75*CC75),"")</f>
        <v/>
      </c>
      <c r="CG75" s="5" t="str">
        <f t="shared" ref="CG75:CG129" si="643">IF(ISNUMBER($AV75),(BQ75*CB75)-(BO75*CD75),"")</f>
        <v/>
      </c>
      <c r="CH75" s="5" t="str">
        <f t="shared" ref="CH75:CH129" si="644">IF(ISNUMBER($AV75),(BO75*CC75)-(BP75*CB75),"")</f>
        <v/>
      </c>
      <c r="CI75" s="4" t="str">
        <f t="shared" si="620"/>
        <v/>
      </c>
      <c r="CJ75" s="5" t="str">
        <f t="shared" si="621"/>
        <v/>
      </c>
      <c r="CK75" s="8" t="str">
        <f t="shared" si="622"/>
        <v/>
      </c>
      <c r="CL75" s="173" t="str">
        <f t="shared" si="623"/>
        <v/>
      </c>
      <c r="CM75" s="5" t="str">
        <f t="shared" si="624"/>
        <v/>
      </c>
      <c r="CN75" s="6" t="str">
        <f t="shared" si="625"/>
        <v/>
      </c>
      <c r="CO75" s="167" t="str">
        <f t="shared" si="546"/>
        <v/>
      </c>
      <c r="CP75" s="4" t="str">
        <f t="shared" ref="CP75:CP129" si="645">IF(ISNUMBER($AV75),(CL75-CI75)^2+(CM75-CJ75)^2+(CN75-CK75)^2,"")</f>
        <v/>
      </c>
      <c r="CQ75" s="5" t="str">
        <f t="shared" ref="CQ75:CQ129" si="646">IF(ISNUMBER($AV75),2*((CL75-CI75)*(CI75-BF75)+(CM75-CJ75)*(CJ75-BG75)+(CN75-CK75)*(CK75-BH75)),"")</f>
        <v/>
      </c>
      <c r="CR75" s="5" t="str">
        <f t="shared" ref="CR75:CR129" si="647">IF(ISNUMBER($AV75),BF75^2+BG75^2+BH75^2+CI75^2+CJ75^2+CK75^2-2*(BF75*CI75+BG75*CJ75+BH75*CK75)-CO75^2,"")</f>
        <v/>
      </c>
      <c r="CS75" s="8" t="str">
        <f t="shared" ref="CS75:CS129" si="648">IF(ISNUMBER($AV75),CQ75^2-(4*CP75*CR75),"")</f>
        <v/>
      </c>
      <c r="CT75" s="9" t="str">
        <f t="shared" ref="CT75:CT129" si="649">IF(ISNUMBER($AV75),(-CQ75+SQRT(CS75))/(CP75*2),"")</f>
        <v/>
      </c>
      <c r="CU75" s="6" t="str">
        <f t="shared" ref="CU75:CU129" si="650">IF(ISNUMBER($AV75),(-CQ75-SQRT(CS75))/(CP75*2),"")</f>
        <v/>
      </c>
      <c r="CV75" s="4" t="str">
        <f t="shared" ref="CV75:CV129" si="651">IF(ISNUMBER($AV75),CI75+($CT75*(CL75-CI75)),"")</f>
        <v/>
      </c>
      <c r="CW75" s="5" t="str">
        <f t="shared" ref="CW75:CW129" si="652">IF(ISNUMBER($AV75),CJ75+($CT75*(CM75-CJ75)),"")</f>
        <v/>
      </c>
      <c r="CX75" s="8" t="str">
        <f t="shared" ref="CX75:CX129" si="653">IF(ISNUMBER($AV75),CK75+($CT75*(CN75-CK75)),"")</f>
        <v/>
      </c>
      <c r="CY75" s="9" t="str">
        <f t="shared" ref="CY75:CY129" si="654">IF(ISNUMBER($AV75),CI75+($CU75*(CL75-CI75)),"")</f>
        <v/>
      </c>
      <c r="CZ75" s="5" t="str">
        <f t="shared" ref="CZ75:CZ129" si="655">IF(ISNUMBER($AV75),CJ75+($CU75*(CM75-CJ75)),"")</f>
        <v/>
      </c>
      <c r="DA75" s="6" t="str">
        <f t="shared" ref="DA75:DA129" si="656">IF(ISNUMBER($AV75),CK75+($CU75*(CN75-CK75)),"")</f>
        <v/>
      </c>
      <c r="DB75" s="4" t="str">
        <f t="shared" ref="DB75:DC106" si="657">IF(ISNUMBER($AV75),0,"")</f>
        <v/>
      </c>
      <c r="DC75" s="5" t="str">
        <f t="shared" si="657"/>
        <v/>
      </c>
      <c r="DD75" s="10" t="str">
        <f t="shared" ref="DD75:DD150" si="658">IF(ISNUMBER($AV75),-10,"")</f>
        <v/>
      </c>
      <c r="DE75" s="9" t="str">
        <f t="shared" ref="DE75:DF106" si="659">IF(ISNUMBER($AV75),0,"")</f>
        <v/>
      </c>
      <c r="DF75" s="5" t="str">
        <f t="shared" si="659"/>
        <v/>
      </c>
      <c r="DG75" s="10" t="str">
        <f t="shared" ref="DG75:DG150" si="660">IF(ISNUMBER($AV75),10,"")</f>
        <v/>
      </c>
      <c r="DH75" s="70" t="str">
        <f t="shared" ref="DH75:DH129" si="661">IF(ISNUMBER($AV75),BD75,"")</f>
        <v/>
      </c>
      <c r="DI75" s="4" t="str">
        <f t="shared" ref="DI75:DI129" si="662">IF(ISNUMBER($AV75),DE75-DB75,"")</f>
        <v/>
      </c>
      <c r="DJ75" s="5" t="str">
        <f t="shared" ref="DJ75:DJ129" si="663">IF(ISNUMBER($AV75),DF75-DC75,"")</f>
        <v/>
      </c>
      <c r="DK75" s="10" t="str">
        <f t="shared" ref="DK75:DK129" si="664">IF(ISNUMBER($AV75),DG75-DD75,"")</f>
        <v/>
      </c>
      <c r="DL75" s="9" t="str">
        <f t="shared" ref="DL75:DL129" si="665">IF(ISNUMBER($AV75),CV75-DB75,"")</f>
        <v/>
      </c>
      <c r="DM75" s="173" t="str">
        <f t="shared" ref="DM75:DM129" si="666">IF(ISNUMBER($AV75),CW75-DC75,"")</f>
        <v/>
      </c>
      <c r="DN75" s="178" t="str">
        <f t="shared" ref="DN75:DN129" si="667">IF(ISNUMBER($AV75),CX75-DD75,"")</f>
        <v/>
      </c>
      <c r="DO75" s="9" t="str">
        <f t="shared" ref="DO75:DO129" si="668">IF(ISNUMBER($AV75),CY75-CV75,"")</f>
        <v/>
      </c>
      <c r="DP75" s="173" t="str">
        <f t="shared" ref="DP75:DP129" si="669">IF(ISNUMBER($AV75),CZ75-CW75,"")</f>
        <v/>
      </c>
      <c r="DQ75" s="11" t="str">
        <f t="shared" ref="DQ75:DQ129" si="670">IF(ISNUMBER($AV75),DA75-CX75,"")</f>
        <v/>
      </c>
      <c r="DR75" s="173" t="str">
        <f t="shared" ref="DR75:DR129" si="671">IF(ISNUMBER($AV75),SUMPRODUCT(DI75:DK75,DL75:DN75),"")</f>
        <v/>
      </c>
      <c r="DS75" s="5" t="str">
        <f t="shared" ref="DS75:DS129" si="672">IF(ISNUMBER($AV75),SUMPRODUCT(DO75:DQ75,DI75:DK75),"")</f>
        <v/>
      </c>
      <c r="DT75" s="5" t="str">
        <f t="shared" ref="DT75:DT129" si="673">IF(ISNUMBER($AV75),SUMPRODUCT(DI75:DK75,DI75:DK75),"")</f>
        <v/>
      </c>
      <c r="DU75" s="5" t="str">
        <f t="shared" ref="DU75:DU129" si="674">IF(ISNUMBER($AV75),SUMPRODUCT(DO75:DQ75,DO75:DQ75),"")</f>
        <v/>
      </c>
      <c r="DV75" s="5" t="str">
        <f t="shared" ref="DV75:DV129" si="675">IF(ISNUMBER($AV75),SUMPRODUCT(DL75:DN75,DO75:DQ75),"")</f>
        <v/>
      </c>
      <c r="DW75" s="5" t="str">
        <f t="shared" ref="DW75:DW129" si="676">IF(ISNUMBER($AV75),SUMPRODUCT(DL75:DN75,DL75:DN75),"")</f>
        <v/>
      </c>
      <c r="DX75" s="167" t="str">
        <f t="shared" ref="DX75:DX129" si="677">IF(ISNUMBER($AV75),DW75-DH75*DH75,"")</f>
        <v/>
      </c>
      <c r="DY75" s="9" t="str">
        <f t="shared" ref="DY75:DY129" si="678">IF(ISNUMBER($AV75),DT75*DU75-DS75*DS75,"")</f>
        <v/>
      </c>
      <c r="DZ75" s="5" t="str">
        <f t="shared" ref="DZ75:DZ129" si="679">IF(ISNUMBER($AV75),DT75*DV75-DS75*DR75,"")</f>
        <v/>
      </c>
      <c r="EA75" s="10" t="str">
        <f t="shared" ref="EA75:EA129" si="680">IF(ISNUMBER($AV75),DT75*DX75-DR75*DR75,"")</f>
        <v/>
      </c>
      <c r="EB75" s="6" t="str">
        <f t="shared" ref="EB75:EB129" si="681">IF(ISNUMBER($AV75),DZ75*DZ75-DY75*EA75,"")</f>
        <v/>
      </c>
      <c r="EC75" s="173" t="str">
        <f t="shared" ref="EC75:EC129" si="682">IF(ISNUMBER($AV75),(-DZ75+SQRT(DZ75^2-DY75*EA75))/DY75,"")</f>
        <v/>
      </c>
      <c r="ED75" s="5" t="str">
        <f t="shared" ref="ED75:ED129" si="683">IF(ISNUMBER($AV75),(-DZ75-SQRT(DZ75^2-DY75*EA75))/DY75,"")</f>
        <v/>
      </c>
      <c r="EE75" s="4" t="str">
        <f t="shared" ref="EE75:EE129" si="684">IF(ISNUMBER($AV75),CV75+DO75*$EC75,"")</f>
        <v/>
      </c>
      <c r="EF75" s="5" t="str">
        <f t="shared" ref="EF75:EF129" si="685">IF(ISNUMBER($AV75),CW75+DP75*$EC75,"")</f>
        <v/>
      </c>
      <c r="EG75" s="10" t="str">
        <f t="shared" ref="EG75:EG129" si="686">IF(ISNUMBER($AV75),CX75+DQ75*$EC75,"")</f>
        <v/>
      </c>
      <c r="EH75" s="9" t="str">
        <f t="shared" ref="EH75:EH129" si="687">IF(ISNUMBER($AV75),CV75+DO75*$ED75,"")</f>
        <v/>
      </c>
      <c r="EI75" s="5" t="str">
        <f t="shared" ref="EI75:EI129" si="688">IF(ISNUMBER($AV75),CW75+DP75*$ED75,"")</f>
        <v/>
      </c>
      <c r="EJ75" s="6" t="str">
        <f t="shared" ref="EJ75:EJ129" si="689">IF(ISNUMBER($AV75),CX75+DQ75*$ED75,"")</f>
        <v/>
      </c>
      <c r="EK75" s="236" t="str">
        <f t="shared" ref="EK75:EK150" si="690">IF(ISNUMBER($AV75),IF(OR($EC75&lt;0,$EC75&gt;1),FALSE,TRUE),"")</f>
        <v/>
      </c>
      <c r="EL75" s="238" t="str">
        <f t="shared" ref="EL75:EL150" si="691">IF(ISNUMBER($AV75),IF(OR($ED75&lt;0,$ED75&gt;1),FALSE,TRUE),"")</f>
        <v/>
      </c>
      <c r="EM75" s="4" t="str">
        <f t="shared" ref="EM75:EM129" si="692">IF(ISNUMBER($AV75),IF($EK75=TRUE,EE75,IF($EL75=TRUE,EH75,"")),"")</f>
        <v/>
      </c>
      <c r="EN75" s="5" t="str">
        <f t="shared" ref="EN75:EN129" si="693">IF(ISNUMBER($AV75),IF($EK75=TRUE,EF75,IF($EL75=TRUE,EI75,"")),"")</f>
        <v/>
      </c>
      <c r="EO75" s="10" t="str">
        <f t="shared" ref="EO75:EO129" si="694">IF(ISNUMBER($AV75),IF($EK75=TRUE,EG75,IF($EL75=TRUE,EJ75,"")),"")</f>
        <v/>
      </c>
      <c r="EP75" s="9" t="str">
        <f t="shared" ref="EP75:EP129" si="695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96">IF(ISNUMBER($AV75),SQRT(EM75^2+EN75^2),"")</f>
        <v/>
      </c>
      <c r="ER75" s="7" t="str">
        <f t="shared" ref="ER75:ER129" si="697">IF(ISNUMBER($AV75),EO75,"")</f>
        <v/>
      </c>
      <c r="ES75" s="21" t="str">
        <f t="shared" si="547"/>
        <v/>
      </c>
      <c r="ET75" s="5" t="str">
        <f t="shared" si="548"/>
        <v/>
      </c>
      <c r="EU75" s="10" t="str">
        <f t="shared" si="549"/>
        <v/>
      </c>
      <c r="EV75" s="174" t="str">
        <f t="shared" si="550"/>
        <v/>
      </c>
      <c r="EW75" s="9" t="str">
        <f t="shared" si="551"/>
        <v/>
      </c>
      <c r="EX75" s="5" t="str">
        <f t="shared" si="552"/>
        <v/>
      </c>
      <c r="EY75" s="6" t="str">
        <f t="shared" ref="EY75:EY129" si="698">IF(ISNUMBER($AV75),EU75,"")</f>
        <v/>
      </c>
      <c r="EZ75" s="51" t="str">
        <f t="shared" ref="EZ75:EZ150" si="699">IF(ISNUMBER($AV75),DEGREES(ATAN($AS$5/($EQ75*2*PI()))),"")</f>
        <v/>
      </c>
      <c r="FA75" s="173" t="str">
        <f t="shared" si="553"/>
        <v/>
      </c>
      <c r="FB75" s="5" t="str">
        <f t="shared" si="554"/>
        <v/>
      </c>
      <c r="FC75" s="6" t="str">
        <f t="shared" si="555"/>
        <v/>
      </c>
      <c r="FD75" s="4" t="str">
        <f t="shared" si="556"/>
        <v/>
      </c>
      <c r="FE75" s="5" t="str">
        <f t="shared" si="557"/>
        <v/>
      </c>
      <c r="FF75" s="7" t="str">
        <f t="shared" ref="FF75:FF129" si="700">IF(ISNUMBER($AV75),FC75,"")</f>
        <v/>
      </c>
      <c r="FG75" s="173" t="str">
        <f t="shared" si="558"/>
        <v/>
      </c>
      <c r="FH75" s="5" t="str">
        <f t="shared" si="559"/>
        <v/>
      </c>
      <c r="FI75" s="10" t="str">
        <f t="shared" si="560"/>
        <v/>
      </c>
      <c r="FJ75" s="279" t="str">
        <f t="shared" ref="FJ75:FJ129" si="701">IF(ISNUMBER($AV75),DEGREES(ACOS((2-SQRT((FG75)^2+(FH75)^2+(FI75)^2)^2)/2)),"")</f>
        <v/>
      </c>
      <c r="FK75" s="4" t="str">
        <f t="shared" si="561"/>
        <v/>
      </c>
      <c r="FL75" s="5" t="str">
        <f t="shared" si="626"/>
        <v/>
      </c>
      <c r="FM75" s="8" t="str">
        <f t="shared" si="627"/>
        <v/>
      </c>
      <c r="FN75" s="9" t="str">
        <f t="shared" si="628"/>
        <v/>
      </c>
      <c r="FO75" s="10" t="str">
        <f t="shared" si="562"/>
        <v/>
      </c>
      <c r="FP75" s="277" t="str">
        <f t="shared" si="629"/>
        <v/>
      </c>
      <c r="FQ75" s="173" t="str">
        <f t="shared" ref="FQ75:FQ129" si="702">IF(ISNUMBER($AV75),SIN(RADIANS(FN75)),"")</f>
        <v/>
      </c>
      <c r="FR75" s="10" t="str">
        <f t="shared" ref="FR75:FR129" si="703">IF(ISNUMBER($AV75),COS(RADIANS(FN75)),"")</f>
        <v/>
      </c>
      <c r="FS75" s="9" t="str">
        <f t="shared" ref="FS75:FS129" si="704">IF(ISNUMBER($AV75),FQ75/(FQ75+FR75),"")</f>
        <v/>
      </c>
      <c r="FT75" s="6" t="str">
        <f t="shared" ref="FT75:FT129" si="705">IF(ISNUMBER($AV75),FR75/(FQ75+FR75),"")</f>
        <v/>
      </c>
      <c r="FU75" s="4" t="str">
        <f t="shared" ref="FU75:FU129" si="706">IF(ISNUMBER($AV75),SQRT(EW75^2+EY75^2),"")</f>
        <v/>
      </c>
      <c r="FV75" s="5" t="str">
        <f t="shared" ref="FV75:FV129" si="707">IF(ISNUMBER($AV75),SQRT(FD75^2+FF75^2),"")</f>
        <v/>
      </c>
      <c r="FW75" s="8" t="str">
        <f t="shared" ref="FW75:FW129" si="708">IF(ISNUMBER($AV75),SQRT(FG75^2+FI75^2),"")</f>
        <v/>
      </c>
      <c r="FX75" s="9" t="str">
        <f t="shared" ref="FX75:FX129" si="709">IF(ISNUMBER($AV75),DEGREES(ACOS((FU75^2+FV75^2-FW75^2)/(2*FU75*FV75))),"")</f>
        <v/>
      </c>
      <c r="FY75" s="10" t="str">
        <f t="shared" si="563"/>
        <v/>
      </c>
      <c r="FZ75" s="277" t="str">
        <f t="shared" ref="FZ75:FZ129" si="710">IF(ISNUMBER($AV75),FX75*FY75,"")</f>
        <v/>
      </c>
      <c r="GA75" s="177" t="str">
        <f t="shared" ref="GA75:GA129" si="711">IF(ISNUMBER($AV75),DEGREES(FZ75*SIN(RADIANS(FU75))),"")</f>
        <v/>
      </c>
      <c r="GB75" s="4" t="str">
        <f t="shared" ref="GB75:GB129" si="712">IF(ISNUMBER($AV75),COS(RADIANS(FP75+90))*COS(RADIANS(FZ75)),"")</f>
        <v/>
      </c>
      <c r="GC75" s="5" t="str">
        <f t="shared" ref="GC75:GC129" si="713">IF(ISNUMBER($AV75),SIN(RADIANS(FP75+90))*COS(RADIANS(FZ75)),"")</f>
        <v/>
      </c>
      <c r="GD75" s="10" t="str">
        <f t="shared" ref="GD75:GD129" si="714">IF(ISNUMBER($AV75),-SIN(RADIANS(FZ75)),"")</f>
        <v/>
      </c>
      <c r="GE75" s="311" t="str">
        <f t="shared" ref="GE75:GE129" si="715">IF(ISNUMBER($AV75),SUM(ABS(GB75),ABS(GC75),ABS(GD75)),"")</f>
        <v/>
      </c>
      <c r="GF75" s="341" t="str">
        <f t="shared" ref="GF75:GF129" si="716">IF(ISNUMBER($AV75),1/GE75,"")</f>
        <v/>
      </c>
      <c r="GG75" s="285" t="str">
        <f t="shared" si="564"/>
        <v/>
      </c>
      <c r="GH75" s="286" t="str">
        <f t="shared" si="565"/>
        <v/>
      </c>
      <c r="GI75" s="281" t="str">
        <f t="shared" si="566"/>
        <v/>
      </c>
      <c r="GJ75" s="167" t="str">
        <f t="shared" ref="GJ75:GJ129" si="717">IF(ISNUMBER($AV75),AW75,"")</f>
        <v/>
      </c>
      <c r="GK75" s="174" t="str">
        <f t="shared" si="567"/>
        <v/>
      </c>
      <c r="GL75" s="174" t="str">
        <f t="shared" ref="GL75:GL129" si="718">IF(ISNUMBER($AV75),AY75,"")</f>
        <v/>
      </c>
      <c r="GM75" s="177" t="str">
        <f t="shared" ref="GM75:GM129" si="719">IF(ISNUMBER($AV75),AZ75,"")</f>
        <v/>
      </c>
      <c r="GN75" s="280" t="str">
        <f t="shared" ref="GN75:GN129" si="720">IF(ISNUMBER($AV75),BA75,"")</f>
        <v/>
      </c>
      <c r="GO75" s="4" t="str">
        <f t="shared" ref="GO75:GO129" si="721">IF(ISNUMBER($AV75),FP75,"")</f>
        <v/>
      </c>
      <c r="GP75" s="8" t="str">
        <f t="shared" ref="GP75:GP129" si="722">IF(ISNUMBER($AV75),FZ75,"")</f>
        <v/>
      </c>
      <c r="GQ75" s="177" t="str">
        <f t="shared" ref="GQ75:GQ129" si="723">IF(ISNUMBER($AV75),FJ75,"")</f>
        <v/>
      </c>
      <c r="GR75" s="371" t="str">
        <f t="shared" ref="GR75:GR129" si="724">IF(ISNUMBER($AV75),GS75+GU75+GY75,"")</f>
        <v/>
      </c>
      <c r="GS75" s="342" t="str">
        <f t="shared" si="568"/>
        <v/>
      </c>
      <c r="GT75" s="343" t="str">
        <f t="shared" si="569"/>
        <v/>
      </c>
      <c r="GU75" s="344" t="str">
        <f t="shared" si="570"/>
        <v/>
      </c>
      <c r="GV75" s="343" t="str">
        <f t="shared" ref="GV75:GV129" si="725">IF(ISNUMBER($AV75),GW75*$GL75,"")</f>
        <v/>
      </c>
      <c r="GW75" s="345" t="str">
        <f t="shared" si="571"/>
        <v/>
      </c>
      <c r="GX75" s="346" t="str">
        <f t="shared" si="572"/>
        <v/>
      </c>
      <c r="GY75" s="344" t="str">
        <f t="shared" si="573"/>
        <v/>
      </c>
      <c r="GZ75" s="345" t="str">
        <f t="shared" si="574"/>
        <v/>
      </c>
      <c r="HA75" s="342" t="str">
        <f t="shared" si="575"/>
        <v/>
      </c>
      <c r="HB75" s="5" t="str">
        <f t="shared" ref="HB75:HB150" si="726">IF(ISNUMBER($AV75),$EV75,"")</f>
        <v/>
      </c>
      <c r="HC75" s="343" t="str">
        <f t="shared" ref="HC75:HC129" si="727">IF(ISNUMBER($AV75),HA75*COS(RADIANS(HB75)),"")</f>
        <v/>
      </c>
      <c r="HD75" s="363" t="str">
        <f t="shared" ref="HD75:HD129" si="728">IF(ISNUMBER($AV75),HA75*SIN(RADIANS(HB75)),"")</f>
        <v/>
      </c>
      <c r="HE75" s="344" t="str">
        <f t="shared" si="576"/>
        <v/>
      </c>
      <c r="HF75" s="5" t="str">
        <f t="shared" si="577"/>
        <v/>
      </c>
      <c r="HG75" s="343" t="str">
        <f t="shared" ref="HG75:HG129" si="729">IF(ISNUMBER($AV75),HE75*COS(RADIANS(HF75)),"")</f>
        <v/>
      </c>
      <c r="HH75" s="349" t="str">
        <f t="shared" ref="HH75:HH129" si="730">IF(ISNUMBER($AV75),HE75*SIN(RADIANS(HF75)),"")</f>
        <v/>
      </c>
      <c r="HI75" s="317" t="str">
        <f t="shared" si="578"/>
        <v/>
      </c>
      <c r="HK75" s="310" t="str">
        <f t="shared" si="630"/>
        <v/>
      </c>
      <c r="HL75" s="348" t="str">
        <f t="shared" si="579"/>
        <v/>
      </c>
      <c r="HM75" s="909" t="str">
        <f t="shared" si="580"/>
        <v/>
      </c>
      <c r="HN75" s="910" t="str">
        <f t="shared" si="581"/>
        <v/>
      </c>
      <c r="HO75" s="911"/>
      <c r="HP75" s="912"/>
      <c r="HQ75" s="910" t="str">
        <f t="shared" si="582"/>
        <v/>
      </c>
      <c r="HR75" s="913" t="str">
        <f t="shared" si="583"/>
        <v/>
      </c>
      <c r="HS75" s="865" t="str">
        <f t="shared" si="631"/>
        <v/>
      </c>
      <c r="HT75" s="875" t="str">
        <f t="shared" si="584"/>
        <v/>
      </c>
      <c r="HU75" s="876" t="str">
        <f t="shared" si="585"/>
        <v/>
      </c>
      <c r="HV75" s="872" t="str">
        <f t="shared" si="586"/>
        <v/>
      </c>
      <c r="HW75" s="866" t="str">
        <f t="shared" si="587"/>
        <v/>
      </c>
      <c r="HX75" s="867" t="str">
        <f t="shared" si="588"/>
        <v/>
      </c>
      <c r="HY75" s="866" t="str">
        <f t="shared" si="589"/>
        <v/>
      </c>
      <c r="HZ75" s="868" t="str">
        <f t="shared" si="590"/>
        <v/>
      </c>
      <c r="IA75" s="869" t="str">
        <f t="shared" si="591"/>
        <v/>
      </c>
      <c r="IB75" s="870" t="str">
        <f t="shared" si="592"/>
        <v/>
      </c>
      <c r="IC75" s="841" t="str">
        <f t="shared" si="593"/>
        <v/>
      </c>
      <c r="ID75" s="351" t="str">
        <f t="shared" si="594"/>
        <v/>
      </c>
      <c r="IE75" s="843" t="str">
        <f t="shared" si="595"/>
        <v/>
      </c>
      <c r="IF75" s="844"/>
      <c r="IG75" s="790" t="str">
        <f>IFERROR(IF($IW75="","",IF($IW75&lt;(((Settings!$C$19/2)*-1)*$IG$8),"Taper","Nose")),"")</f>
        <v/>
      </c>
      <c r="IH75" s="482" t="str">
        <f>IFERROR(IF((((($IY75*COS(RADIANS(180-$JA75)))*COS(RADIANS($JA75)))-(($IZ75*SIN(RADIANS(180-$JA75)))*SIN(RADIANS($JA75))))+$IW75)&lt;(((Settings!$C$19+$IH$8)/2)*-1),"Gage",""),"")</f>
        <v/>
      </c>
      <c r="II75" s="788">
        <f t="shared" ref="II75:II138" si="731">$M75</f>
        <v>5.1369999999999996</v>
      </c>
      <c r="IJ75" s="674" t="str" cm="1">
        <f t="array" ref="IJ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K75" s="677" t="str" cm="1">
        <f t="array" ref="IK75">IFERROR(ROUND(VALUE(IF($IJ75&lt;1,$IJ75+LARGE((IF($M$9:$M$150="",0,$M$9:$M$150)-MOD(IF($M$9:$M$150="",0,$M$9:$M$150),1)),1),$IJ75)),4),"")</f>
        <v/>
      </c>
      <c r="IL75" s="482">
        <f t="shared" si="596"/>
        <v>1613</v>
      </c>
      <c r="IM75" s="482" t="str">
        <f t="shared" ref="IM75:IM138" si="732">IF(ISNUMBER($IK75),INDEX($K$9:$K$150,MATCH($II75,$M$9:$M$150,0)),"")</f>
        <v/>
      </c>
      <c r="IN75" s="670" t="str">
        <f t="shared" si="597"/>
        <v/>
      </c>
      <c r="IO75" s="702"/>
      <c r="IP75" s="5" t="str">
        <f t="shared" si="598"/>
        <v/>
      </c>
      <c r="IQ75" s="714"/>
      <c r="IR75" s="9" t="str">
        <f t="shared" si="599"/>
        <v/>
      </c>
      <c r="IS75" s="5" t="str">
        <f t="shared" si="600"/>
        <v/>
      </c>
      <c r="IT75" s="5" t="str">
        <f t="shared" si="601"/>
        <v/>
      </c>
      <c r="IU75" s="5" t="str">
        <f t="shared" si="602"/>
        <v/>
      </c>
      <c r="IV75" s="670" t="str">
        <f t="shared" si="603"/>
        <v/>
      </c>
      <c r="IW75" s="9" t="str">
        <f t="shared" si="604"/>
        <v/>
      </c>
      <c r="IX75" s="5" t="str">
        <f t="shared" si="605"/>
        <v/>
      </c>
      <c r="IY75" s="5" t="str">
        <f t="shared" si="606"/>
        <v/>
      </c>
      <c r="IZ75" s="5" t="str">
        <f t="shared" si="607"/>
        <v/>
      </c>
      <c r="JA75" s="705" t="str">
        <f t="shared" si="608"/>
        <v/>
      </c>
    </row>
    <row r="76" spans="1:261" ht="15" customHeight="1" x14ac:dyDescent="0.25">
      <c r="A76" s="75">
        <f t="shared" si="256"/>
        <v>0.02</v>
      </c>
      <c r="B76" s="578">
        <f t="shared" si="515"/>
        <v>-4.4517532842501044</v>
      </c>
      <c r="C76" s="572">
        <f t="shared" si="516"/>
        <v>-2.3350936968583142</v>
      </c>
      <c r="D76" s="576">
        <f t="shared" si="517"/>
        <v>-2.5995867293624815</v>
      </c>
      <c r="E76" s="580">
        <f t="shared" si="518"/>
        <v>-3.5047308895518089E-2</v>
      </c>
      <c r="F76" s="572">
        <f t="shared" si="519"/>
        <v>-0.99843620164383573</v>
      </c>
      <c r="G76" s="579">
        <f t="shared" si="520"/>
        <v>4.3552696658323176E-2</v>
      </c>
      <c r="H76" s="580">
        <f t="shared" si="521"/>
        <v>0.3125</v>
      </c>
      <c r="I76" s="572">
        <f t="shared" si="522"/>
        <v>0.52</v>
      </c>
      <c r="J76" s="483">
        <f t="shared" si="523"/>
        <v>5.1429999999999998</v>
      </c>
      <c r="K76" s="806">
        <f t="shared" si="524"/>
        <v>1613</v>
      </c>
      <c r="L76" s="309"/>
      <c r="M76" s="164">
        <f t="shared" si="526"/>
        <v>5.1429999999999998</v>
      </c>
      <c r="N76" s="575">
        <f t="shared" si="527"/>
        <v>-4.4517532842501044</v>
      </c>
      <c r="O76" s="572">
        <f t="shared" si="528"/>
        <v>-2.3350936968583142</v>
      </c>
      <c r="P76" s="576">
        <f t="shared" si="529"/>
        <v>-2.5995867293624815</v>
      </c>
      <c r="Q76" s="528">
        <f t="shared" si="609"/>
        <v>207.67851519401725</v>
      </c>
      <c r="R76" s="572">
        <f t="shared" si="101"/>
        <v>5.0270040657372679</v>
      </c>
      <c r="S76" s="577">
        <f t="shared" si="102"/>
        <v>-2.5995867293624815</v>
      </c>
      <c r="T76" s="578">
        <f t="shared" si="103"/>
        <v>-2.3686613750866332</v>
      </c>
      <c r="U76" s="572">
        <f t="shared" si="104"/>
        <v>4.4339838934204217</v>
      </c>
      <c r="V76" s="579">
        <f t="shared" si="141"/>
        <v>-2.5995867293624815</v>
      </c>
      <c r="W76" s="528">
        <f t="shared" si="253"/>
        <v>118.11140603988824</v>
      </c>
      <c r="X76" s="572">
        <f t="shared" si="105"/>
        <v>5.0270040657372679</v>
      </c>
      <c r="Y76" s="573">
        <f t="shared" ref="Y76:Y129" si="733">IF(M76="","",S76)</f>
        <v>-2.5995867293624815</v>
      </c>
      <c r="Z76" s="575">
        <f t="shared" si="530"/>
        <v>3.5047308895518089E-2</v>
      </c>
      <c r="AA76" s="572">
        <f t="shared" si="531"/>
        <v>0.99843620164383573</v>
      </c>
      <c r="AB76" s="572">
        <f t="shared" si="532"/>
        <v>-4.3552696658323176E-2</v>
      </c>
      <c r="AC76" s="579">
        <f t="shared" si="106"/>
        <v>1</v>
      </c>
      <c r="AD76" s="580">
        <f t="shared" si="142"/>
        <v>3.5047308895518089E-2</v>
      </c>
      <c r="AE76" s="572">
        <f t="shared" si="107"/>
        <v>0.99843620164383573</v>
      </c>
      <c r="AF76" s="576">
        <f t="shared" si="108"/>
        <v>-4.3552696658323176E-2</v>
      </c>
      <c r="AG76" s="545">
        <f t="shared" si="109"/>
        <v>87.50228930123923</v>
      </c>
      <c r="AH76" s="546">
        <f t="shared" si="110"/>
        <v>87.991525801024849</v>
      </c>
      <c r="AI76" s="528">
        <f t="shared" si="111"/>
        <v>-87.50382473077525</v>
      </c>
      <c r="AJ76" s="529">
        <f t="shared" si="112"/>
        <v>177.98961742947304</v>
      </c>
      <c r="AK76" s="578">
        <f t="shared" si="238"/>
        <v>0.86790319495166313</v>
      </c>
      <c r="AL76" s="572">
        <f t="shared" si="113"/>
        <v>-0.49482037832579556</v>
      </c>
      <c r="AM76" s="577">
        <f t="shared" si="114"/>
        <v>-4.3552696658323176E-2</v>
      </c>
      <c r="AN76" s="524">
        <f t="shared" si="115"/>
        <v>-84.969949372155952</v>
      </c>
      <c r="AO76" s="525">
        <f t="shared" si="525"/>
        <v>29.784116024848295</v>
      </c>
      <c r="AP76" s="528">
        <f t="shared" si="117"/>
        <v>-29.688897764544208</v>
      </c>
      <c r="AQ76" s="529">
        <f t="shared" si="533"/>
        <v>0.90691640828340947</v>
      </c>
      <c r="AS76" s="932">
        <f t="shared" si="632"/>
        <v>118.11140603988824</v>
      </c>
      <c r="AT76" s="928">
        <f t="shared" si="534"/>
        <v>-2.267354929714767</v>
      </c>
      <c r="AU76" s="418"/>
      <c r="AV76" s="164" t="str">
        <f t="shared" si="535"/>
        <v/>
      </c>
      <c r="AW76" s="797" t="str">
        <f>IFERROR(INDEX(MassProp!C$9:C$150,MATCH($M76,MassProp!$B$9:$B$150,0)),"")</f>
        <v/>
      </c>
      <c r="AX76" s="744" t="str">
        <f>IFERROR(INDEX(MassProp!D$9:D$150,MATCH($M76,MassProp!$B$9:$B$150,0)),"")</f>
        <v/>
      </c>
      <c r="AY76" s="731" t="str">
        <f>IFERROR(INDEX(MassProp!E$9:E$150,MATCH($M76,MassProp!$B$9:$B$150,0)),"")</f>
        <v/>
      </c>
      <c r="AZ76" s="297" t="str">
        <f t="shared" si="633"/>
        <v/>
      </c>
      <c r="BA76" s="296" t="str">
        <f t="shared" si="536"/>
        <v/>
      </c>
      <c r="BB76" s="177" t="str">
        <f t="shared" si="610"/>
        <v/>
      </c>
      <c r="BC76" s="9"/>
      <c r="BD76" s="5" t="str">
        <f t="shared" si="611"/>
        <v/>
      </c>
      <c r="BE76" s="6" t="str">
        <f t="shared" si="537"/>
        <v/>
      </c>
      <c r="BF76" s="4" t="str">
        <f t="shared" si="538"/>
        <v/>
      </c>
      <c r="BG76" s="5" t="str">
        <f t="shared" si="539"/>
        <v/>
      </c>
      <c r="BH76" s="10" t="str">
        <f t="shared" si="540"/>
        <v/>
      </c>
      <c r="BI76" s="9" t="str">
        <f t="shared" si="634"/>
        <v/>
      </c>
      <c r="BJ76" s="5" t="str">
        <f t="shared" si="541"/>
        <v/>
      </c>
      <c r="BK76" s="8" t="str">
        <f t="shared" si="542"/>
        <v/>
      </c>
      <c r="BL76" s="173" t="str">
        <f t="shared" si="543"/>
        <v/>
      </c>
      <c r="BM76" s="5" t="str">
        <f t="shared" si="544"/>
        <v/>
      </c>
      <c r="BN76" s="6" t="str">
        <f t="shared" si="545"/>
        <v/>
      </c>
      <c r="BO76" s="4" t="str">
        <f t="shared" si="635"/>
        <v/>
      </c>
      <c r="BP76" s="5" t="str">
        <f t="shared" ref="BP76:BP139" si="734">IF(IF(ISNUMBER($AV76),BF76*(BN76-BK76)-(BI76*BN76-BL76*BK76)+BH76*(BI76-BL76),"")=0,IF(ISNUMBER($AV76),BF76*(BN76-BK76)-(BI76*BN76-BL76*BK76)+BH76*(BI76-BL76),"")+0.00001,IF(ISNUMBER($AV76),BF76*(BN76-BK76)-(BI76*BN76-BL76*BK76)+BH76*(BI76-BL76),""))</f>
        <v/>
      </c>
      <c r="BQ76" s="5" t="str">
        <f t="shared" si="636"/>
        <v/>
      </c>
      <c r="BR76" s="6" t="str">
        <f t="shared" si="637"/>
        <v/>
      </c>
      <c r="BS76" s="4" t="str">
        <f t="shared" si="612"/>
        <v/>
      </c>
      <c r="BT76" s="5" t="str">
        <f t="shared" si="612"/>
        <v/>
      </c>
      <c r="BU76" s="10" t="str">
        <f t="shared" si="613"/>
        <v/>
      </c>
      <c r="BV76" s="9" t="str">
        <f t="shared" si="614"/>
        <v/>
      </c>
      <c r="BW76" s="5" t="str">
        <f t="shared" si="615"/>
        <v/>
      </c>
      <c r="BX76" s="8" t="str">
        <f t="shared" si="616"/>
        <v/>
      </c>
      <c r="BY76" s="173" t="str">
        <f t="shared" si="617"/>
        <v/>
      </c>
      <c r="BZ76" s="5" t="str">
        <f t="shared" si="618"/>
        <v/>
      </c>
      <c r="CA76" s="6" t="str">
        <f t="shared" si="619"/>
        <v/>
      </c>
      <c r="CB76" s="4" t="str">
        <f t="shared" si="638"/>
        <v/>
      </c>
      <c r="CC76" s="5" t="str">
        <f t="shared" si="639"/>
        <v/>
      </c>
      <c r="CD76" s="5" t="str">
        <f t="shared" si="640"/>
        <v/>
      </c>
      <c r="CE76" s="6" t="str">
        <f t="shared" si="641"/>
        <v/>
      </c>
      <c r="CF76" s="4" t="str">
        <f t="shared" si="642"/>
        <v/>
      </c>
      <c r="CG76" s="5" t="str">
        <f t="shared" si="643"/>
        <v/>
      </c>
      <c r="CH76" s="5" t="str">
        <f t="shared" si="644"/>
        <v/>
      </c>
      <c r="CI76" s="4" t="str">
        <f t="shared" si="620"/>
        <v/>
      </c>
      <c r="CJ76" s="5" t="str">
        <f t="shared" si="621"/>
        <v/>
      </c>
      <c r="CK76" s="8" t="str">
        <f t="shared" si="622"/>
        <v/>
      </c>
      <c r="CL76" s="173" t="str">
        <f t="shared" si="623"/>
        <v/>
      </c>
      <c r="CM76" s="5" t="str">
        <f t="shared" si="624"/>
        <v/>
      </c>
      <c r="CN76" s="6" t="str">
        <f t="shared" si="625"/>
        <v/>
      </c>
      <c r="CO76" s="167" t="str">
        <f t="shared" si="546"/>
        <v/>
      </c>
      <c r="CP76" s="4" t="str">
        <f t="shared" si="645"/>
        <v/>
      </c>
      <c r="CQ76" s="5" t="str">
        <f t="shared" si="646"/>
        <v/>
      </c>
      <c r="CR76" s="5" t="str">
        <f t="shared" si="647"/>
        <v/>
      </c>
      <c r="CS76" s="8" t="str">
        <f t="shared" si="648"/>
        <v/>
      </c>
      <c r="CT76" s="9" t="str">
        <f t="shared" si="649"/>
        <v/>
      </c>
      <c r="CU76" s="6" t="str">
        <f t="shared" si="650"/>
        <v/>
      </c>
      <c r="CV76" s="4" t="str">
        <f t="shared" si="651"/>
        <v/>
      </c>
      <c r="CW76" s="5" t="str">
        <f t="shared" si="652"/>
        <v/>
      </c>
      <c r="CX76" s="8" t="str">
        <f t="shared" si="653"/>
        <v/>
      </c>
      <c r="CY76" s="9" t="str">
        <f t="shared" si="654"/>
        <v/>
      </c>
      <c r="CZ76" s="5" t="str">
        <f t="shared" si="655"/>
        <v/>
      </c>
      <c r="DA76" s="6" t="str">
        <f t="shared" si="656"/>
        <v/>
      </c>
      <c r="DB76" s="4" t="str">
        <f t="shared" si="657"/>
        <v/>
      </c>
      <c r="DC76" s="5" t="str">
        <f t="shared" si="657"/>
        <v/>
      </c>
      <c r="DD76" s="10" t="str">
        <f t="shared" si="658"/>
        <v/>
      </c>
      <c r="DE76" s="9" t="str">
        <f t="shared" si="659"/>
        <v/>
      </c>
      <c r="DF76" s="5" t="str">
        <f t="shared" si="659"/>
        <v/>
      </c>
      <c r="DG76" s="10" t="str">
        <f t="shared" si="660"/>
        <v/>
      </c>
      <c r="DH76" s="70" t="str">
        <f t="shared" si="661"/>
        <v/>
      </c>
      <c r="DI76" s="4" t="str">
        <f t="shared" si="662"/>
        <v/>
      </c>
      <c r="DJ76" s="5" t="str">
        <f t="shared" si="663"/>
        <v/>
      </c>
      <c r="DK76" s="10" t="str">
        <f t="shared" si="664"/>
        <v/>
      </c>
      <c r="DL76" s="9" t="str">
        <f t="shared" si="665"/>
        <v/>
      </c>
      <c r="DM76" s="173" t="str">
        <f t="shared" si="666"/>
        <v/>
      </c>
      <c r="DN76" s="178" t="str">
        <f t="shared" si="667"/>
        <v/>
      </c>
      <c r="DO76" s="9" t="str">
        <f t="shared" si="668"/>
        <v/>
      </c>
      <c r="DP76" s="173" t="str">
        <f t="shared" si="669"/>
        <v/>
      </c>
      <c r="DQ76" s="11" t="str">
        <f t="shared" si="670"/>
        <v/>
      </c>
      <c r="DR76" s="173" t="str">
        <f t="shared" si="671"/>
        <v/>
      </c>
      <c r="DS76" s="5" t="str">
        <f t="shared" si="672"/>
        <v/>
      </c>
      <c r="DT76" s="5" t="str">
        <f t="shared" si="673"/>
        <v/>
      </c>
      <c r="DU76" s="5" t="str">
        <f t="shared" si="674"/>
        <v/>
      </c>
      <c r="DV76" s="5" t="str">
        <f t="shared" si="675"/>
        <v/>
      </c>
      <c r="DW76" s="5" t="str">
        <f t="shared" si="676"/>
        <v/>
      </c>
      <c r="DX76" s="167" t="str">
        <f t="shared" si="677"/>
        <v/>
      </c>
      <c r="DY76" s="9" t="str">
        <f t="shared" si="678"/>
        <v/>
      </c>
      <c r="DZ76" s="5" t="str">
        <f t="shared" si="679"/>
        <v/>
      </c>
      <c r="EA76" s="10" t="str">
        <f t="shared" si="680"/>
        <v/>
      </c>
      <c r="EB76" s="6" t="str">
        <f t="shared" si="681"/>
        <v/>
      </c>
      <c r="EC76" s="173" t="str">
        <f t="shared" si="682"/>
        <v/>
      </c>
      <c r="ED76" s="5" t="str">
        <f t="shared" si="683"/>
        <v/>
      </c>
      <c r="EE76" s="4" t="str">
        <f t="shared" si="684"/>
        <v/>
      </c>
      <c r="EF76" s="5" t="str">
        <f t="shared" si="685"/>
        <v/>
      </c>
      <c r="EG76" s="10" t="str">
        <f t="shared" si="686"/>
        <v/>
      </c>
      <c r="EH76" s="9" t="str">
        <f t="shared" si="687"/>
        <v/>
      </c>
      <c r="EI76" s="5" t="str">
        <f t="shared" si="688"/>
        <v/>
      </c>
      <c r="EJ76" s="6" t="str">
        <f t="shared" si="689"/>
        <v/>
      </c>
      <c r="EK76" s="236" t="str">
        <f t="shared" si="690"/>
        <v/>
      </c>
      <c r="EL76" s="238" t="str">
        <f t="shared" si="691"/>
        <v/>
      </c>
      <c r="EM76" s="4" t="str">
        <f t="shared" si="692"/>
        <v/>
      </c>
      <c r="EN76" s="5" t="str">
        <f t="shared" si="693"/>
        <v/>
      </c>
      <c r="EO76" s="10" t="str">
        <f t="shared" si="694"/>
        <v/>
      </c>
      <c r="EP76" s="9" t="str">
        <f t="shared" si="695"/>
        <v/>
      </c>
      <c r="EQ76" s="5" t="str">
        <f t="shared" si="696"/>
        <v/>
      </c>
      <c r="ER76" s="7" t="str">
        <f t="shared" si="697"/>
        <v/>
      </c>
      <c r="ES76" s="21" t="str">
        <f t="shared" si="547"/>
        <v/>
      </c>
      <c r="ET76" s="5" t="str">
        <f t="shared" si="548"/>
        <v/>
      </c>
      <c r="EU76" s="10" t="str">
        <f t="shared" si="549"/>
        <v/>
      </c>
      <c r="EV76" s="174" t="str">
        <f t="shared" si="550"/>
        <v/>
      </c>
      <c r="EW76" s="9" t="str">
        <f t="shared" si="551"/>
        <v/>
      </c>
      <c r="EX76" s="5" t="str">
        <f t="shared" si="552"/>
        <v/>
      </c>
      <c r="EY76" s="6" t="str">
        <f t="shared" si="698"/>
        <v/>
      </c>
      <c r="EZ76" s="51" t="str">
        <f t="shared" si="699"/>
        <v/>
      </c>
      <c r="FA76" s="173" t="str">
        <f t="shared" si="553"/>
        <v/>
      </c>
      <c r="FB76" s="5" t="str">
        <f t="shared" si="554"/>
        <v/>
      </c>
      <c r="FC76" s="6" t="str">
        <f t="shared" si="555"/>
        <v/>
      </c>
      <c r="FD76" s="4" t="str">
        <f t="shared" si="556"/>
        <v/>
      </c>
      <c r="FE76" s="5" t="str">
        <f t="shared" si="557"/>
        <v/>
      </c>
      <c r="FF76" s="7" t="str">
        <f t="shared" si="700"/>
        <v/>
      </c>
      <c r="FG76" s="173" t="str">
        <f t="shared" si="558"/>
        <v/>
      </c>
      <c r="FH76" s="5" t="str">
        <f t="shared" si="559"/>
        <v/>
      </c>
      <c r="FI76" s="10" t="str">
        <f t="shared" si="560"/>
        <v/>
      </c>
      <c r="FJ76" s="279" t="str">
        <f t="shared" si="701"/>
        <v/>
      </c>
      <c r="FK76" s="4" t="str">
        <f t="shared" si="561"/>
        <v/>
      </c>
      <c r="FL76" s="5" t="str">
        <f t="shared" si="626"/>
        <v/>
      </c>
      <c r="FM76" s="8" t="str">
        <f t="shared" si="627"/>
        <v/>
      </c>
      <c r="FN76" s="9" t="str">
        <f t="shared" si="628"/>
        <v/>
      </c>
      <c r="FO76" s="10" t="str">
        <f t="shared" si="562"/>
        <v/>
      </c>
      <c r="FP76" s="277" t="str">
        <f t="shared" si="629"/>
        <v/>
      </c>
      <c r="FQ76" s="173" t="str">
        <f t="shared" si="702"/>
        <v/>
      </c>
      <c r="FR76" s="10" t="str">
        <f t="shared" si="703"/>
        <v/>
      </c>
      <c r="FS76" s="9" t="str">
        <f t="shared" si="704"/>
        <v/>
      </c>
      <c r="FT76" s="6" t="str">
        <f t="shared" si="705"/>
        <v/>
      </c>
      <c r="FU76" s="4" t="str">
        <f t="shared" si="706"/>
        <v/>
      </c>
      <c r="FV76" s="5" t="str">
        <f t="shared" si="707"/>
        <v/>
      </c>
      <c r="FW76" s="8" t="str">
        <f t="shared" si="708"/>
        <v/>
      </c>
      <c r="FX76" s="9" t="str">
        <f t="shared" si="709"/>
        <v/>
      </c>
      <c r="FY76" s="10" t="str">
        <f t="shared" si="563"/>
        <v/>
      </c>
      <c r="FZ76" s="277" t="str">
        <f t="shared" si="710"/>
        <v/>
      </c>
      <c r="GA76" s="177" t="str">
        <f t="shared" si="711"/>
        <v/>
      </c>
      <c r="GB76" s="4" t="str">
        <f t="shared" si="712"/>
        <v/>
      </c>
      <c r="GC76" s="5" t="str">
        <f t="shared" si="713"/>
        <v/>
      </c>
      <c r="GD76" s="10" t="str">
        <f t="shared" si="714"/>
        <v/>
      </c>
      <c r="GE76" s="311" t="str">
        <f t="shared" si="715"/>
        <v/>
      </c>
      <c r="GF76" s="341" t="str">
        <f t="shared" si="716"/>
        <v/>
      </c>
      <c r="GG76" s="285" t="str">
        <f t="shared" si="564"/>
        <v/>
      </c>
      <c r="GH76" s="286" t="str">
        <f t="shared" si="565"/>
        <v/>
      </c>
      <c r="GI76" s="281" t="str">
        <f t="shared" si="566"/>
        <v/>
      </c>
      <c r="GJ76" s="167" t="str">
        <f t="shared" si="717"/>
        <v/>
      </c>
      <c r="GK76" s="174" t="str">
        <f t="shared" si="567"/>
        <v/>
      </c>
      <c r="GL76" s="174" t="str">
        <f t="shared" si="718"/>
        <v/>
      </c>
      <c r="GM76" s="177" t="str">
        <f t="shared" si="719"/>
        <v/>
      </c>
      <c r="GN76" s="280" t="str">
        <f t="shared" si="720"/>
        <v/>
      </c>
      <c r="GO76" s="4" t="str">
        <f t="shared" si="721"/>
        <v/>
      </c>
      <c r="GP76" s="8" t="str">
        <f t="shared" si="722"/>
        <v/>
      </c>
      <c r="GQ76" s="177" t="str">
        <f t="shared" si="723"/>
        <v/>
      </c>
      <c r="GR76" s="371" t="str">
        <f t="shared" si="724"/>
        <v/>
      </c>
      <c r="GS76" s="342" t="str">
        <f t="shared" si="568"/>
        <v/>
      </c>
      <c r="GT76" s="343" t="str">
        <f t="shared" si="569"/>
        <v/>
      </c>
      <c r="GU76" s="344" t="str">
        <f t="shared" si="570"/>
        <v/>
      </c>
      <c r="GV76" s="343" t="str">
        <f t="shared" si="725"/>
        <v/>
      </c>
      <c r="GW76" s="345" t="str">
        <f t="shared" si="571"/>
        <v/>
      </c>
      <c r="GX76" s="346" t="str">
        <f t="shared" si="572"/>
        <v/>
      </c>
      <c r="GY76" s="344" t="str">
        <f t="shared" si="573"/>
        <v/>
      </c>
      <c r="GZ76" s="345" t="str">
        <f t="shared" si="574"/>
        <v/>
      </c>
      <c r="HA76" s="342" t="str">
        <f t="shared" si="575"/>
        <v/>
      </c>
      <c r="HB76" s="5" t="str">
        <f t="shared" si="726"/>
        <v/>
      </c>
      <c r="HC76" s="343" t="str">
        <f t="shared" si="727"/>
        <v/>
      </c>
      <c r="HD76" s="363" t="str">
        <f t="shared" si="728"/>
        <v/>
      </c>
      <c r="HE76" s="344" t="str">
        <f t="shared" si="576"/>
        <v/>
      </c>
      <c r="HF76" s="5" t="str">
        <f t="shared" si="577"/>
        <v/>
      </c>
      <c r="HG76" s="343" t="str">
        <f t="shared" si="729"/>
        <v/>
      </c>
      <c r="HH76" s="349" t="str">
        <f t="shared" si="730"/>
        <v/>
      </c>
      <c r="HI76" s="317" t="str">
        <f t="shared" si="578"/>
        <v/>
      </c>
      <c r="HK76" s="310" t="str">
        <f t="shared" si="630"/>
        <v/>
      </c>
      <c r="HL76" s="348" t="str">
        <f t="shared" si="579"/>
        <v/>
      </c>
      <c r="HM76" s="909" t="str">
        <f t="shared" si="580"/>
        <v/>
      </c>
      <c r="HN76" s="910" t="str">
        <f t="shared" si="581"/>
        <v/>
      </c>
      <c r="HO76" s="911"/>
      <c r="HP76" s="912"/>
      <c r="HQ76" s="910" t="str">
        <f t="shared" si="582"/>
        <v/>
      </c>
      <c r="HR76" s="913" t="str">
        <f t="shared" si="583"/>
        <v/>
      </c>
      <c r="HS76" s="865" t="str">
        <f t="shared" si="631"/>
        <v/>
      </c>
      <c r="HT76" s="875" t="str">
        <f t="shared" si="584"/>
        <v/>
      </c>
      <c r="HU76" s="876" t="str">
        <f t="shared" si="585"/>
        <v/>
      </c>
      <c r="HV76" s="872" t="str">
        <f t="shared" si="586"/>
        <v/>
      </c>
      <c r="HW76" s="866" t="str">
        <f t="shared" si="587"/>
        <v/>
      </c>
      <c r="HX76" s="867" t="str">
        <f t="shared" si="588"/>
        <v/>
      </c>
      <c r="HY76" s="866" t="str">
        <f t="shared" si="589"/>
        <v/>
      </c>
      <c r="HZ76" s="868" t="str">
        <f t="shared" si="590"/>
        <v/>
      </c>
      <c r="IA76" s="869" t="str">
        <f t="shared" si="591"/>
        <v/>
      </c>
      <c r="IB76" s="870" t="str">
        <f t="shared" si="592"/>
        <v/>
      </c>
      <c r="IC76" s="841" t="str">
        <f t="shared" si="593"/>
        <v/>
      </c>
      <c r="ID76" s="351" t="str">
        <f t="shared" si="594"/>
        <v/>
      </c>
      <c r="IE76" s="843" t="str">
        <f t="shared" si="595"/>
        <v/>
      </c>
      <c r="IF76" s="844"/>
      <c r="IG76" s="790" t="str">
        <f>IFERROR(IF($IW76="","",IF($IW76&lt;(((Settings!$C$19/2)*-1)*$IG$8),"Taper","Nose")),"")</f>
        <v/>
      </c>
      <c r="IH76" s="482" t="str">
        <f>IFERROR(IF((((($IY76*COS(RADIANS(180-$JA76)))*COS(RADIANS($JA76)))-(($IZ76*SIN(RADIANS(180-$JA76)))*SIN(RADIANS($JA76))))+$IW76)&lt;(((Settings!$C$19+$IH$8)/2)*-1),"Gage",""),"")</f>
        <v/>
      </c>
      <c r="II76" s="788">
        <f t="shared" si="731"/>
        <v>5.1429999999999998</v>
      </c>
      <c r="IJ76" s="674" t="str" cm="1">
        <f t="array" ref="IJ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K76" s="677" t="str" cm="1">
        <f t="array" ref="IK76">IFERROR(ROUND(VALUE(IF($IJ76&lt;1,$IJ76+LARGE((IF($M$9:$M$150="",0,$M$9:$M$150)-MOD(IF($M$9:$M$150="",0,$M$9:$M$150),1)),1),$IJ76)),4),"")</f>
        <v/>
      </c>
      <c r="IL76" s="482">
        <f t="shared" si="596"/>
        <v>1613</v>
      </c>
      <c r="IM76" s="482" t="str">
        <f t="shared" si="732"/>
        <v/>
      </c>
      <c r="IN76" s="670" t="str">
        <f t="shared" si="597"/>
        <v/>
      </c>
      <c r="IO76" s="702"/>
      <c r="IP76" s="5" t="str">
        <f t="shared" si="598"/>
        <v/>
      </c>
      <c r="IQ76" s="714"/>
      <c r="IR76" s="9" t="str">
        <f t="shared" si="599"/>
        <v/>
      </c>
      <c r="IS76" s="5" t="str">
        <f t="shared" si="600"/>
        <v/>
      </c>
      <c r="IT76" s="5" t="str">
        <f t="shared" si="601"/>
        <v/>
      </c>
      <c r="IU76" s="5" t="str">
        <f t="shared" si="602"/>
        <v/>
      </c>
      <c r="IV76" s="670" t="str">
        <f t="shared" si="603"/>
        <v/>
      </c>
      <c r="IW76" s="9" t="str">
        <f t="shared" si="604"/>
        <v/>
      </c>
      <c r="IX76" s="5" t="str">
        <f t="shared" si="605"/>
        <v/>
      </c>
      <c r="IY76" s="5" t="str">
        <f t="shared" si="606"/>
        <v/>
      </c>
      <c r="IZ76" s="5" t="str">
        <f t="shared" si="607"/>
        <v/>
      </c>
      <c r="JA76" s="705" t="str">
        <f t="shared" si="608"/>
        <v/>
      </c>
    </row>
    <row r="77" spans="1:261" ht="15" customHeight="1" x14ac:dyDescent="0.25">
      <c r="A77" s="75">
        <f t="shared" si="256"/>
        <v>0.02</v>
      </c>
      <c r="B77" s="578">
        <f t="shared" si="515"/>
        <v>-4.47960835792518</v>
      </c>
      <c r="C77" s="572">
        <f t="shared" si="516"/>
        <v>-2.342441390382787</v>
      </c>
      <c r="D77" s="576">
        <f t="shared" si="517"/>
        <v>-3.3510912624309905</v>
      </c>
      <c r="E77" s="580">
        <f t="shared" si="518"/>
        <v>-3.6336802866364419E-2</v>
      </c>
      <c r="F77" s="572">
        <f t="shared" si="519"/>
        <v>-0.99839010380273652</v>
      </c>
      <c r="G77" s="579">
        <f t="shared" si="520"/>
        <v>4.355269665832296E-2</v>
      </c>
      <c r="H77" s="580">
        <f t="shared" si="521"/>
        <v>0.3125</v>
      </c>
      <c r="I77" s="572">
        <f t="shared" si="522"/>
        <v>0.52</v>
      </c>
      <c r="J77" s="483">
        <f t="shared" si="523"/>
        <v>5.149</v>
      </c>
      <c r="K77" s="806">
        <f t="shared" si="524"/>
        <v>1613</v>
      </c>
      <c r="L77" s="309"/>
      <c r="M77" s="164">
        <f t="shared" si="526"/>
        <v>5.149</v>
      </c>
      <c r="N77" s="575">
        <f t="shared" si="527"/>
        <v>-4.47960835792518</v>
      </c>
      <c r="O77" s="572">
        <f t="shared" si="528"/>
        <v>-2.342441390382787</v>
      </c>
      <c r="P77" s="576">
        <f t="shared" si="529"/>
        <v>-3.3510912624309905</v>
      </c>
      <c r="Q77" s="528">
        <f t="shared" si="609"/>
        <v>207.60561220359014</v>
      </c>
      <c r="R77" s="572">
        <f t="shared" si="101"/>
        <v>5.0550887932628417</v>
      </c>
      <c r="S77" s="577">
        <f t="shared" si="102"/>
        <v>-3.3510912624309905</v>
      </c>
      <c r="T77" s="578">
        <f t="shared" si="103"/>
        <v>-2.3762193122970143</v>
      </c>
      <c r="U77" s="572">
        <f t="shared" si="104"/>
        <v>4.461782658045804</v>
      </c>
      <c r="V77" s="579">
        <f t="shared" si="141"/>
        <v>-3.3510912624309905</v>
      </c>
      <c r="W77" s="528">
        <f t="shared" si="253"/>
        <v>118.03850304946113</v>
      </c>
      <c r="X77" s="572">
        <f t="shared" si="105"/>
        <v>5.0550887932628417</v>
      </c>
      <c r="Y77" s="573">
        <f t="shared" si="733"/>
        <v>-3.3510912624309905</v>
      </c>
      <c r="Z77" s="575">
        <f t="shared" si="530"/>
        <v>3.6336802866364419E-2</v>
      </c>
      <c r="AA77" s="572">
        <f t="shared" si="531"/>
        <v>0.99839010380273652</v>
      </c>
      <c r="AB77" s="572">
        <f t="shared" si="532"/>
        <v>-4.355269665832296E-2</v>
      </c>
      <c r="AC77" s="579">
        <f t="shared" si="106"/>
        <v>1</v>
      </c>
      <c r="AD77" s="580">
        <f t="shared" si="142"/>
        <v>3.6336802866364419E-2</v>
      </c>
      <c r="AE77" s="572">
        <f t="shared" si="107"/>
        <v>0.99839010380273652</v>
      </c>
      <c r="AF77" s="576">
        <f t="shared" si="108"/>
        <v>-4.355269665832296E-2</v>
      </c>
      <c r="AG77" s="545">
        <f t="shared" si="109"/>
        <v>87.502174122568803</v>
      </c>
      <c r="AH77" s="546">
        <f t="shared" si="110"/>
        <v>87.917596128286107</v>
      </c>
      <c r="AI77" s="528">
        <f t="shared" si="111"/>
        <v>-87.50382473077525</v>
      </c>
      <c r="AJ77" s="529">
        <f t="shared" si="112"/>
        <v>177.91561745084161</v>
      </c>
      <c r="AK77" s="578">
        <f t="shared" si="238"/>
        <v>0.8678937209339056</v>
      </c>
      <c r="AL77" s="572">
        <f t="shared" si="113"/>
        <v>-0.49483699515829233</v>
      </c>
      <c r="AM77" s="577">
        <f t="shared" si="114"/>
        <v>-4.355269665832296E-2</v>
      </c>
      <c r="AN77" s="524">
        <f t="shared" si="115"/>
        <v>-84.97011741683842</v>
      </c>
      <c r="AO77" s="525">
        <f t="shared" si="525"/>
        <v>29.785208788526919</v>
      </c>
      <c r="AP77" s="528">
        <f t="shared" si="117"/>
        <v>-29.689994752748536</v>
      </c>
      <c r="AQ77" s="529">
        <f t="shared" si="533"/>
        <v>0.90187865672700995</v>
      </c>
      <c r="AS77" s="932">
        <f t="shared" si="632"/>
        <v>118.03850304946113</v>
      </c>
      <c r="AT77" s="928">
        <f t="shared" si="534"/>
        <v>-3.018758208629905</v>
      </c>
      <c r="AU77" s="418"/>
      <c r="AV77" s="164" t="str">
        <f t="shared" si="535"/>
        <v/>
      </c>
      <c r="AW77" s="797" t="str">
        <f>IFERROR(INDEX(MassProp!C$9:C$150,MATCH($M77,MassProp!$B$9:$B$150,0)),"")</f>
        <v/>
      </c>
      <c r="AX77" s="744" t="str">
        <f>IFERROR(INDEX(MassProp!D$9:D$150,MATCH($M77,MassProp!$B$9:$B$150,0)),"")</f>
        <v/>
      </c>
      <c r="AY77" s="731" t="str">
        <f>IFERROR(INDEX(MassProp!E$9:E$150,MATCH($M77,MassProp!$B$9:$B$150,0)),"")</f>
        <v/>
      </c>
      <c r="AZ77" s="297" t="str">
        <f t="shared" si="633"/>
        <v/>
      </c>
      <c r="BA77" s="296" t="str">
        <f t="shared" si="536"/>
        <v/>
      </c>
      <c r="BB77" s="177" t="str">
        <f t="shared" si="610"/>
        <v/>
      </c>
      <c r="BC77" s="9"/>
      <c r="BD77" s="5" t="str">
        <f t="shared" si="611"/>
        <v/>
      </c>
      <c r="BE77" s="6" t="str">
        <f t="shared" si="537"/>
        <v/>
      </c>
      <c r="BF77" s="4" t="str">
        <f t="shared" si="538"/>
        <v/>
      </c>
      <c r="BG77" s="5" t="str">
        <f t="shared" si="539"/>
        <v/>
      </c>
      <c r="BH77" s="10" t="str">
        <f t="shared" si="540"/>
        <v/>
      </c>
      <c r="BI77" s="9" t="str">
        <f t="shared" si="634"/>
        <v/>
      </c>
      <c r="BJ77" s="5" t="str">
        <f t="shared" si="541"/>
        <v/>
      </c>
      <c r="BK77" s="8" t="str">
        <f t="shared" si="542"/>
        <v/>
      </c>
      <c r="BL77" s="173" t="str">
        <f t="shared" si="543"/>
        <v/>
      </c>
      <c r="BM77" s="5" t="str">
        <f t="shared" si="544"/>
        <v/>
      </c>
      <c r="BN77" s="6" t="str">
        <f t="shared" si="545"/>
        <v/>
      </c>
      <c r="BO77" s="4" t="str">
        <f t="shared" si="635"/>
        <v/>
      </c>
      <c r="BP77" s="5" t="str">
        <f t="shared" si="734"/>
        <v/>
      </c>
      <c r="BQ77" s="5" t="str">
        <f t="shared" si="636"/>
        <v/>
      </c>
      <c r="BR77" s="6" t="str">
        <f t="shared" si="637"/>
        <v/>
      </c>
      <c r="BS77" s="4" t="str">
        <f t="shared" si="612"/>
        <v/>
      </c>
      <c r="BT77" s="5" t="str">
        <f t="shared" si="612"/>
        <v/>
      </c>
      <c r="BU77" s="10" t="str">
        <f t="shared" si="613"/>
        <v/>
      </c>
      <c r="BV77" s="9" t="str">
        <f t="shared" si="614"/>
        <v/>
      </c>
      <c r="BW77" s="5" t="str">
        <f t="shared" si="615"/>
        <v/>
      </c>
      <c r="BX77" s="8" t="str">
        <f t="shared" si="616"/>
        <v/>
      </c>
      <c r="BY77" s="173" t="str">
        <f t="shared" si="617"/>
        <v/>
      </c>
      <c r="BZ77" s="5" t="str">
        <f t="shared" si="618"/>
        <v/>
      </c>
      <c r="CA77" s="6" t="str">
        <f t="shared" si="619"/>
        <v/>
      </c>
      <c r="CB77" s="4" t="str">
        <f t="shared" si="638"/>
        <v/>
      </c>
      <c r="CC77" s="5" t="str">
        <f t="shared" si="639"/>
        <v/>
      </c>
      <c r="CD77" s="5" t="str">
        <f t="shared" si="640"/>
        <v/>
      </c>
      <c r="CE77" s="6" t="str">
        <f t="shared" si="641"/>
        <v/>
      </c>
      <c r="CF77" s="4" t="str">
        <f t="shared" si="642"/>
        <v/>
      </c>
      <c r="CG77" s="5" t="str">
        <f t="shared" si="643"/>
        <v/>
      </c>
      <c r="CH77" s="5" t="str">
        <f t="shared" si="644"/>
        <v/>
      </c>
      <c r="CI77" s="4" t="str">
        <f t="shared" si="620"/>
        <v/>
      </c>
      <c r="CJ77" s="5" t="str">
        <f t="shared" si="621"/>
        <v/>
      </c>
      <c r="CK77" s="8" t="str">
        <f t="shared" si="622"/>
        <v/>
      </c>
      <c r="CL77" s="173" t="str">
        <f t="shared" si="623"/>
        <v/>
      </c>
      <c r="CM77" s="5" t="str">
        <f t="shared" si="624"/>
        <v/>
      </c>
      <c r="CN77" s="6" t="str">
        <f t="shared" si="625"/>
        <v/>
      </c>
      <c r="CO77" s="167" t="str">
        <f t="shared" si="546"/>
        <v/>
      </c>
      <c r="CP77" s="4" t="str">
        <f t="shared" si="645"/>
        <v/>
      </c>
      <c r="CQ77" s="5" t="str">
        <f t="shared" si="646"/>
        <v/>
      </c>
      <c r="CR77" s="5" t="str">
        <f t="shared" si="647"/>
        <v/>
      </c>
      <c r="CS77" s="8" t="str">
        <f t="shared" si="648"/>
        <v/>
      </c>
      <c r="CT77" s="9" t="str">
        <f t="shared" si="649"/>
        <v/>
      </c>
      <c r="CU77" s="6" t="str">
        <f t="shared" si="650"/>
        <v/>
      </c>
      <c r="CV77" s="4" t="str">
        <f t="shared" si="651"/>
        <v/>
      </c>
      <c r="CW77" s="5" t="str">
        <f t="shared" si="652"/>
        <v/>
      </c>
      <c r="CX77" s="8" t="str">
        <f t="shared" si="653"/>
        <v/>
      </c>
      <c r="CY77" s="9" t="str">
        <f t="shared" si="654"/>
        <v/>
      </c>
      <c r="CZ77" s="5" t="str">
        <f t="shared" si="655"/>
        <v/>
      </c>
      <c r="DA77" s="6" t="str">
        <f t="shared" si="656"/>
        <v/>
      </c>
      <c r="DB77" s="4" t="str">
        <f t="shared" si="657"/>
        <v/>
      </c>
      <c r="DC77" s="5" t="str">
        <f t="shared" si="657"/>
        <v/>
      </c>
      <c r="DD77" s="10" t="str">
        <f t="shared" si="658"/>
        <v/>
      </c>
      <c r="DE77" s="9" t="str">
        <f t="shared" si="659"/>
        <v/>
      </c>
      <c r="DF77" s="5" t="str">
        <f t="shared" si="659"/>
        <v/>
      </c>
      <c r="DG77" s="10" t="str">
        <f t="shared" si="660"/>
        <v/>
      </c>
      <c r="DH77" s="70" t="str">
        <f t="shared" si="661"/>
        <v/>
      </c>
      <c r="DI77" s="4" t="str">
        <f t="shared" si="662"/>
        <v/>
      </c>
      <c r="DJ77" s="5" t="str">
        <f t="shared" si="663"/>
        <v/>
      </c>
      <c r="DK77" s="10" t="str">
        <f t="shared" si="664"/>
        <v/>
      </c>
      <c r="DL77" s="9" t="str">
        <f t="shared" si="665"/>
        <v/>
      </c>
      <c r="DM77" s="173" t="str">
        <f t="shared" si="666"/>
        <v/>
      </c>
      <c r="DN77" s="178" t="str">
        <f t="shared" si="667"/>
        <v/>
      </c>
      <c r="DO77" s="9" t="str">
        <f t="shared" si="668"/>
        <v/>
      </c>
      <c r="DP77" s="173" t="str">
        <f t="shared" si="669"/>
        <v/>
      </c>
      <c r="DQ77" s="11" t="str">
        <f t="shared" si="670"/>
        <v/>
      </c>
      <c r="DR77" s="173" t="str">
        <f t="shared" si="671"/>
        <v/>
      </c>
      <c r="DS77" s="5" t="str">
        <f t="shared" si="672"/>
        <v/>
      </c>
      <c r="DT77" s="5" t="str">
        <f t="shared" si="673"/>
        <v/>
      </c>
      <c r="DU77" s="5" t="str">
        <f t="shared" si="674"/>
        <v/>
      </c>
      <c r="DV77" s="5" t="str">
        <f t="shared" si="675"/>
        <v/>
      </c>
      <c r="DW77" s="5" t="str">
        <f t="shared" si="676"/>
        <v/>
      </c>
      <c r="DX77" s="167" t="str">
        <f t="shared" si="677"/>
        <v/>
      </c>
      <c r="DY77" s="9" t="str">
        <f t="shared" si="678"/>
        <v/>
      </c>
      <c r="DZ77" s="5" t="str">
        <f t="shared" si="679"/>
        <v/>
      </c>
      <c r="EA77" s="10" t="str">
        <f t="shared" si="680"/>
        <v/>
      </c>
      <c r="EB77" s="6" t="str">
        <f t="shared" si="681"/>
        <v/>
      </c>
      <c r="EC77" s="173" t="str">
        <f t="shared" si="682"/>
        <v/>
      </c>
      <c r="ED77" s="5" t="str">
        <f t="shared" si="683"/>
        <v/>
      </c>
      <c r="EE77" s="4" t="str">
        <f t="shared" si="684"/>
        <v/>
      </c>
      <c r="EF77" s="5" t="str">
        <f t="shared" si="685"/>
        <v/>
      </c>
      <c r="EG77" s="10" t="str">
        <f t="shared" si="686"/>
        <v/>
      </c>
      <c r="EH77" s="9" t="str">
        <f t="shared" si="687"/>
        <v/>
      </c>
      <c r="EI77" s="5" t="str">
        <f t="shared" si="688"/>
        <v/>
      </c>
      <c r="EJ77" s="6" t="str">
        <f t="shared" si="689"/>
        <v/>
      </c>
      <c r="EK77" s="236" t="str">
        <f t="shared" si="690"/>
        <v/>
      </c>
      <c r="EL77" s="238" t="str">
        <f t="shared" si="691"/>
        <v/>
      </c>
      <c r="EM77" s="4" t="str">
        <f t="shared" si="692"/>
        <v/>
      </c>
      <c r="EN77" s="5" t="str">
        <f t="shared" si="693"/>
        <v/>
      </c>
      <c r="EO77" s="10" t="str">
        <f t="shared" si="694"/>
        <v/>
      </c>
      <c r="EP77" s="9" t="str">
        <f t="shared" si="695"/>
        <v/>
      </c>
      <c r="EQ77" s="5" t="str">
        <f t="shared" si="696"/>
        <v/>
      </c>
      <c r="ER77" s="7" t="str">
        <f t="shared" si="697"/>
        <v/>
      </c>
      <c r="ES77" s="21" t="str">
        <f t="shared" si="547"/>
        <v/>
      </c>
      <c r="ET77" s="5" t="str">
        <f t="shared" si="548"/>
        <v/>
      </c>
      <c r="EU77" s="10" t="str">
        <f t="shared" si="549"/>
        <v/>
      </c>
      <c r="EV77" s="174" t="str">
        <f t="shared" si="550"/>
        <v/>
      </c>
      <c r="EW77" s="9" t="str">
        <f t="shared" si="551"/>
        <v/>
      </c>
      <c r="EX77" s="5" t="str">
        <f t="shared" si="552"/>
        <v/>
      </c>
      <c r="EY77" s="6" t="str">
        <f t="shared" si="698"/>
        <v/>
      </c>
      <c r="EZ77" s="51" t="str">
        <f t="shared" si="699"/>
        <v/>
      </c>
      <c r="FA77" s="173" t="str">
        <f t="shared" si="553"/>
        <v/>
      </c>
      <c r="FB77" s="5" t="str">
        <f t="shared" si="554"/>
        <v/>
      </c>
      <c r="FC77" s="6" t="str">
        <f t="shared" si="555"/>
        <v/>
      </c>
      <c r="FD77" s="4" t="str">
        <f t="shared" si="556"/>
        <v/>
      </c>
      <c r="FE77" s="5" t="str">
        <f t="shared" si="557"/>
        <v/>
      </c>
      <c r="FF77" s="7" t="str">
        <f t="shared" si="700"/>
        <v/>
      </c>
      <c r="FG77" s="173" t="str">
        <f t="shared" si="558"/>
        <v/>
      </c>
      <c r="FH77" s="5" t="str">
        <f t="shared" si="559"/>
        <v/>
      </c>
      <c r="FI77" s="10" t="str">
        <f t="shared" si="560"/>
        <v/>
      </c>
      <c r="FJ77" s="279" t="str">
        <f t="shared" si="701"/>
        <v/>
      </c>
      <c r="FK77" s="4" t="str">
        <f t="shared" si="561"/>
        <v/>
      </c>
      <c r="FL77" s="5" t="str">
        <f t="shared" si="626"/>
        <v/>
      </c>
      <c r="FM77" s="8" t="str">
        <f t="shared" si="627"/>
        <v/>
      </c>
      <c r="FN77" s="9" t="str">
        <f t="shared" si="628"/>
        <v/>
      </c>
      <c r="FO77" s="10" t="str">
        <f t="shared" si="562"/>
        <v/>
      </c>
      <c r="FP77" s="277" t="str">
        <f t="shared" si="629"/>
        <v/>
      </c>
      <c r="FQ77" s="173" t="str">
        <f t="shared" si="702"/>
        <v/>
      </c>
      <c r="FR77" s="10" t="str">
        <f t="shared" si="703"/>
        <v/>
      </c>
      <c r="FS77" s="9" t="str">
        <f t="shared" si="704"/>
        <v/>
      </c>
      <c r="FT77" s="6" t="str">
        <f t="shared" si="705"/>
        <v/>
      </c>
      <c r="FU77" s="4" t="str">
        <f t="shared" si="706"/>
        <v/>
      </c>
      <c r="FV77" s="5" t="str">
        <f t="shared" si="707"/>
        <v/>
      </c>
      <c r="FW77" s="8" t="str">
        <f t="shared" si="708"/>
        <v/>
      </c>
      <c r="FX77" s="9" t="str">
        <f t="shared" si="709"/>
        <v/>
      </c>
      <c r="FY77" s="10" t="str">
        <f t="shared" si="563"/>
        <v/>
      </c>
      <c r="FZ77" s="277" t="str">
        <f t="shared" si="710"/>
        <v/>
      </c>
      <c r="GA77" s="177" t="str">
        <f t="shared" si="711"/>
        <v/>
      </c>
      <c r="GB77" s="4" t="str">
        <f t="shared" si="712"/>
        <v/>
      </c>
      <c r="GC77" s="5" t="str">
        <f t="shared" si="713"/>
        <v/>
      </c>
      <c r="GD77" s="10" t="str">
        <f t="shared" si="714"/>
        <v/>
      </c>
      <c r="GE77" s="311" t="str">
        <f t="shared" si="715"/>
        <v/>
      </c>
      <c r="GF77" s="341" t="str">
        <f t="shared" si="716"/>
        <v/>
      </c>
      <c r="GG77" s="285" t="str">
        <f t="shared" si="564"/>
        <v/>
      </c>
      <c r="GH77" s="286" t="str">
        <f t="shared" si="565"/>
        <v/>
      </c>
      <c r="GI77" s="281" t="str">
        <f t="shared" si="566"/>
        <v/>
      </c>
      <c r="GJ77" s="167" t="str">
        <f t="shared" si="717"/>
        <v/>
      </c>
      <c r="GK77" s="174" t="str">
        <f t="shared" si="567"/>
        <v/>
      </c>
      <c r="GL77" s="174" t="str">
        <f t="shared" si="718"/>
        <v/>
      </c>
      <c r="GM77" s="177" t="str">
        <f t="shared" si="719"/>
        <v/>
      </c>
      <c r="GN77" s="280" t="str">
        <f t="shared" si="720"/>
        <v/>
      </c>
      <c r="GO77" s="4" t="str">
        <f t="shared" si="721"/>
        <v/>
      </c>
      <c r="GP77" s="8" t="str">
        <f t="shared" si="722"/>
        <v/>
      </c>
      <c r="GQ77" s="177" t="str">
        <f t="shared" si="723"/>
        <v/>
      </c>
      <c r="GR77" s="371" t="str">
        <f t="shared" si="724"/>
        <v/>
      </c>
      <c r="GS77" s="342" t="str">
        <f t="shared" si="568"/>
        <v/>
      </c>
      <c r="GT77" s="343" t="str">
        <f t="shared" si="569"/>
        <v/>
      </c>
      <c r="GU77" s="344" t="str">
        <f t="shared" si="570"/>
        <v/>
      </c>
      <c r="GV77" s="343" t="str">
        <f t="shared" si="725"/>
        <v/>
      </c>
      <c r="GW77" s="345" t="str">
        <f t="shared" si="571"/>
        <v/>
      </c>
      <c r="GX77" s="346" t="str">
        <f t="shared" si="572"/>
        <v/>
      </c>
      <c r="GY77" s="344" t="str">
        <f t="shared" si="573"/>
        <v/>
      </c>
      <c r="GZ77" s="345" t="str">
        <f t="shared" si="574"/>
        <v/>
      </c>
      <c r="HA77" s="342" t="str">
        <f t="shared" si="575"/>
        <v/>
      </c>
      <c r="HB77" s="5" t="str">
        <f t="shared" si="726"/>
        <v/>
      </c>
      <c r="HC77" s="343" t="str">
        <f t="shared" si="727"/>
        <v/>
      </c>
      <c r="HD77" s="363" t="str">
        <f t="shared" si="728"/>
        <v/>
      </c>
      <c r="HE77" s="344" t="str">
        <f t="shared" si="576"/>
        <v/>
      </c>
      <c r="HF77" s="5" t="str">
        <f t="shared" si="577"/>
        <v/>
      </c>
      <c r="HG77" s="343" t="str">
        <f t="shared" si="729"/>
        <v/>
      </c>
      <c r="HH77" s="349" t="str">
        <f t="shared" si="730"/>
        <v/>
      </c>
      <c r="HI77" s="317" t="str">
        <f t="shared" si="578"/>
        <v/>
      </c>
      <c r="HK77" s="310" t="str">
        <f t="shared" si="630"/>
        <v/>
      </c>
      <c r="HL77" s="348" t="str">
        <f t="shared" si="579"/>
        <v/>
      </c>
      <c r="HM77" s="909" t="str">
        <f t="shared" si="580"/>
        <v/>
      </c>
      <c r="HN77" s="910" t="str">
        <f t="shared" si="581"/>
        <v/>
      </c>
      <c r="HO77" s="911"/>
      <c r="HP77" s="912"/>
      <c r="HQ77" s="910" t="str">
        <f t="shared" si="582"/>
        <v/>
      </c>
      <c r="HR77" s="913" t="str">
        <f t="shared" si="583"/>
        <v/>
      </c>
      <c r="HS77" s="865" t="str">
        <f t="shared" si="631"/>
        <v/>
      </c>
      <c r="HT77" s="875" t="str">
        <f t="shared" si="584"/>
        <v/>
      </c>
      <c r="HU77" s="876" t="str">
        <f t="shared" si="585"/>
        <v/>
      </c>
      <c r="HV77" s="872" t="str">
        <f t="shared" si="586"/>
        <v/>
      </c>
      <c r="HW77" s="866" t="str">
        <f t="shared" si="587"/>
        <v/>
      </c>
      <c r="HX77" s="867" t="str">
        <f t="shared" si="588"/>
        <v/>
      </c>
      <c r="HY77" s="866" t="str">
        <f t="shared" si="589"/>
        <v/>
      </c>
      <c r="HZ77" s="868" t="str">
        <f t="shared" si="590"/>
        <v/>
      </c>
      <c r="IA77" s="869" t="str">
        <f t="shared" si="591"/>
        <v/>
      </c>
      <c r="IB77" s="870" t="str">
        <f t="shared" si="592"/>
        <v/>
      </c>
      <c r="IC77" s="841" t="str">
        <f t="shared" si="593"/>
        <v/>
      </c>
      <c r="ID77" s="351" t="str">
        <f t="shared" si="594"/>
        <v/>
      </c>
      <c r="IE77" s="843" t="str">
        <f t="shared" si="595"/>
        <v/>
      </c>
      <c r="IF77" s="844"/>
      <c r="IG77" s="790" t="str">
        <f>IFERROR(IF($IW77="","",IF($IW77&lt;(((Settings!$C$19/2)*-1)*$IG$8),"Taper","Nose")),"")</f>
        <v/>
      </c>
      <c r="IH77" s="482" t="str">
        <f>IFERROR(IF((((($IY77*COS(RADIANS(180-$JA77)))*COS(RADIANS($JA77)))-(($IZ77*SIN(RADIANS(180-$JA77)))*SIN(RADIANS($JA77))))+$IW77)&lt;(((Settings!$C$19+$IH$8)/2)*-1),"Gage",""),"")</f>
        <v/>
      </c>
      <c r="II77" s="788">
        <f t="shared" si="731"/>
        <v>5.149</v>
      </c>
      <c r="IJ77" s="674" t="str" cm="1">
        <f t="array" ref="IJ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K77" s="677" t="str" cm="1">
        <f t="array" ref="IK77">IFERROR(ROUND(VALUE(IF($IJ77&lt;1,$IJ77+LARGE((IF($M$9:$M$150="",0,$M$9:$M$150)-MOD(IF($M$9:$M$150="",0,$M$9:$M$150),1)),1),$IJ77)),4),"")</f>
        <v/>
      </c>
      <c r="IL77" s="482">
        <f t="shared" si="596"/>
        <v>1613</v>
      </c>
      <c r="IM77" s="482" t="str">
        <f t="shared" si="732"/>
        <v/>
      </c>
      <c r="IN77" s="670" t="str">
        <f t="shared" si="597"/>
        <v/>
      </c>
      <c r="IO77" s="702"/>
      <c r="IP77" s="5" t="str">
        <f t="shared" si="598"/>
        <v/>
      </c>
      <c r="IQ77" s="714"/>
      <c r="IR77" s="9" t="str">
        <f t="shared" si="599"/>
        <v/>
      </c>
      <c r="IS77" s="5" t="str">
        <f t="shared" si="600"/>
        <v/>
      </c>
      <c r="IT77" s="5" t="str">
        <f t="shared" si="601"/>
        <v/>
      </c>
      <c r="IU77" s="5" t="str">
        <f t="shared" si="602"/>
        <v/>
      </c>
      <c r="IV77" s="670" t="str">
        <f t="shared" si="603"/>
        <v/>
      </c>
      <c r="IW77" s="9" t="str">
        <f t="shared" si="604"/>
        <v/>
      </c>
      <c r="IX77" s="5" t="str">
        <f t="shared" si="605"/>
        <v/>
      </c>
      <c r="IY77" s="5" t="str">
        <f t="shared" si="606"/>
        <v/>
      </c>
      <c r="IZ77" s="5" t="str">
        <f t="shared" si="607"/>
        <v/>
      </c>
      <c r="JA77" s="705" t="str">
        <f t="shared" si="608"/>
        <v/>
      </c>
    </row>
    <row r="78" spans="1:261" ht="15" customHeight="1" x14ac:dyDescent="0.25">
      <c r="A78" s="75">
        <f t="shared" si="256"/>
        <v>0</v>
      </c>
      <c r="B78" s="578">
        <f t="shared" si="515"/>
        <v>-3.4819888164023145</v>
      </c>
      <c r="C78" s="572">
        <f t="shared" si="516"/>
        <v>-0.77986556115357386</v>
      </c>
      <c r="D78" s="576">
        <f t="shared" si="517"/>
        <v>-0.20246261363798021</v>
      </c>
      <c r="E78" s="580">
        <f t="shared" si="518"/>
        <v>-0.21951266652936532</v>
      </c>
      <c r="F78" s="572">
        <f t="shared" si="519"/>
        <v>-4.916453724860597E-2</v>
      </c>
      <c r="G78" s="579">
        <f t="shared" si="520"/>
        <v>0.97437007215446547</v>
      </c>
      <c r="H78" s="580">
        <f t="shared" si="521"/>
        <v>0.255</v>
      </c>
      <c r="I78" s="572">
        <f t="shared" si="522"/>
        <v>0.41499999999999992</v>
      </c>
      <c r="J78" s="483">
        <f t="shared" si="523"/>
        <v>5.2190000000000003</v>
      </c>
      <c r="K78" s="806" t="str">
        <f t="shared" si="524"/>
        <v>CPS-32193r1</v>
      </c>
      <c r="L78" s="309"/>
      <c r="M78" s="164">
        <f t="shared" si="526"/>
        <v>5.2190000000000003</v>
      </c>
      <c r="N78" s="575">
        <f t="shared" si="527"/>
        <v>-3.4819888164023145</v>
      </c>
      <c r="O78" s="572">
        <f t="shared" si="528"/>
        <v>-0.77986556115357386</v>
      </c>
      <c r="P78" s="576">
        <f t="shared" si="529"/>
        <v>-0.20246261363798021</v>
      </c>
      <c r="Q78" s="528">
        <f t="shared" si="609"/>
        <v>192.62427103709203</v>
      </c>
      <c r="R78" s="572">
        <f>IF(M78="","",SQRT(N78^2+O78^2))</f>
        <v>3.5682539723265454</v>
      </c>
      <c r="S78" s="577">
        <f>IF(M78="","",P78)</f>
        <v>-0.20246261363798021</v>
      </c>
      <c r="T78" s="578">
        <f>IF(M78="","",X78*COS(RADIANS(W78)))</f>
        <v>-0.80615076799517826</v>
      </c>
      <c r="U78" s="572">
        <f>IF(M78="","",X78*SIN(RADIANS(W78)))</f>
        <v>3.4759973173587109</v>
      </c>
      <c r="V78" s="579">
        <f>IF(M78="","",Y78)</f>
        <v>-0.20246261363798021</v>
      </c>
      <c r="W78" s="528">
        <f t="shared" si="253"/>
        <v>103.05716188296302</v>
      </c>
      <c r="X78" s="572">
        <f>IF(M78="","",R78)</f>
        <v>3.5682539723265454</v>
      </c>
      <c r="Y78" s="573">
        <f t="shared" si="733"/>
        <v>-0.20246261363798021</v>
      </c>
      <c r="Z78" s="575">
        <f t="shared" si="530"/>
        <v>0.21951266652936532</v>
      </c>
      <c r="AA78" s="572">
        <f t="shared" si="531"/>
        <v>4.916453724860597E-2</v>
      </c>
      <c r="AB78" s="572">
        <f t="shared" si="532"/>
        <v>-0.97437007215446547</v>
      </c>
      <c r="AC78" s="579">
        <f>IF(M78="","",SQRT(Z78^2+AA78^2+AB78^2))</f>
        <v>1</v>
      </c>
      <c r="AD78" s="580">
        <f>IF(M78="","",Z78*(1/SQRT(Z78^2+AA78^2+AB78^2)))</f>
        <v>0.21951266652936532</v>
      </c>
      <c r="AE78" s="572">
        <f>IF(M78="","",AA78*(1/SQRT(Z78^2+AA78^2+AB78^2)))</f>
        <v>4.916453724860597E-2</v>
      </c>
      <c r="AF78" s="576">
        <f>IF(M78="","",AB78*(1/SQRT(Z78^2+AA78^2+AB78^2)))</f>
        <v>-0.97437007215446547</v>
      </c>
      <c r="AG78" s="545">
        <f>IF(M78="","",DEGREES(ATAN2(-AF78,AE78)))</f>
        <v>2.888567288976891</v>
      </c>
      <c r="AH78" s="546">
        <f>IF(M78="","",DEGREES(ACOS(AD78)))</f>
        <v>77.319588823282032</v>
      </c>
      <c r="AI78" s="528">
        <f>IF(M78="","",DEGREES(-ACOS(-AF78)))</f>
        <v>-12.999998123032478</v>
      </c>
      <c r="AJ78" s="529">
        <f>IF(M78="","",DEGREES(ATAN2(-AE78,AD78)))</f>
        <v>102.62427103709203</v>
      </c>
      <c r="AK78" s="578">
        <f>IF(M78="","",(COS(RADIANS((90-$Q$8)-W78))*AD78)+(-SIN(RADIANS((90-$Q$8)-W78))*AE78))</f>
        <v>4.163336342344337E-17</v>
      </c>
      <c r="AL78" s="572">
        <f>IF(M78="","",(SIN(RADIANS((90-$Q$8)-W78))*AD78)+(COS(RADIANS((90-$Q$8)-W78))*AE78))</f>
        <v>-0.22495102242421997</v>
      </c>
      <c r="AM78" s="577">
        <f>IF(M78="","",AF78)</f>
        <v>-0.97437007215446547</v>
      </c>
      <c r="AN78" s="524">
        <f>IF(M78="","",DEGREES(ATAN2(-AM78,AL78)))</f>
        <v>-12.999998123032507</v>
      </c>
      <c r="AO78" s="525">
        <f t="shared" si="525"/>
        <v>0</v>
      </c>
      <c r="AP78" s="528">
        <f>IF(M78="","",DEGREES(ATAN2(AK78,AL78)))</f>
        <v>-89.999999999999986</v>
      </c>
      <c r="AQ78" s="529">
        <f t="shared" si="533"/>
        <v>1.2775709441768959</v>
      </c>
      <c r="AS78" s="932">
        <f t="shared" si="632"/>
        <v>103.05716188296302</v>
      </c>
      <c r="AT78" s="928">
        <f t="shared" si="534"/>
        <v>0.15067785844990814</v>
      </c>
      <c r="AU78" s="418"/>
      <c r="AV78" s="164" t="str">
        <f t="shared" si="535"/>
        <v/>
      </c>
      <c r="AW78" s="797" t="str">
        <f>IFERROR(INDEX(MassProp!C$9:C$150,MATCH($M78,MassProp!$B$9:$B$150,0)),"")</f>
        <v/>
      </c>
      <c r="AX78" s="744" t="str">
        <f>IFERROR(INDEX(MassProp!D$9:D$150,MATCH($M78,MassProp!$B$9:$B$150,0)),"")</f>
        <v/>
      </c>
      <c r="AY78" s="731" t="str">
        <f>IFERROR(INDEX(MassProp!E$9:E$150,MATCH($M78,MassProp!$B$9:$B$150,0)),"")</f>
        <v/>
      </c>
      <c r="AZ78" s="297" t="str">
        <f t="shared" si="633"/>
        <v/>
      </c>
      <c r="BA78" s="296" t="str">
        <f t="shared" si="536"/>
        <v/>
      </c>
      <c r="BB78" s="177" t="str">
        <f t="shared" si="610"/>
        <v/>
      </c>
      <c r="BC78" s="9"/>
      <c r="BD78" s="5" t="str">
        <f t="shared" si="611"/>
        <v/>
      </c>
      <c r="BE78" s="6" t="str">
        <f t="shared" si="537"/>
        <v/>
      </c>
      <c r="BF78" s="4" t="str">
        <f t="shared" si="538"/>
        <v/>
      </c>
      <c r="BG78" s="5" t="str">
        <f t="shared" si="539"/>
        <v/>
      </c>
      <c r="BH78" s="10" t="str">
        <f t="shared" si="540"/>
        <v/>
      </c>
      <c r="BI78" s="9" t="str">
        <f t="shared" si="634"/>
        <v/>
      </c>
      <c r="BJ78" s="5" t="str">
        <f t="shared" si="541"/>
        <v/>
      </c>
      <c r="BK78" s="8" t="str">
        <f t="shared" si="542"/>
        <v/>
      </c>
      <c r="BL78" s="173" t="str">
        <f t="shared" si="543"/>
        <v/>
      </c>
      <c r="BM78" s="5" t="str">
        <f t="shared" si="544"/>
        <v/>
      </c>
      <c r="BN78" s="6" t="str">
        <f t="shared" si="545"/>
        <v/>
      </c>
      <c r="BO78" s="4" t="str">
        <f t="shared" si="635"/>
        <v/>
      </c>
      <c r="BP78" s="5" t="str">
        <f t="shared" si="734"/>
        <v/>
      </c>
      <c r="BQ78" s="5" t="str">
        <f t="shared" si="636"/>
        <v/>
      </c>
      <c r="BR78" s="6" t="str">
        <f t="shared" si="637"/>
        <v/>
      </c>
      <c r="BS78" s="4" t="str">
        <f t="shared" si="612"/>
        <v/>
      </c>
      <c r="BT78" s="5" t="str">
        <f t="shared" si="612"/>
        <v/>
      </c>
      <c r="BU78" s="10" t="str">
        <f t="shared" si="613"/>
        <v/>
      </c>
      <c r="BV78" s="9" t="str">
        <f t="shared" si="614"/>
        <v/>
      </c>
      <c r="BW78" s="5" t="str">
        <f t="shared" si="615"/>
        <v/>
      </c>
      <c r="BX78" s="8" t="str">
        <f t="shared" si="616"/>
        <v/>
      </c>
      <c r="BY78" s="173" t="str">
        <f t="shared" si="617"/>
        <v/>
      </c>
      <c r="BZ78" s="5" t="str">
        <f t="shared" si="618"/>
        <v/>
      </c>
      <c r="CA78" s="6" t="str">
        <f t="shared" si="619"/>
        <v/>
      </c>
      <c r="CB78" s="4" t="str">
        <f t="shared" si="638"/>
        <v/>
      </c>
      <c r="CC78" s="5" t="str">
        <f t="shared" si="639"/>
        <v/>
      </c>
      <c r="CD78" s="5" t="str">
        <f t="shared" si="640"/>
        <v/>
      </c>
      <c r="CE78" s="6" t="str">
        <f t="shared" si="641"/>
        <v/>
      </c>
      <c r="CF78" s="4" t="str">
        <f t="shared" si="642"/>
        <v/>
      </c>
      <c r="CG78" s="5" t="str">
        <f t="shared" si="643"/>
        <v/>
      </c>
      <c r="CH78" s="5" t="str">
        <f t="shared" si="644"/>
        <v/>
      </c>
      <c r="CI78" s="4" t="str">
        <f t="shared" si="620"/>
        <v/>
      </c>
      <c r="CJ78" s="5" t="str">
        <f t="shared" si="621"/>
        <v/>
      </c>
      <c r="CK78" s="8" t="str">
        <f t="shared" si="622"/>
        <v/>
      </c>
      <c r="CL78" s="173" t="str">
        <f t="shared" si="623"/>
        <v/>
      </c>
      <c r="CM78" s="5" t="str">
        <f t="shared" si="624"/>
        <v/>
      </c>
      <c r="CN78" s="6" t="str">
        <f t="shared" si="625"/>
        <v/>
      </c>
      <c r="CO78" s="167" t="str">
        <f t="shared" si="546"/>
        <v/>
      </c>
      <c r="CP78" s="4" t="str">
        <f t="shared" si="645"/>
        <v/>
      </c>
      <c r="CQ78" s="5" t="str">
        <f t="shared" si="646"/>
        <v/>
      </c>
      <c r="CR78" s="5" t="str">
        <f t="shared" si="647"/>
        <v/>
      </c>
      <c r="CS78" s="8" t="str">
        <f t="shared" si="648"/>
        <v/>
      </c>
      <c r="CT78" s="9" t="str">
        <f t="shared" si="649"/>
        <v/>
      </c>
      <c r="CU78" s="6" t="str">
        <f t="shared" si="650"/>
        <v/>
      </c>
      <c r="CV78" s="4" t="str">
        <f t="shared" si="651"/>
        <v/>
      </c>
      <c r="CW78" s="5" t="str">
        <f t="shared" si="652"/>
        <v/>
      </c>
      <c r="CX78" s="8" t="str">
        <f t="shared" si="653"/>
        <v/>
      </c>
      <c r="CY78" s="9" t="str">
        <f t="shared" si="654"/>
        <v/>
      </c>
      <c r="CZ78" s="5" t="str">
        <f t="shared" si="655"/>
        <v/>
      </c>
      <c r="DA78" s="6" t="str">
        <f t="shared" si="656"/>
        <v/>
      </c>
      <c r="DB78" s="4" t="str">
        <f t="shared" si="657"/>
        <v/>
      </c>
      <c r="DC78" s="5" t="str">
        <f t="shared" si="657"/>
        <v/>
      </c>
      <c r="DD78" s="10" t="str">
        <f t="shared" si="658"/>
        <v/>
      </c>
      <c r="DE78" s="9" t="str">
        <f t="shared" si="659"/>
        <v/>
      </c>
      <c r="DF78" s="5" t="str">
        <f t="shared" si="659"/>
        <v/>
      </c>
      <c r="DG78" s="10" t="str">
        <f t="shared" si="660"/>
        <v/>
      </c>
      <c r="DH78" s="70" t="str">
        <f t="shared" si="661"/>
        <v/>
      </c>
      <c r="DI78" s="4" t="str">
        <f t="shared" si="662"/>
        <v/>
      </c>
      <c r="DJ78" s="5" t="str">
        <f t="shared" si="663"/>
        <v/>
      </c>
      <c r="DK78" s="10" t="str">
        <f t="shared" si="664"/>
        <v/>
      </c>
      <c r="DL78" s="9" t="str">
        <f t="shared" si="665"/>
        <v/>
      </c>
      <c r="DM78" s="173" t="str">
        <f t="shared" si="666"/>
        <v/>
      </c>
      <c r="DN78" s="178" t="str">
        <f t="shared" si="667"/>
        <v/>
      </c>
      <c r="DO78" s="9" t="str">
        <f t="shared" si="668"/>
        <v/>
      </c>
      <c r="DP78" s="173" t="str">
        <f t="shared" si="669"/>
        <v/>
      </c>
      <c r="DQ78" s="11" t="str">
        <f t="shared" si="670"/>
        <v/>
      </c>
      <c r="DR78" s="173" t="str">
        <f t="shared" si="671"/>
        <v/>
      </c>
      <c r="DS78" s="5" t="str">
        <f t="shared" si="672"/>
        <v/>
      </c>
      <c r="DT78" s="5" t="str">
        <f t="shared" si="673"/>
        <v/>
      </c>
      <c r="DU78" s="5" t="str">
        <f t="shared" si="674"/>
        <v/>
      </c>
      <c r="DV78" s="5" t="str">
        <f t="shared" si="675"/>
        <v/>
      </c>
      <c r="DW78" s="5" t="str">
        <f t="shared" si="676"/>
        <v/>
      </c>
      <c r="DX78" s="167" t="str">
        <f t="shared" si="677"/>
        <v/>
      </c>
      <c r="DY78" s="9" t="str">
        <f t="shared" si="678"/>
        <v/>
      </c>
      <c r="DZ78" s="5" t="str">
        <f t="shared" si="679"/>
        <v/>
      </c>
      <c r="EA78" s="10" t="str">
        <f t="shared" si="680"/>
        <v/>
      </c>
      <c r="EB78" s="6" t="str">
        <f t="shared" si="681"/>
        <v/>
      </c>
      <c r="EC78" s="173" t="str">
        <f t="shared" si="682"/>
        <v/>
      </c>
      <c r="ED78" s="5" t="str">
        <f t="shared" si="683"/>
        <v/>
      </c>
      <c r="EE78" s="4" t="str">
        <f t="shared" si="684"/>
        <v/>
      </c>
      <c r="EF78" s="5" t="str">
        <f t="shared" si="685"/>
        <v/>
      </c>
      <c r="EG78" s="10" t="str">
        <f t="shared" si="686"/>
        <v/>
      </c>
      <c r="EH78" s="9" t="str">
        <f t="shared" si="687"/>
        <v/>
      </c>
      <c r="EI78" s="5" t="str">
        <f t="shared" si="688"/>
        <v/>
      </c>
      <c r="EJ78" s="6" t="str">
        <f t="shared" si="689"/>
        <v/>
      </c>
      <c r="EK78" s="236" t="str">
        <f t="shared" si="690"/>
        <v/>
      </c>
      <c r="EL78" s="238" t="str">
        <f t="shared" si="691"/>
        <v/>
      </c>
      <c r="EM78" s="4" t="str">
        <f t="shared" si="692"/>
        <v/>
      </c>
      <c r="EN78" s="5" t="str">
        <f t="shared" si="693"/>
        <v/>
      </c>
      <c r="EO78" s="10" t="str">
        <f t="shared" si="694"/>
        <v/>
      </c>
      <c r="EP78" s="9" t="str">
        <f t="shared" si="695"/>
        <v/>
      </c>
      <c r="EQ78" s="5" t="str">
        <f t="shared" si="696"/>
        <v/>
      </c>
      <c r="ER78" s="7" t="str">
        <f t="shared" si="697"/>
        <v/>
      </c>
      <c r="ES78" s="21" t="str">
        <f t="shared" si="547"/>
        <v/>
      </c>
      <c r="ET78" s="5" t="str">
        <f t="shared" si="548"/>
        <v/>
      </c>
      <c r="EU78" s="10" t="str">
        <f t="shared" si="549"/>
        <v/>
      </c>
      <c r="EV78" s="174" t="str">
        <f t="shared" si="550"/>
        <v/>
      </c>
      <c r="EW78" s="9" t="str">
        <f t="shared" si="551"/>
        <v/>
      </c>
      <c r="EX78" s="5" t="str">
        <f t="shared" si="552"/>
        <v/>
      </c>
      <c r="EY78" s="6" t="str">
        <f t="shared" si="698"/>
        <v/>
      </c>
      <c r="EZ78" s="51" t="str">
        <f t="shared" si="699"/>
        <v/>
      </c>
      <c r="FA78" s="173" t="str">
        <f t="shared" si="553"/>
        <v/>
      </c>
      <c r="FB78" s="5" t="str">
        <f t="shared" si="554"/>
        <v/>
      </c>
      <c r="FC78" s="6" t="str">
        <f t="shared" si="555"/>
        <v/>
      </c>
      <c r="FD78" s="4" t="str">
        <f t="shared" si="556"/>
        <v/>
      </c>
      <c r="FE78" s="5" t="str">
        <f t="shared" si="557"/>
        <v/>
      </c>
      <c r="FF78" s="7" t="str">
        <f t="shared" si="700"/>
        <v/>
      </c>
      <c r="FG78" s="173" t="str">
        <f t="shared" si="558"/>
        <v/>
      </c>
      <c r="FH78" s="5" t="str">
        <f t="shared" si="559"/>
        <v/>
      </c>
      <c r="FI78" s="10" t="str">
        <f t="shared" si="560"/>
        <v/>
      </c>
      <c r="FJ78" s="279" t="str">
        <f t="shared" si="701"/>
        <v/>
      </c>
      <c r="FK78" s="4" t="str">
        <f t="shared" si="561"/>
        <v/>
      </c>
      <c r="FL78" s="5" t="str">
        <f t="shared" si="626"/>
        <v/>
      </c>
      <c r="FM78" s="8" t="str">
        <f t="shared" si="627"/>
        <v/>
      </c>
      <c r="FN78" s="9" t="str">
        <f t="shared" si="628"/>
        <v/>
      </c>
      <c r="FO78" s="10" t="str">
        <f t="shared" si="562"/>
        <v/>
      </c>
      <c r="FP78" s="277" t="str">
        <f t="shared" si="629"/>
        <v/>
      </c>
      <c r="FQ78" s="173" t="str">
        <f t="shared" si="702"/>
        <v/>
      </c>
      <c r="FR78" s="10" t="str">
        <f t="shared" si="703"/>
        <v/>
      </c>
      <c r="FS78" s="9" t="str">
        <f t="shared" si="704"/>
        <v/>
      </c>
      <c r="FT78" s="6" t="str">
        <f t="shared" si="705"/>
        <v/>
      </c>
      <c r="FU78" s="4" t="str">
        <f t="shared" si="706"/>
        <v/>
      </c>
      <c r="FV78" s="5" t="str">
        <f t="shared" si="707"/>
        <v/>
      </c>
      <c r="FW78" s="8" t="str">
        <f t="shared" si="708"/>
        <v/>
      </c>
      <c r="FX78" s="9" t="str">
        <f t="shared" si="709"/>
        <v/>
      </c>
      <c r="FY78" s="10" t="str">
        <f t="shared" si="563"/>
        <v/>
      </c>
      <c r="FZ78" s="277" t="str">
        <f t="shared" si="710"/>
        <v/>
      </c>
      <c r="GA78" s="177" t="str">
        <f t="shared" si="711"/>
        <v/>
      </c>
      <c r="GB78" s="4" t="str">
        <f t="shared" si="712"/>
        <v/>
      </c>
      <c r="GC78" s="5" t="str">
        <f t="shared" si="713"/>
        <v/>
      </c>
      <c r="GD78" s="10" t="str">
        <f t="shared" si="714"/>
        <v/>
      </c>
      <c r="GE78" s="311" t="str">
        <f t="shared" si="715"/>
        <v/>
      </c>
      <c r="GF78" s="341" t="str">
        <f t="shared" si="716"/>
        <v/>
      </c>
      <c r="GG78" s="285" t="str">
        <f t="shared" si="564"/>
        <v/>
      </c>
      <c r="GH78" s="286" t="str">
        <f t="shared" si="565"/>
        <v/>
      </c>
      <c r="GI78" s="281" t="str">
        <f t="shared" si="566"/>
        <v/>
      </c>
      <c r="GJ78" s="167" t="str">
        <f t="shared" si="717"/>
        <v/>
      </c>
      <c r="GK78" s="174" t="str">
        <f t="shared" si="567"/>
        <v/>
      </c>
      <c r="GL78" s="174" t="str">
        <f t="shared" si="718"/>
        <v/>
      </c>
      <c r="GM78" s="177" t="str">
        <f t="shared" si="719"/>
        <v/>
      </c>
      <c r="GN78" s="280" t="str">
        <f t="shared" si="720"/>
        <v/>
      </c>
      <c r="GO78" s="4" t="str">
        <f t="shared" si="721"/>
        <v/>
      </c>
      <c r="GP78" s="8" t="str">
        <f t="shared" si="722"/>
        <v/>
      </c>
      <c r="GQ78" s="177" t="str">
        <f t="shared" si="723"/>
        <v/>
      </c>
      <c r="GR78" s="371" t="str">
        <f t="shared" si="724"/>
        <v/>
      </c>
      <c r="GS78" s="342" t="str">
        <f t="shared" si="568"/>
        <v/>
      </c>
      <c r="GT78" s="343" t="str">
        <f t="shared" si="569"/>
        <v/>
      </c>
      <c r="GU78" s="344" t="str">
        <f t="shared" si="570"/>
        <v/>
      </c>
      <c r="GV78" s="343" t="str">
        <f t="shared" si="725"/>
        <v/>
      </c>
      <c r="GW78" s="345" t="str">
        <f t="shared" si="571"/>
        <v/>
      </c>
      <c r="GX78" s="346" t="str">
        <f t="shared" si="572"/>
        <v/>
      </c>
      <c r="GY78" s="344" t="str">
        <f t="shared" si="573"/>
        <v/>
      </c>
      <c r="GZ78" s="345" t="str">
        <f t="shared" si="574"/>
        <v/>
      </c>
      <c r="HA78" s="342" t="str">
        <f t="shared" si="575"/>
        <v/>
      </c>
      <c r="HB78" s="5" t="str">
        <f t="shared" si="726"/>
        <v/>
      </c>
      <c r="HC78" s="343" t="str">
        <f t="shared" si="727"/>
        <v/>
      </c>
      <c r="HD78" s="363" t="str">
        <f t="shared" si="728"/>
        <v/>
      </c>
      <c r="HE78" s="344" t="str">
        <f t="shared" si="576"/>
        <v/>
      </c>
      <c r="HF78" s="5" t="str">
        <f t="shared" si="577"/>
        <v/>
      </c>
      <c r="HG78" s="343" t="str">
        <f t="shared" si="729"/>
        <v/>
      </c>
      <c r="HH78" s="349" t="str">
        <f t="shared" si="730"/>
        <v/>
      </c>
      <c r="HI78" s="317" t="str">
        <f t="shared" si="578"/>
        <v/>
      </c>
      <c r="HK78" s="310" t="str">
        <f t="shared" si="630"/>
        <v/>
      </c>
      <c r="HL78" s="348" t="str">
        <f t="shared" si="579"/>
        <v/>
      </c>
      <c r="HM78" s="909" t="str">
        <f t="shared" si="580"/>
        <v/>
      </c>
      <c r="HN78" s="910" t="str">
        <f t="shared" si="581"/>
        <v/>
      </c>
      <c r="HO78" s="911"/>
      <c r="HP78" s="912"/>
      <c r="HQ78" s="910" t="str">
        <f t="shared" si="582"/>
        <v/>
      </c>
      <c r="HR78" s="913" t="str">
        <f t="shared" si="583"/>
        <v/>
      </c>
      <c r="HS78" s="865" t="str">
        <f t="shared" si="631"/>
        <v/>
      </c>
      <c r="HT78" s="875" t="str">
        <f t="shared" si="584"/>
        <v/>
      </c>
      <c r="HU78" s="876" t="str">
        <f t="shared" si="585"/>
        <v/>
      </c>
      <c r="HV78" s="872" t="str">
        <f t="shared" si="586"/>
        <v/>
      </c>
      <c r="HW78" s="866" t="str">
        <f t="shared" si="587"/>
        <v/>
      </c>
      <c r="HX78" s="867" t="str">
        <f t="shared" si="588"/>
        <v/>
      </c>
      <c r="HY78" s="866" t="str">
        <f t="shared" si="589"/>
        <v/>
      </c>
      <c r="HZ78" s="868" t="str">
        <f t="shared" si="590"/>
        <v/>
      </c>
      <c r="IA78" s="869" t="str">
        <f t="shared" si="591"/>
        <v/>
      </c>
      <c r="IB78" s="870" t="str">
        <f t="shared" si="592"/>
        <v/>
      </c>
      <c r="IC78" s="841" t="str">
        <f t="shared" si="593"/>
        <v/>
      </c>
      <c r="ID78" s="351" t="str">
        <f t="shared" si="594"/>
        <v/>
      </c>
      <c r="IE78" s="843" t="str">
        <f t="shared" si="595"/>
        <v/>
      </c>
      <c r="IF78" s="844"/>
      <c r="IG78" s="790" t="str">
        <f>IFERROR(IF($IW78="","",IF($IW78&lt;(((Settings!$C$19/2)*-1)*$IG$8),"Taper","Nose")),"")</f>
        <v>Nose</v>
      </c>
      <c r="IH78" s="482" t="str">
        <f>IFERROR(IF((((($IY78*COS(RADIANS(180-$JA78)))*COS(RADIANS($JA78)))-(($IZ78*SIN(RADIANS(180-$JA78)))*SIN(RADIANS($JA78))))+$IW78)&lt;(((Settings!$C$19+$IH$8)/2)*-1),"Gage",""),"")</f>
        <v/>
      </c>
      <c r="II78" s="788">
        <f t="shared" si="731"/>
        <v>5.2190000000000003</v>
      </c>
      <c r="IJ78" s="674" cm="1">
        <f t="array" ref="IJ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>5.1189999999999998</v>
      </c>
      <c r="IK78" s="677" cm="1">
        <f t="array" ref="IK78">IFERROR(ROUND(VALUE(IF($IJ78&lt;1,$IJ78+LARGE((IF($M$9:$M$150="",0,$M$9:$M$150)-MOD(IF($M$9:$M$150="",0,$M$9:$M$150),1)),1),$IJ78)),4),"")</f>
        <v>5.1189999999999998</v>
      </c>
      <c r="IL78" s="482">
        <f t="shared" si="596"/>
        <v>1613</v>
      </c>
      <c r="IM78" s="482" t="str">
        <f t="shared" si="732"/>
        <v>CPS-32193r1</v>
      </c>
      <c r="IN78" s="670">
        <f t="shared" si="597"/>
        <v>16.787136461147497</v>
      </c>
      <c r="IO78" s="702">
        <v>6.3871201150599702E-2</v>
      </c>
      <c r="IP78" s="5">
        <f t="shared" si="598"/>
        <v>1.68</v>
      </c>
      <c r="IQ78" s="714">
        <v>840</v>
      </c>
      <c r="IR78" s="9">
        <f t="shared" si="599"/>
        <v>-3.5699296323723511</v>
      </c>
      <c r="IS78" s="5">
        <f t="shared" si="600"/>
        <v>-0.16965972071838162</v>
      </c>
      <c r="IT78" s="5">
        <f t="shared" si="601"/>
        <v>0.3125</v>
      </c>
      <c r="IU78" s="5">
        <f t="shared" si="602"/>
        <v>0.30055347981194241</v>
      </c>
      <c r="IV78" s="670">
        <f t="shared" si="603"/>
        <v>19.63131247542724</v>
      </c>
      <c r="IW78" s="9">
        <f t="shared" si="604"/>
        <v>-3.5682539723265454</v>
      </c>
      <c r="IX78" s="5">
        <f t="shared" si="605"/>
        <v>-0.20246261363798021</v>
      </c>
      <c r="IY78" s="5">
        <f t="shared" si="606"/>
        <v>0.255</v>
      </c>
      <c r="IZ78" s="5">
        <f t="shared" si="607"/>
        <v>0.255</v>
      </c>
      <c r="JA78" s="705">
        <f t="shared" si="608"/>
        <v>12.999998123032507</v>
      </c>
    </row>
    <row r="79" spans="1:261" ht="15" customHeight="1" x14ac:dyDescent="0.25">
      <c r="A79" s="75">
        <f t="shared" si="256"/>
        <v>0.02</v>
      </c>
      <c r="B79" s="578">
        <f t="shared" si="515"/>
        <v>-4.0616870476615974</v>
      </c>
      <c r="C79" s="572">
        <f t="shared" si="516"/>
        <v>-1.2780944075214868</v>
      </c>
      <c r="D79" s="576">
        <f t="shared" si="517"/>
        <v>-0.53676245296952885</v>
      </c>
      <c r="E79" s="580">
        <f t="shared" si="518"/>
        <v>2.2248094992542766E-2</v>
      </c>
      <c r="F79" s="572">
        <f t="shared" si="519"/>
        <v>-0.94433964618443711</v>
      </c>
      <c r="G79" s="579">
        <f t="shared" si="520"/>
        <v>0.32821891309529228</v>
      </c>
      <c r="H79" s="580">
        <f t="shared" si="521"/>
        <v>0.26450000000000001</v>
      </c>
      <c r="I79" s="572">
        <f t="shared" si="522"/>
        <v>0.52</v>
      </c>
      <c r="J79" s="483">
        <f t="shared" si="523"/>
        <v>5.2249999999999996</v>
      </c>
      <c r="K79" s="806">
        <f t="shared" si="524"/>
        <v>1313</v>
      </c>
      <c r="L79" s="309"/>
      <c r="M79" s="164">
        <f t="shared" si="526"/>
        <v>5.2249999999999996</v>
      </c>
      <c r="N79" s="575">
        <f t="shared" si="527"/>
        <v>-4.0616870476615974</v>
      </c>
      <c r="O79" s="572">
        <f t="shared" si="528"/>
        <v>-1.2780944075214868</v>
      </c>
      <c r="P79" s="576">
        <f t="shared" si="529"/>
        <v>-0.53676245296952885</v>
      </c>
      <c r="Q79" s="528">
        <f t="shared" si="609"/>
        <v>197.46726776911402</v>
      </c>
      <c r="R79" s="572">
        <f>IF(M79="","",SQRT(N79^2+O79^2))</f>
        <v>4.258030881484971</v>
      </c>
      <c r="S79" s="577">
        <f>IF(M79="","",P79)</f>
        <v>-0.53676245296952885</v>
      </c>
      <c r="T79" s="578">
        <f>IF(M79="","",X79*COS(RADIANS(W79)))</f>
        <v>-1.3087451873586426</v>
      </c>
      <c r="U79" s="572">
        <f>IF(M79="","",X79*SIN(RADIANS(W79)))</f>
        <v>4.0519147353128337</v>
      </c>
      <c r="V79" s="579">
        <f>IF(M79="","",Y79)</f>
        <v>-0.53676245296952885</v>
      </c>
      <c r="W79" s="528">
        <f t="shared" ref="W79:W129" si="735">IF(M79="","",IF(Q79-$Q$8&lt;0,360+Q79-$Q$8,Q79-$Q$8))</f>
        <v>107.900158614985</v>
      </c>
      <c r="X79" s="572">
        <f>IF(M79="","",R79)</f>
        <v>4.258030881484971</v>
      </c>
      <c r="Y79" s="573">
        <f t="shared" si="733"/>
        <v>-0.53676245296952885</v>
      </c>
      <c r="Z79" s="575">
        <f t="shared" si="530"/>
        <v>-2.2248094992542766E-2</v>
      </c>
      <c r="AA79" s="572">
        <f t="shared" si="531"/>
        <v>0.94433964618443711</v>
      </c>
      <c r="AB79" s="572">
        <f t="shared" si="532"/>
        <v>-0.32821891309529228</v>
      </c>
      <c r="AC79" s="579">
        <f>IF(M79="","",SQRT(Z79^2+AA79^2+AB79^2))</f>
        <v>1</v>
      </c>
      <c r="AD79" s="580">
        <f>IF(M79="","",Z79*(1/SQRT(Z79^2+AA79^2+AB79^2)))</f>
        <v>-2.2248094992542766E-2</v>
      </c>
      <c r="AE79" s="572">
        <f>IF(M79="","",AA79*(1/SQRT(Z79^2+AA79^2+AB79^2)))</f>
        <v>0.94433964618443711</v>
      </c>
      <c r="AF79" s="576">
        <f>IF(M79="","",AB79*(1/SQRT(Z79^2+AA79^2+AB79^2)))</f>
        <v>-0.32821891309529228</v>
      </c>
      <c r="AG79" s="545">
        <f>IF(M79="","",DEGREES(ATAN2(-AF79,AE79)))</f>
        <v>70.834364606113979</v>
      </c>
      <c r="AH79" s="546">
        <f>IF(M79="","",DEGREES(ACOS(AD79)))</f>
        <v>91.274827128538348</v>
      </c>
      <c r="AI79" s="528">
        <f>IF(M79="","",DEGREES(-ACOS(-AF79)))</f>
        <v>-70.839293630154359</v>
      </c>
      <c r="AJ79" s="529">
        <f>IF(M79="","",DEGREES(ATAN2(-AE79,AD79)))</f>
        <v>-178.65039428800301</v>
      </c>
      <c r="AK79" s="578">
        <f>IF(M79="","",(COS(RADIANS((90-$Q$8)-W79))*AD79)+(-SIN(RADIANS((90-$Q$8)-W79))*AE79))</f>
        <v>0.90747281615324227</v>
      </c>
      <c r="AL79" s="572">
        <f>IF(M79="","",(SIN(RADIANS((90-$Q$8)-W79))*AD79)+(COS(RADIANS((90-$Q$8)-W79))*AE79))</f>
        <v>-0.26223164002356569</v>
      </c>
      <c r="AM79" s="577">
        <f>IF(M79="","",AF79)</f>
        <v>-0.32821891309529228</v>
      </c>
      <c r="AN79" s="524">
        <f>IF(M79="","",DEGREES(ATAN2(-AM79,AL79)))</f>
        <v>-38.623227592362632</v>
      </c>
      <c r="AO79" s="525">
        <f t="shared" si="525"/>
        <v>24.841583228699903</v>
      </c>
      <c r="AP79" s="528">
        <f>IF(M79="","",DEGREES(ATAN2(AK79,AL79)))</f>
        <v>-16.117662057117023</v>
      </c>
      <c r="AQ79" s="529">
        <f t="shared" si="533"/>
        <v>1.0706645098597114</v>
      </c>
      <c r="AS79" s="932">
        <f t="shared" si="632"/>
        <v>107.900158614985</v>
      </c>
      <c r="AT79" s="928">
        <f t="shared" si="534"/>
        <v>-0.19034836523167104</v>
      </c>
      <c r="AU79" s="418"/>
      <c r="AV79" s="164" t="str">
        <f t="shared" si="535"/>
        <v/>
      </c>
      <c r="AW79" s="797" t="str">
        <f>IFERROR(INDEX(MassProp!C$9:C$150,MATCH($M79,MassProp!$B$9:$B$150,0)),"")</f>
        <v/>
      </c>
      <c r="AX79" s="744" t="str">
        <f>IFERROR(INDEX(MassProp!D$9:D$150,MATCH($M79,MassProp!$B$9:$B$150,0)),"")</f>
        <v/>
      </c>
      <c r="AY79" s="731" t="str">
        <f>IFERROR(INDEX(MassProp!E$9:E$150,MATCH($M79,MassProp!$B$9:$B$150,0)),"")</f>
        <v/>
      </c>
      <c r="AZ79" s="297" t="str">
        <f t="shared" si="633"/>
        <v/>
      </c>
      <c r="BA79" s="296" t="str">
        <f t="shared" si="536"/>
        <v/>
      </c>
      <c r="BB79" s="177" t="str">
        <f t="shared" si="610"/>
        <v/>
      </c>
      <c r="BC79" s="9"/>
      <c r="BD79" s="5" t="str">
        <f t="shared" si="611"/>
        <v/>
      </c>
      <c r="BE79" s="6" t="str">
        <f t="shared" si="537"/>
        <v/>
      </c>
      <c r="BF79" s="4" t="str">
        <f t="shared" si="538"/>
        <v/>
      </c>
      <c r="BG79" s="5" t="str">
        <f t="shared" si="539"/>
        <v/>
      </c>
      <c r="BH79" s="10" t="str">
        <f t="shared" si="540"/>
        <v/>
      </c>
      <c r="BI79" s="9" t="str">
        <f t="shared" si="634"/>
        <v/>
      </c>
      <c r="BJ79" s="5" t="str">
        <f t="shared" si="541"/>
        <v/>
      </c>
      <c r="BK79" s="8" t="str">
        <f t="shared" si="542"/>
        <v/>
      </c>
      <c r="BL79" s="173" t="str">
        <f t="shared" si="543"/>
        <v/>
      </c>
      <c r="BM79" s="5" t="str">
        <f t="shared" si="544"/>
        <v/>
      </c>
      <c r="BN79" s="6" t="str">
        <f t="shared" si="545"/>
        <v/>
      </c>
      <c r="BO79" s="4" t="str">
        <f t="shared" si="635"/>
        <v/>
      </c>
      <c r="BP79" s="5" t="str">
        <f t="shared" si="734"/>
        <v/>
      </c>
      <c r="BQ79" s="5" t="str">
        <f t="shared" si="636"/>
        <v/>
      </c>
      <c r="BR79" s="6" t="str">
        <f t="shared" si="637"/>
        <v/>
      </c>
      <c r="BS79" s="4" t="str">
        <f t="shared" si="612"/>
        <v/>
      </c>
      <c r="BT79" s="5" t="str">
        <f t="shared" si="612"/>
        <v/>
      </c>
      <c r="BU79" s="10" t="str">
        <f t="shared" si="613"/>
        <v/>
      </c>
      <c r="BV79" s="9" t="str">
        <f t="shared" si="614"/>
        <v/>
      </c>
      <c r="BW79" s="5" t="str">
        <f t="shared" si="615"/>
        <v/>
      </c>
      <c r="BX79" s="8" t="str">
        <f t="shared" si="616"/>
        <v/>
      </c>
      <c r="BY79" s="173" t="str">
        <f t="shared" si="617"/>
        <v/>
      </c>
      <c r="BZ79" s="5" t="str">
        <f t="shared" si="618"/>
        <v/>
      </c>
      <c r="CA79" s="6" t="str">
        <f t="shared" si="619"/>
        <v/>
      </c>
      <c r="CB79" s="4" t="str">
        <f t="shared" si="638"/>
        <v/>
      </c>
      <c r="CC79" s="5" t="str">
        <f t="shared" si="639"/>
        <v/>
      </c>
      <c r="CD79" s="5" t="str">
        <f t="shared" si="640"/>
        <v/>
      </c>
      <c r="CE79" s="6" t="str">
        <f t="shared" si="641"/>
        <v/>
      </c>
      <c r="CF79" s="4" t="str">
        <f t="shared" si="642"/>
        <v/>
      </c>
      <c r="CG79" s="5" t="str">
        <f t="shared" si="643"/>
        <v/>
      </c>
      <c r="CH79" s="5" t="str">
        <f t="shared" si="644"/>
        <v/>
      </c>
      <c r="CI79" s="4" t="str">
        <f t="shared" si="620"/>
        <v/>
      </c>
      <c r="CJ79" s="5" t="str">
        <f t="shared" si="621"/>
        <v/>
      </c>
      <c r="CK79" s="8" t="str">
        <f t="shared" si="622"/>
        <v/>
      </c>
      <c r="CL79" s="173" t="str">
        <f t="shared" si="623"/>
        <v/>
      </c>
      <c r="CM79" s="5" t="str">
        <f t="shared" si="624"/>
        <v/>
      </c>
      <c r="CN79" s="6" t="str">
        <f t="shared" si="625"/>
        <v/>
      </c>
      <c r="CO79" s="167" t="str">
        <f t="shared" si="546"/>
        <v/>
      </c>
      <c r="CP79" s="4" t="str">
        <f t="shared" si="645"/>
        <v/>
      </c>
      <c r="CQ79" s="5" t="str">
        <f t="shared" si="646"/>
        <v/>
      </c>
      <c r="CR79" s="5" t="str">
        <f t="shared" si="647"/>
        <v/>
      </c>
      <c r="CS79" s="8" t="str">
        <f t="shared" si="648"/>
        <v/>
      </c>
      <c r="CT79" s="9" t="str">
        <f t="shared" si="649"/>
        <v/>
      </c>
      <c r="CU79" s="6" t="str">
        <f t="shared" si="650"/>
        <v/>
      </c>
      <c r="CV79" s="4" t="str">
        <f t="shared" si="651"/>
        <v/>
      </c>
      <c r="CW79" s="5" t="str">
        <f t="shared" si="652"/>
        <v/>
      </c>
      <c r="CX79" s="8" t="str">
        <f t="shared" si="653"/>
        <v/>
      </c>
      <c r="CY79" s="9" t="str">
        <f t="shared" si="654"/>
        <v/>
      </c>
      <c r="CZ79" s="5" t="str">
        <f t="shared" si="655"/>
        <v/>
      </c>
      <c r="DA79" s="6" t="str">
        <f t="shared" si="656"/>
        <v/>
      </c>
      <c r="DB79" s="4" t="str">
        <f t="shared" si="657"/>
        <v/>
      </c>
      <c r="DC79" s="5" t="str">
        <f t="shared" si="657"/>
        <v/>
      </c>
      <c r="DD79" s="10" t="str">
        <f t="shared" si="658"/>
        <v/>
      </c>
      <c r="DE79" s="9" t="str">
        <f t="shared" si="659"/>
        <v/>
      </c>
      <c r="DF79" s="5" t="str">
        <f t="shared" si="659"/>
        <v/>
      </c>
      <c r="DG79" s="10" t="str">
        <f t="shared" si="660"/>
        <v/>
      </c>
      <c r="DH79" s="70" t="str">
        <f t="shared" si="661"/>
        <v/>
      </c>
      <c r="DI79" s="4" t="str">
        <f t="shared" si="662"/>
        <v/>
      </c>
      <c r="DJ79" s="5" t="str">
        <f t="shared" si="663"/>
        <v/>
      </c>
      <c r="DK79" s="10" t="str">
        <f t="shared" si="664"/>
        <v/>
      </c>
      <c r="DL79" s="9" t="str">
        <f t="shared" si="665"/>
        <v/>
      </c>
      <c r="DM79" s="173" t="str">
        <f t="shared" si="666"/>
        <v/>
      </c>
      <c r="DN79" s="178" t="str">
        <f t="shared" si="667"/>
        <v/>
      </c>
      <c r="DO79" s="9" t="str">
        <f t="shared" si="668"/>
        <v/>
      </c>
      <c r="DP79" s="173" t="str">
        <f t="shared" si="669"/>
        <v/>
      </c>
      <c r="DQ79" s="11" t="str">
        <f t="shared" si="670"/>
        <v/>
      </c>
      <c r="DR79" s="173" t="str">
        <f t="shared" si="671"/>
        <v/>
      </c>
      <c r="DS79" s="5" t="str">
        <f t="shared" si="672"/>
        <v/>
      </c>
      <c r="DT79" s="5" t="str">
        <f t="shared" si="673"/>
        <v/>
      </c>
      <c r="DU79" s="5" t="str">
        <f t="shared" si="674"/>
        <v/>
      </c>
      <c r="DV79" s="5" t="str">
        <f t="shared" si="675"/>
        <v/>
      </c>
      <c r="DW79" s="5" t="str">
        <f t="shared" si="676"/>
        <v/>
      </c>
      <c r="DX79" s="167" t="str">
        <f t="shared" si="677"/>
        <v/>
      </c>
      <c r="DY79" s="9" t="str">
        <f t="shared" si="678"/>
        <v/>
      </c>
      <c r="DZ79" s="5" t="str">
        <f t="shared" si="679"/>
        <v/>
      </c>
      <c r="EA79" s="10" t="str">
        <f t="shared" si="680"/>
        <v/>
      </c>
      <c r="EB79" s="6" t="str">
        <f t="shared" si="681"/>
        <v/>
      </c>
      <c r="EC79" s="173" t="str">
        <f t="shared" si="682"/>
        <v/>
      </c>
      <c r="ED79" s="5" t="str">
        <f t="shared" si="683"/>
        <v/>
      </c>
      <c r="EE79" s="4" t="str">
        <f t="shared" si="684"/>
        <v/>
      </c>
      <c r="EF79" s="5" t="str">
        <f t="shared" si="685"/>
        <v/>
      </c>
      <c r="EG79" s="10" t="str">
        <f t="shared" si="686"/>
        <v/>
      </c>
      <c r="EH79" s="9" t="str">
        <f t="shared" si="687"/>
        <v/>
      </c>
      <c r="EI79" s="5" t="str">
        <f t="shared" si="688"/>
        <v/>
      </c>
      <c r="EJ79" s="6" t="str">
        <f t="shared" si="689"/>
        <v/>
      </c>
      <c r="EK79" s="236" t="str">
        <f t="shared" si="690"/>
        <v/>
      </c>
      <c r="EL79" s="238" t="str">
        <f t="shared" si="691"/>
        <v/>
      </c>
      <c r="EM79" s="4" t="str">
        <f t="shared" si="692"/>
        <v/>
      </c>
      <c r="EN79" s="5" t="str">
        <f t="shared" si="693"/>
        <v/>
      </c>
      <c r="EO79" s="10" t="str">
        <f t="shared" si="694"/>
        <v/>
      </c>
      <c r="EP79" s="9" t="str">
        <f t="shared" si="695"/>
        <v/>
      </c>
      <c r="EQ79" s="5" t="str">
        <f t="shared" si="696"/>
        <v/>
      </c>
      <c r="ER79" s="7" t="str">
        <f t="shared" si="697"/>
        <v/>
      </c>
      <c r="ES79" s="21" t="str">
        <f t="shared" si="547"/>
        <v/>
      </c>
      <c r="ET79" s="5" t="str">
        <f t="shared" si="548"/>
        <v/>
      </c>
      <c r="EU79" s="10" t="str">
        <f t="shared" si="549"/>
        <v/>
      </c>
      <c r="EV79" s="174" t="str">
        <f t="shared" si="550"/>
        <v/>
      </c>
      <c r="EW79" s="9" t="str">
        <f t="shared" si="551"/>
        <v/>
      </c>
      <c r="EX79" s="5" t="str">
        <f t="shared" si="552"/>
        <v/>
      </c>
      <c r="EY79" s="6" t="str">
        <f t="shared" si="698"/>
        <v/>
      </c>
      <c r="EZ79" s="51" t="str">
        <f t="shared" si="699"/>
        <v/>
      </c>
      <c r="FA79" s="173" t="str">
        <f t="shared" si="553"/>
        <v/>
      </c>
      <c r="FB79" s="5" t="str">
        <f t="shared" si="554"/>
        <v/>
      </c>
      <c r="FC79" s="6" t="str">
        <f t="shared" si="555"/>
        <v/>
      </c>
      <c r="FD79" s="4" t="str">
        <f t="shared" si="556"/>
        <v/>
      </c>
      <c r="FE79" s="5" t="str">
        <f t="shared" si="557"/>
        <v/>
      </c>
      <c r="FF79" s="7" t="str">
        <f t="shared" si="700"/>
        <v/>
      </c>
      <c r="FG79" s="173" t="str">
        <f t="shared" si="558"/>
        <v/>
      </c>
      <c r="FH79" s="5" t="str">
        <f t="shared" si="559"/>
        <v/>
      </c>
      <c r="FI79" s="10" t="str">
        <f t="shared" si="560"/>
        <v/>
      </c>
      <c r="FJ79" s="279" t="str">
        <f t="shared" si="701"/>
        <v/>
      </c>
      <c r="FK79" s="4" t="str">
        <f t="shared" si="561"/>
        <v/>
      </c>
      <c r="FL79" s="5" t="str">
        <f t="shared" si="626"/>
        <v/>
      </c>
      <c r="FM79" s="8" t="str">
        <f t="shared" si="627"/>
        <v/>
      </c>
      <c r="FN79" s="9" t="str">
        <f t="shared" si="628"/>
        <v/>
      </c>
      <c r="FO79" s="10" t="str">
        <f t="shared" si="562"/>
        <v/>
      </c>
      <c r="FP79" s="277" t="str">
        <f t="shared" si="629"/>
        <v/>
      </c>
      <c r="FQ79" s="173" t="str">
        <f t="shared" si="702"/>
        <v/>
      </c>
      <c r="FR79" s="10" t="str">
        <f t="shared" si="703"/>
        <v/>
      </c>
      <c r="FS79" s="9" t="str">
        <f t="shared" si="704"/>
        <v/>
      </c>
      <c r="FT79" s="6" t="str">
        <f t="shared" si="705"/>
        <v/>
      </c>
      <c r="FU79" s="4" t="str">
        <f t="shared" si="706"/>
        <v/>
      </c>
      <c r="FV79" s="5" t="str">
        <f t="shared" si="707"/>
        <v/>
      </c>
      <c r="FW79" s="8" t="str">
        <f t="shared" si="708"/>
        <v/>
      </c>
      <c r="FX79" s="9" t="str">
        <f t="shared" si="709"/>
        <v/>
      </c>
      <c r="FY79" s="10" t="str">
        <f t="shared" si="563"/>
        <v/>
      </c>
      <c r="FZ79" s="277" t="str">
        <f t="shared" si="710"/>
        <v/>
      </c>
      <c r="GA79" s="177" t="str">
        <f t="shared" si="711"/>
        <v/>
      </c>
      <c r="GB79" s="4" t="str">
        <f t="shared" si="712"/>
        <v/>
      </c>
      <c r="GC79" s="5" t="str">
        <f t="shared" si="713"/>
        <v/>
      </c>
      <c r="GD79" s="10" t="str">
        <f t="shared" si="714"/>
        <v/>
      </c>
      <c r="GE79" s="311" t="str">
        <f t="shared" si="715"/>
        <v/>
      </c>
      <c r="GF79" s="341" t="str">
        <f t="shared" si="716"/>
        <v/>
      </c>
      <c r="GG79" s="285" t="str">
        <f t="shared" si="564"/>
        <v/>
      </c>
      <c r="GH79" s="286" t="str">
        <f t="shared" si="565"/>
        <v/>
      </c>
      <c r="GI79" s="281" t="str">
        <f t="shared" si="566"/>
        <v/>
      </c>
      <c r="GJ79" s="167" t="str">
        <f t="shared" si="717"/>
        <v/>
      </c>
      <c r="GK79" s="174" t="str">
        <f t="shared" si="567"/>
        <v/>
      </c>
      <c r="GL79" s="174" t="str">
        <f t="shared" si="718"/>
        <v/>
      </c>
      <c r="GM79" s="177" t="str">
        <f t="shared" si="719"/>
        <v/>
      </c>
      <c r="GN79" s="280" t="str">
        <f t="shared" si="720"/>
        <v/>
      </c>
      <c r="GO79" s="4" t="str">
        <f t="shared" si="721"/>
        <v/>
      </c>
      <c r="GP79" s="8" t="str">
        <f t="shared" si="722"/>
        <v/>
      </c>
      <c r="GQ79" s="177" t="str">
        <f t="shared" si="723"/>
        <v/>
      </c>
      <c r="GR79" s="371" t="str">
        <f t="shared" si="724"/>
        <v/>
      </c>
      <c r="GS79" s="342" t="str">
        <f t="shared" si="568"/>
        <v/>
      </c>
      <c r="GT79" s="343" t="str">
        <f t="shared" si="569"/>
        <v/>
      </c>
      <c r="GU79" s="344" t="str">
        <f t="shared" si="570"/>
        <v/>
      </c>
      <c r="GV79" s="343" t="str">
        <f t="shared" si="725"/>
        <v/>
      </c>
      <c r="GW79" s="345" t="str">
        <f t="shared" si="571"/>
        <v/>
      </c>
      <c r="GX79" s="346" t="str">
        <f t="shared" si="572"/>
        <v/>
      </c>
      <c r="GY79" s="344" t="str">
        <f t="shared" si="573"/>
        <v/>
      </c>
      <c r="GZ79" s="345" t="str">
        <f t="shared" si="574"/>
        <v/>
      </c>
      <c r="HA79" s="342" t="str">
        <f t="shared" si="575"/>
        <v/>
      </c>
      <c r="HB79" s="5" t="str">
        <f t="shared" si="726"/>
        <v/>
      </c>
      <c r="HC79" s="343" t="str">
        <f t="shared" si="727"/>
        <v/>
      </c>
      <c r="HD79" s="363" t="str">
        <f t="shared" si="728"/>
        <v/>
      </c>
      <c r="HE79" s="344" t="str">
        <f t="shared" si="576"/>
        <v/>
      </c>
      <c r="HF79" s="5" t="str">
        <f t="shared" si="577"/>
        <v/>
      </c>
      <c r="HG79" s="343" t="str">
        <f t="shared" si="729"/>
        <v/>
      </c>
      <c r="HH79" s="349" t="str">
        <f t="shared" si="730"/>
        <v/>
      </c>
      <c r="HI79" s="317" t="str">
        <f t="shared" si="578"/>
        <v/>
      </c>
      <c r="HK79" s="310" t="str">
        <f t="shared" si="630"/>
        <v/>
      </c>
      <c r="HL79" s="348" t="str">
        <f t="shared" si="579"/>
        <v/>
      </c>
      <c r="HM79" s="909" t="str">
        <f t="shared" si="580"/>
        <v/>
      </c>
      <c r="HN79" s="910" t="str">
        <f t="shared" si="581"/>
        <v/>
      </c>
      <c r="HO79" s="911"/>
      <c r="HP79" s="912"/>
      <c r="HQ79" s="910" t="str">
        <f t="shared" si="582"/>
        <v/>
      </c>
      <c r="HR79" s="913" t="str">
        <f t="shared" si="583"/>
        <v/>
      </c>
      <c r="HS79" s="865" t="str">
        <f t="shared" si="631"/>
        <v/>
      </c>
      <c r="HT79" s="875" t="str">
        <f t="shared" si="584"/>
        <v/>
      </c>
      <c r="HU79" s="876" t="str">
        <f t="shared" si="585"/>
        <v/>
      </c>
      <c r="HV79" s="872" t="str">
        <f t="shared" si="586"/>
        <v/>
      </c>
      <c r="HW79" s="866" t="str">
        <f t="shared" si="587"/>
        <v/>
      </c>
      <c r="HX79" s="867" t="str">
        <f t="shared" si="588"/>
        <v/>
      </c>
      <c r="HY79" s="866" t="str">
        <f t="shared" si="589"/>
        <v/>
      </c>
      <c r="HZ79" s="868" t="str">
        <f t="shared" si="590"/>
        <v/>
      </c>
      <c r="IA79" s="869" t="str">
        <f t="shared" si="591"/>
        <v/>
      </c>
      <c r="IB79" s="870" t="str">
        <f t="shared" si="592"/>
        <v/>
      </c>
      <c r="IC79" s="841" t="str">
        <f t="shared" si="593"/>
        <v/>
      </c>
      <c r="ID79" s="351" t="str">
        <f t="shared" si="594"/>
        <v/>
      </c>
      <c r="IE79" s="843" t="str">
        <f t="shared" si="595"/>
        <v/>
      </c>
      <c r="IF79" s="844"/>
      <c r="IG79" s="790" t="str">
        <f>IFERROR(IF($IW79="","",IF($IW79&lt;(((Settings!$C$19/2)*-1)*$IG$8),"Taper","Nose")),"")</f>
        <v>Taper</v>
      </c>
      <c r="IH79" s="482" t="str">
        <f>IFERROR(IF((((($IY79*COS(RADIANS(180-$JA79)))*COS(RADIANS($JA79)))-(($IZ79*SIN(RADIANS(180-$JA79)))*SIN(RADIANS($JA79))))+$IW79)&lt;(((Settings!$C$19+$IH$8)/2)*-1),"Gage",""),"")</f>
        <v/>
      </c>
      <c r="II79" s="788">
        <f t="shared" si="731"/>
        <v>5.2249999999999996</v>
      </c>
      <c r="IJ79" s="674" cm="1">
        <f t="array" ref="IJ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>5.125</v>
      </c>
      <c r="IK79" s="677" cm="1">
        <f t="array" ref="IK79">IFERROR(ROUND(VALUE(IF($IJ79&lt;1,$IJ79+LARGE((IF($M$9:$M$150="",0,$M$9:$M$150)-MOD(IF($M$9:$M$150="",0,$M$9:$M$150),1)),1),$IJ79)),4),"")</f>
        <v>5.125</v>
      </c>
      <c r="IL79" s="482">
        <f t="shared" si="596"/>
        <v>1613</v>
      </c>
      <c r="IM79" s="482">
        <f t="shared" si="732"/>
        <v>1313</v>
      </c>
      <c r="IN79" s="670">
        <f t="shared" si="597"/>
        <v>11.293901149130562</v>
      </c>
      <c r="IO79" s="702">
        <v>3.4623034632939399E-2</v>
      </c>
      <c r="IP79" s="5">
        <f t="shared" si="598"/>
        <v>1.58</v>
      </c>
      <c r="IQ79" s="714">
        <v>790</v>
      </c>
      <c r="IR79" s="9">
        <f t="shared" si="599"/>
        <v>-4.242960581402202</v>
      </c>
      <c r="IS79" s="5">
        <f t="shared" si="600"/>
        <v>-0.53651537420653606</v>
      </c>
      <c r="IT79" s="5">
        <f t="shared" si="601"/>
        <v>0.3125</v>
      </c>
      <c r="IU79" s="5">
        <f t="shared" si="602"/>
        <v>0.29395936531265349</v>
      </c>
      <c r="IV79" s="670">
        <f t="shared" si="603"/>
        <v>38.485986851085471</v>
      </c>
      <c r="IW79" s="9">
        <f t="shared" si="604"/>
        <v>-4.258030881484971</v>
      </c>
      <c r="IX79" s="5">
        <f t="shared" si="605"/>
        <v>-0.53676245296952885</v>
      </c>
      <c r="IY79" s="5">
        <f t="shared" si="606"/>
        <v>0.26450000000000001</v>
      </c>
      <c r="IZ79" s="5">
        <f t="shared" si="607"/>
        <v>0.2400265598725326</v>
      </c>
      <c r="JA79" s="705">
        <f t="shared" si="608"/>
        <v>38.623227592362632</v>
      </c>
    </row>
    <row r="80" spans="1:261" ht="15" customHeight="1" x14ac:dyDescent="0.25">
      <c r="A80" s="75">
        <f t="shared" si="256"/>
        <v>0.02</v>
      </c>
      <c r="B80" s="578">
        <f t="shared" si="515"/>
        <v>-4.5281428554115832</v>
      </c>
      <c r="C80" s="572">
        <f t="shared" si="516"/>
        <v>-1.47252538955092</v>
      </c>
      <c r="D80" s="576">
        <f t="shared" si="517"/>
        <v>-1.1225134900776816</v>
      </c>
      <c r="E80" s="580">
        <f t="shared" si="518"/>
        <v>-0.11432895229960759</v>
      </c>
      <c r="F80" s="572">
        <f t="shared" si="519"/>
        <v>-0.95855197518054613</v>
      </c>
      <c r="G80" s="579">
        <f t="shared" si="520"/>
        <v>0.2609731816557937</v>
      </c>
      <c r="H80" s="580">
        <f t="shared" si="521"/>
        <v>0.26450000000000001</v>
      </c>
      <c r="I80" s="572">
        <f t="shared" si="522"/>
        <v>0.52</v>
      </c>
      <c r="J80" s="483">
        <f t="shared" si="523"/>
        <v>5.2309999999999999</v>
      </c>
      <c r="K80" s="806">
        <f t="shared" si="524"/>
        <v>1313</v>
      </c>
      <c r="L80" s="309"/>
      <c r="M80" s="164">
        <f t="shared" si="526"/>
        <v>5.2309999999999999</v>
      </c>
      <c r="N80" s="575">
        <f t="shared" si="527"/>
        <v>-4.5281428554115832</v>
      </c>
      <c r="O80" s="572">
        <f t="shared" si="528"/>
        <v>-1.47252538955092</v>
      </c>
      <c r="P80" s="576">
        <f t="shared" si="529"/>
        <v>-1.1225134900776816</v>
      </c>
      <c r="Q80" s="528">
        <f t="shared" si="609"/>
        <v>198.01422025718753</v>
      </c>
      <c r="R80" s="572">
        <f t="shared" si="101"/>
        <v>4.7615552860265158</v>
      </c>
      <c r="S80" s="577">
        <f t="shared" si="102"/>
        <v>-1.1225134900776816</v>
      </c>
      <c r="T80" s="578">
        <f t="shared" si="103"/>
        <v>-1.5066948329509795</v>
      </c>
      <c r="U80" s="572">
        <f t="shared" si="104"/>
        <v>4.5168882454900157</v>
      </c>
      <c r="V80" s="579">
        <f t="shared" si="141"/>
        <v>-1.1225134900776816</v>
      </c>
      <c r="W80" s="528">
        <f t="shared" si="735"/>
        <v>108.44711110305852</v>
      </c>
      <c r="X80" s="572">
        <f t="shared" si="105"/>
        <v>4.7615552860265158</v>
      </c>
      <c r="Y80" s="573">
        <f t="shared" si="733"/>
        <v>-1.1225134900776816</v>
      </c>
      <c r="Z80" s="575">
        <f t="shared" si="530"/>
        <v>0.11432895229960759</v>
      </c>
      <c r="AA80" s="572">
        <f t="shared" si="531"/>
        <v>0.95855197518054613</v>
      </c>
      <c r="AB80" s="572">
        <f t="shared" si="532"/>
        <v>-0.2609731816557937</v>
      </c>
      <c r="AC80" s="579">
        <f t="shared" si="106"/>
        <v>1</v>
      </c>
      <c r="AD80" s="580">
        <f t="shared" si="142"/>
        <v>0.11432895229960759</v>
      </c>
      <c r="AE80" s="572">
        <f t="shared" si="107"/>
        <v>0.95855197518054613</v>
      </c>
      <c r="AF80" s="576">
        <f t="shared" si="108"/>
        <v>-0.2609731816557937</v>
      </c>
      <c r="AG80" s="545">
        <f t="shared" si="109"/>
        <v>74.769924771920685</v>
      </c>
      <c r="AH80" s="546">
        <f t="shared" si="110"/>
        <v>83.435078430532386</v>
      </c>
      <c r="AI80" s="528">
        <f t="shared" si="111"/>
        <v>-74.872184871269837</v>
      </c>
      <c r="AJ80" s="529">
        <f t="shared" si="112"/>
        <v>173.19831744205345</v>
      </c>
      <c r="AK80" s="578">
        <f t="shared" si="238"/>
        <v>0.87620698328888191</v>
      </c>
      <c r="AL80" s="572">
        <f t="shared" si="113"/>
        <v>-0.40515962396597383</v>
      </c>
      <c r="AM80" s="577">
        <f t="shared" si="114"/>
        <v>-0.2609731816557937</v>
      </c>
      <c r="AN80" s="524">
        <f t="shared" si="115"/>
        <v>-57.213428741154814</v>
      </c>
      <c r="AO80" s="525">
        <f t="shared" si="525"/>
        <v>28.811854872966187</v>
      </c>
      <c r="AP80" s="528">
        <f t="shared" si="117"/>
        <v>-24.81590281513407</v>
      </c>
      <c r="AQ80" s="529">
        <f t="shared" si="533"/>
        <v>0.95746632448017366</v>
      </c>
      <c r="AS80" s="932">
        <f t="shared" si="632"/>
        <v>108.44711110305852</v>
      </c>
      <c r="AT80" s="928">
        <f t="shared" si="534"/>
        <v>-0.77685905857325932</v>
      </c>
      <c r="AU80" s="418"/>
      <c r="AV80" s="164" t="str">
        <f t="shared" si="535"/>
        <v/>
      </c>
      <c r="AW80" s="797" t="str">
        <f>IFERROR(INDEX(MassProp!C$9:C$150,MATCH($M80,MassProp!$B$9:$B$150,0)),"")</f>
        <v/>
      </c>
      <c r="AX80" s="744" t="str">
        <f>IFERROR(INDEX(MassProp!D$9:D$150,MATCH($M80,MassProp!$B$9:$B$150,0)),"")</f>
        <v/>
      </c>
      <c r="AY80" s="731" t="str">
        <f>IFERROR(INDEX(MassProp!E$9:E$150,MATCH($M80,MassProp!$B$9:$B$150,0)),"")</f>
        <v/>
      </c>
      <c r="AZ80" s="297" t="str">
        <f t="shared" si="633"/>
        <v/>
      </c>
      <c r="BA80" s="296" t="str">
        <f t="shared" si="536"/>
        <v/>
      </c>
      <c r="BB80" s="177" t="str">
        <f t="shared" si="610"/>
        <v/>
      </c>
      <c r="BC80" s="9"/>
      <c r="BD80" s="5" t="str">
        <f t="shared" si="611"/>
        <v/>
      </c>
      <c r="BE80" s="6" t="str">
        <f t="shared" si="537"/>
        <v/>
      </c>
      <c r="BF80" s="4" t="str">
        <f t="shared" si="538"/>
        <v/>
      </c>
      <c r="BG80" s="5" t="str">
        <f t="shared" si="539"/>
        <v/>
      </c>
      <c r="BH80" s="10" t="str">
        <f t="shared" si="540"/>
        <v/>
      </c>
      <c r="BI80" s="9" t="str">
        <f t="shared" si="634"/>
        <v/>
      </c>
      <c r="BJ80" s="5" t="str">
        <f t="shared" si="541"/>
        <v/>
      </c>
      <c r="BK80" s="8" t="str">
        <f t="shared" si="542"/>
        <v/>
      </c>
      <c r="BL80" s="173" t="str">
        <f t="shared" si="543"/>
        <v/>
      </c>
      <c r="BM80" s="5" t="str">
        <f t="shared" si="544"/>
        <v/>
      </c>
      <c r="BN80" s="6" t="str">
        <f t="shared" si="545"/>
        <v/>
      </c>
      <c r="BO80" s="4" t="str">
        <f t="shared" si="635"/>
        <v/>
      </c>
      <c r="BP80" s="5" t="str">
        <f t="shared" si="734"/>
        <v/>
      </c>
      <c r="BQ80" s="5" t="str">
        <f t="shared" si="636"/>
        <v/>
      </c>
      <c r="BR80" s="6" t="str">
        <f t="shared" si="637"/>
        <v/>
      </c>
      <c r="BS80" s="4" t="str">
        <f t="shared" si="612"/>
        <v/>
      </c>
      <c r="BT80" s="5" t="str">
        <f t="shared" si="612"/>
        <v/>
      </c>
      <c r="BU80" s="10" t="str">
        <f t="shared" si="613"/>
        <v/>
      </c>
      <c r="BV80" s="9" t="str">
        <f t="shared" si="614"/>
        <v/>
      </c>
      <c r="BW80" s="5" t="str">
        <f t="shared" si="615"/>
        <v/>
      </c>
      <c r="BX80" s="8" t="str">
        <f t="shared" si="616"/>
        <v/>
      </c>
      <c r="BY80" s="173" t="str">
        <f t="shared" si="617"/>
        <v/>
      </c>
      <c r="BZ80" s="5" t="str">
        <f t="shared" si="618"/>
        <v/>
      </c>
      <c r="CA80" s="6" t="str">
        <f t="shared" si="619"/>
        <v/>
      </c>
      <c r="CB80" s="4" t="str">
        <f t="shared" si="638"/>
        <v/>
      </c>
      <c r="CC80" s="5" t="str">
        <f t="shared" si="639"/>
        <v/>
      </c>
      <c r="CD80" s="5" t="str">
        <f t="shared" si="640"/>
        <v/>
      </c>
      <c r="CE80" s="6" t="str">
        <f t="shared" si="641"/>
        <v/>
      </c>
      <c r="CF80" s="4" t="str">
        <f t="shared" si="642"/>
        <v/>
      </c>
      <c r="CG80" s="5" t="str">
        <f t="shared" si="643"/>
        <v/>
      </c>
      <c r="CH80" s="5" t="str">
        <f t="shared" si="644"/>
        <v/>
      </c>
      <c r="CI80" s="4" t="str">
        <f t="shared" si="620"/>
        <v/>
      </c>
      <c r="CJ80" s="5" t="str">
        <f t="shared" si="621"/>
        <v/>
      </c>
      <c r="CK80" s="8" t="str">
        <f t="shared" si="622"/>
        <v/>
      </c>
      <c r="CL80" s="173" t="str">
        <f t="shared" si="623"/>
        <v/>
      </c>
      <c r="CM80" s="5" t="str">
        <f t="shared" si="624"/>
        <v/>
      </c>
      <c r="CN80" s="6" t="str">
        <f t="shared" si="625"/>
        <v/>
      </c>
      <c r="CO80" s="167" t="str">
        <f t="shared" si="546"/>
        <v/>
      </c>
      <c r="CP80" s="4" t="str">
        <f t="shared" si="645"/>
        <v/>
      </c>
      <c r="CQ80" s="5" t="str">
        <f t="shared" si="646"/>
        <v/>
      </c>
      <c r="CR80" s="5" t="str">
        <f t="shared" si="647"/>
        <v/>
      </c>
      <c r="CS80" s="8" t="str">
        <f t="shared" si="648"/>
        <v/>
      </c>
      <c r="CT80" s="9" t="str">
        <f t="shared" si="649"/>
        <v/>
      </c>
      <c r="CU80" s="6" t="str">
        <f t="shared" si="650"/>
        <v/>
      </c>
      <c r="CV80" s="4" t="str">
        <f t="shared" si="651"/>
        <v/>
      </c>
      <c r="CW80" s="5" t="str">
        <f t="shared" si="652"/>
        <v/>
      </c>
      <c r="CX80" s="8" t="str">
        <f t="shared" si="653"/>
        <v/>
      </c>
      <c r="CY80" s="9" t="str">
        <f t="shared" si="654"/>
        <v/>
      </c>
      <c r="CZ80" s="5" t="str">
        <f t="shared" si="655"/>
        <v/>
      </c>
      <c r="DA80" s="6" t="str">
        <f t="shared" si="656"/>
        <v/>
      </c>
      <c r="DB80" s="4" t="str">
        <f t="shared" si="657"/>
        <v/>
      </c>
      <c r="DC80" s="5" t="str">
        <f t="shared" si="657"/>
        <v/>
      </c>
      <c r="DD80" s="10" t="str">
        <f t="shared" si="658"/>
        <v/>
      </c>
      <c r="DE80" s="9" t="str">
        <f t="shared" si="659"/>
        <v/>
      </c>
      <c r="DF80" s="5" t="str">
        <f t="shared" si="659"/>
        <v/>
      </c>
      <c r="DG80" s="10" t="str">
        <f t="shared" si="660"/>
        <v/>
      </c>
      <c r="DH80" s="70" t="str">
        <f t="shared" si="661"/>
        <v/>
      </c>
      <c r="DI80" s="4" t="str">
        <f t="shared" si="662"/>
        <v/>
      </c>
      <c r="DJ80" s="5" t="str">
        <f t="shared" si="663"/>
        <v/>
      </c>
      <c r="DK80" s="10" t="str">
        <f t="shared" si="664"/>
        <v/>
      </c>
      <c r="DL80" s="9" t="str">
        <f t="shared" si="665"/>
        <v/>
      </c>
      <c r="DM80" s="173" t="str">
        <f t="shared" si="666"/>
        <v/>
      </c>
      <c r="DN80" s="178" t="str">
        <f t="shared" si="667"/>
        <v/>
      </c>
      <c r="DO80" s="9" t="str">
        <f t="shared" si="668"/>
        <v/>
      </c>
      <c r="DP80" s="173" t="str">
        <f t="shared" si="669"/>
        <v/>
      </c>
      <c r="DQ80" s="11" t="str">
        <f t="shared" si="670"/>
        <v/>
      </c>
      <c r="DR80" s="173" t="str">
        <f t="shared" si="671"/>
        <v/>
      </c>
      <c r="DS80" s="5" t="str">
        <f t="shared" si="672"/>
        <v/>
      </c>
      <c r="DT80" s="5" t="str">
        <f t="shared" si="673"/>
        <v/>
      </c>
      <c r="DU80" s="5" t="str">
        <f t="shared" si="674"/>
        <v/>
      </c>
      <c r="DV80" s="5" t="str">
        <f t="shared" si="675"/>
        <v/>
      </c>
      <c r="DW80" s="5" t="str">
        <f t="shared" si="676"/>
        <v/>
      </c>
      <c r="DX80" s="167" t="str">
        <f t="shared" si="677"/>
        <v/>
      </c>
      <c r="DY80" s="9" t="str">
        <f t="shared" si="678"/>
        <v/>
      </c>
      <c r="DZ80" s="5" t="str">
        <f t="shared" si="679"/>
        <v/>
      </c>
      <c r="EA80" s="10" t="str">
        <f t="shared" si="680"/>
        <v/>
      </c>
      <c r="EB80" s="6" t="str">
        <f t="shared" si="681"/>
        <v/>
      </c>
      <c r="EC80" s="173" t="str">
        <f t="shared" si="682"/>
        <v/>
      </c>
      <c r="ED80" s="5" t="str">
        <f t="shared" si="683"/>
        <v/>
      </c>
      <c r="EE80" s="4" t="str">
        <f t="shared" si="684"/>
        <v/>
      </c>
      <c r="EF80" s="5" t="str">
        <f t="shared" si="685"/>
        <v/>
      </c>
      <c r="EG80" s="10" t="str">
        <f t="shared" si="686"/>
        <v/>
      </c>
      <c r="EH80" s="9" t="str">
        <f t="shared" si="687"/>
        <v/>
      </c>
      <c r="EI80" s="5" t="str">
        <f t="shared" si="688"/>
        <v/>
      </c>
      <c r="EJ80" s="6" t="str">
        <f t="shared" si="689"/>
        <v/>
      </c>
      <c r="EK80" s="236" t="str">
        <f t="shared" si="690"/>
        <v/>
      </c>
      <c r="EL80" s="238" t="str">
        <f t="shared" si="691"/>
        <v/>
      </c>
      <c r="EM80" s="4" t="str">
        <f t="shared" si="692"/>
        <v/>
      </c>
      <c r="EN80" s="5" t="str">
        <f t="shared" si="693"/>
        <v/>
      </c>
      <c r="EO80" s="10" t="str">
        <f t="shared" si="694"/>
        <v/>
      </c>
      <c r="EP80" s="9" t="str">
        <f t="shared" si="695"/>
        <v/>
      </c>
      <c r="EQ80" s="5" t="str">
        <f t="shared" si="696"/>
        <v/>
      </c>
      <c r="ER80" s="7" t="str">
        <f t="shared" si="697"/>
        <v/>
      </c>
      <c r="ES80" s="21" t="str">
        <f t="shared" si="547"/>
        <v/>
      </c>
      <c r="ET80" s="5" t="str">
        <f t="shared" si="548"/>
        <v/>
      </c>
      <c r="EU80" s="10" t="str">
        <f t="shared" si="549"/>
        <v/>
      </c>
      <c r="EV80" s="174" t="str">
        <f t="shared" si="550"/>
        <v/>
      </c>
      <c r="EW80" s="9" t="str">
        <f t="shared" si="551"/>
        <v/>
      </c>
      <c r="EX80" s="5" t="str">
        <f t="shared" si="552"/>
        <v/>
      </c>
      <c r="EY80" s="6" t="str">
        <f t="shared" si="698"/>
        <v/>
      </c>
      <c r="EZ80" s="51" t="str">
        <f t="shared" si="699"/>
        <v/>
      </c>
      <c r="FA80" s="173" t="str">
        <f t="shared" si="553"/>
        <v/>
      </c>
      <c r="FB80" s="5" t="str">
        <f t="shared" si="554"/>
        <v/>
      </c>
      <c r="FC80" s="6" t="str">
        <f t="shared" si="555"/>
        <v/>
      </c>
      <c r="FD80" s="4" t="str">
        <f t="shared" si="556"/>
        <v/>
      </c>
      <c r="FE80" s="5" t="str">
        <f t="shared" si="557"/>
        <v/>
      </c>
      <c r="FF80" s="7" t="str">
        <f t="shared" si="700"/>
        <v/>
      </c>
      <c r="FG80" s="173" t="str">
        <f t="shared" si="558"/>
        <v/>
      </c>
      <c r="FH80" s="5" t="str">
        <f t="shared" si="559"/>
        <v/>
      </c>
      <c r="FI80" s="10" t="str">
        <f t="shared" si="560"/>
        <v/>
      </c>
      <c r="FJ80" s="279" t="str">
        <f t="shared" si="701"/>
        <v/>
      </c>
      <c r="FK80" s="4" t="str">
        <f t="shared" si="561"/>
        <v/>
      </c>
      <c r="FL80" s="5" t="str">
        <f t="shared" si="626"/>
        <v/>
      </c>
      <c r="FM80" s="8" t="str">
        <f t="shared" si="627"/>
        <v/>
      </c>
      <c r="FN80" s="9" t="str">
        <f t="shared" si="628"/>
        <v/>
      </c>
      <c r="FO80" s="10" t="str">
        <f t="shared" si="562"/>
        <v/>
      </c>
      <c r="FP80" s="277" t="str">
        <f t="shared" si="629"/>
        <v/>
      </c>
      <c r="FQ80" s="173" t="str">
        <f t="shared" si="702"/>
        <v/>
      </c>
      <c r="FR80" s="10" t="str">
        <f t="shared" si="703"/>
        <v/>
      </c>
      <c r="FS80" s="9" t="str">
        <f t="shared" si="704"/>
        <v/>
      </c>
      <c r="FT80" s="6" t="str">
        <f t="shared" si="705"/>
        <v/>
      </c>
      <c r="FU80" s="4" t="str">
        <f t="shared" si="706"/>
        <v/>
      </c>
      <c r="FV80" s="5" t="str">
        <f t="shared" si="707"/>
        <v/>
      </c>
      <c r="FW80" s="8" t="str">
        <f t="shared" si="708"/>
        <v/>
      </c>
      <c r="FX80" s="9" t="str">
        <f t="shared" si="709"/>
        <v/>
      </c>
      <c r="FY80" s="10" t="str">
        <f t="shared" si="563"/>
        <v/>
      </c>
      <c r="FZ80" s="277" t="str">
        <f t="shared" si="710"/>
        <v/>
      </c>
      <c r="GA80" s="177" t="str">
        <f t="shared" si="711"/>
        <v/>
      </c>
      <c r="GB80" s="4" t="str">
        <f t="shared" si="712"/>
        <v/>
      </c>
      <c r="GC80" s="5" t="str">
        <f t="shared" si="713"/>
        <v/>
      </c>
      <c r="GD80" s="10" t="str">
        <f t="shared" si="714"/>
        <v/>
      </c>
      <c r="GE80" s="311" t="str">
        <f t="shared" si="715"/>
        <v/>
      </c>
      <c r="GF80" s="341" t="str">
        <f t="shared" si="716"/>
        <v/>
      </c>
      <c r="GG80" s="285" t="str">
        <f t="shared" si="564"/>
        <v/>
      </c>
      <c r="GH80" s="286" t="str">
        <f t="shared" si="565"/>
        <v/>
      </c>
      <c r="GI80" s="281" t="str">
        <f t="shared" si="566"/>
        <v/>
      </c>
      <c r="GJ80" s="167" t="str">
        <f t="shared" si="717"/>
        <v/>
      </c>
      <c r="GK80" s="174" t="str">
        <f t="shared" si="567"/>
        <v/>
      </c>
      <c r="GL80" s="174" t="str">
        <f t="shared" si="718"/>
        <v/>
      </c>
      <c r="GM80" s="177" t="str">
        <f t="shared" si="719"/>
        <v/>
      </c>
      <c r="GN80" s="280" t="str">
        <f t="shared" si="720"/>
        <v/>
      </c>
      <c r="GO80" s="4" t="str">
        <f t="shared" si="721"/>
        <v/>
      </c>
      <c r="GP80" s="8" t="str">
        <f t="shared" si="722"/>
        <v/>
      </c>
      <c r="GQ80" s="177" t="str">
        <f t="shared" si="723"/>
        <v/>
      </c>
      <c r="GR80" s="371" t="str">
        <f t="shared" si="724"/>
        <v/>
      </c>
      <c r="GS80" s="342" t="str">
        <f t="shared" si="568"/>
        <v/>
      </c>
      <c r="GT80" s="343" t="str">
        <f t="shared" si="569"/>
        <v/>
      </c>
      <c r="GU80" s="344" t="str">
        <f t="shared" si="570"/>
        <v/>
      </c>
      <c r="GV80" s="343" t="str">
        <f t="shared" si="725"/>
        <v/>
      </c>
      <c r="GW80" s="345" t="str">
        <f t="shared" si="571"/>
        <v/>
      </c>
      <c r="GX80" s="346" t="str">
        <f t="shared" si="572"/>
        <v/>
      </c>
      <c r="GY80" s="344" t="str">
        <f t="shared" si="573"/>
        <v/>
      </c>
      <c r="GZ80" s="345" t="str">
        <f t="shared" si="574"/>
        <v/>
      </c>
      <c r="HA80" s="342" t="str">
        <f t="shared" si="575"/>
        <v/>
      </c>
      <c r="HB80" s="5" t="str">
        <f t="shared" si="726"/>
        <v/>
      </c>
      <c r="HC80" s="343" t="str">
        <f t="shared" si="727"/>
        <v/>
      </c>
      <c r="HD80" s="363" t="str">
        <f t="shared" si="728"/>
        <v/>
      </c>
      <c r="HE80" s="344" t="str">
        <f t="shared" si="576"/>
        <v/>
      </c>
      <c r="HF80" s="5" t="str">
        <f t="shared" si="577"/>
        <v/>
      </c>
      <c r="HG80" s="343" t="str">
        <f t="shared" si="729"/>
        <v/>
      </c>
      <c r="HH80" s="349" t="str">
        <f t="shared" si="730"/>
        <v/>
      </c>
      <c r="HI80" s="317" t="str">
        <f t="shared" si="578"/>
        <v/>
      </c>
      <c r="HK80" s="310" t="str">
        <f t="shared" si="630"/>
        <v/>
      </c>
      <c r="HL80" s="348" t="str">
        <f t="shared" si="579"/>
        <v/>
      </c>
      <c r="HM80" s="909" t="str">
        <f t="shared" si="580"/>
        <v/>
      </c>
      <c r="HN80" s="910" t="str">
        <f t="shared" si="581"/>
        <v/>
      </c>
      <c r="HO80" s="911"/>
      <c r="HP80" s="912"/>
      <c r="HQ80" s="910" t="str">
        <f t="shared" si="582"/>
        <v/>
      </c>
      <c r="HR80" s="913" t="str">
        <f t="shared" si="583"/>
        <v/>
      </c>
      <c r="HS80" s="865" t="str">
        <f t="shared" si="631"/>
        <v/>
      </c>
      <c r="HT80" s="875" t="str">
        <f t="shared" si="584"/>
        <v/>
      </c>
      <c r="HU80" s="876" t="str">
        <f t="shared" si="585"/>
        <v/>
      </c>
      <c r="HV80" s="872" t="str">
        <f t="shared" si="586"/>
        <v/>
      </c>
      <c r="HW80" s="866" t="str">
        <f t="shared" si="587"/>
        <v/>
      </c>
      <c r="HX80" s="867" t="str">
        <f t="shared" si="588"/>
        <v/>
      </c>
      <c r="HY80" s="866" t="str">
        <f t="shared" si="589"/>
        <v/>
      </c>
      <c r="HZ80" s="868" t="str">
        <f t="shared" si="590"/>
        <v/>
      </c>
      <c r="IA80" s="869" t="str">
        <f t="shared" si="591"/>
        <v/>
      </c>
      <c r="IB80" s="870" t="str">
        <f t="shared" si="592"/>
        <v/>
      </c>
      <c r="IC80" s="841" t="str">
        <f t="shared" si="593"/>
        <v/>
      </c>
      <c r="ID80" s="351" t="str">
        <f t="shared" si="594"/>
        <v/>
      </c>
      <c r="IE80" s="843" t="str">
        <f t="shared" si="595"/>
        <v/>
      </c>
      <c r="IF80" s="844"/>
      <c r="IG80" s="790" t="str">
        <f>IFERROR(IF($IW80="","",IF($IW80&lt;(((Settings!$C$19/2)*-1)*$IG$8),"Taper","Nose")),"")</f>
        <v>Taper</v>
      </c>
      <c r="IH80" s="482" t="str">
        <f>IFERROR(IF((((($IY80*COS(RADIANS(180-$JA80)))*COS(RADIANS($JA80)))-(($IZ80*SIN(RADIANS(180-$JA80)))*SIN(RADIANS($JA80))))+$IW80)&lt;(((Settings!$C$19+$IH$8)/2)*-1),"Gage",""),"")</f>
        <v/>
      </c>
      <c r="II80" s="788">
        <f t="shared" si="731"/>
        <v>5.2309999999999999</v>
      </c>
      <c r="IJ80" s="674" cm="1">
        <f t="array" ref="IJ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>5.1310000000000002</v>
      </c>
      <c r="IK80" s="677" cm="1">
        <f t="array" ref="IK80">IFERROR(ROUND(VALUE(IF($IJ80&lt;1,$IJ80+LARGE((IF($M$9:$M$150="",0,$M$9:$M$150)-MOD(IF($M$9:$M$150="",0,$M$9:$M$150),1)),1),$IJ80)),4),"")</f>
        <v>5.1310000000000002</v>
      </c>
      <c r="IL80" s="482">
        <f t="shared" si="596"/>
        <v>1613</v>
      </c>
      <c r="IM80" s="482">
        <f t="shared" si="732"/>
        <v>1313</v>
      </c>
      <c r="IN80" s="670">
        <f t="shared" si="597"/>
        <v>10.087929100763489</v>
      </c>
      <c r="IO80" s="702">
        <v>2.95510891100767E-2</v>
      </c>
      <c r="IP80" s="5">
        <f t="shared" si="598"/>
        <v>1.78</v>
      </c>
      <c r="IQ80" s="714">
        <v>890</v>
      </c>
      <c r="IR80" s="9">
        <f t="shared" si="599"/>
        <v>-4.7412121930234123</v>
      </c>
      <c r="IS80" s="5">
        <f t="shared" si="600"/>
        <v>-1.1186852804601963</v>
      </c>
      <c r="IT80" s="5">
        <f t="shared" si="601"/>
        <v>0.3125</v>
      </c>
      <c r="IU80" s="5">
        <f t="shared" si="602"/>
        <v>0.28591775189309576</v>
      </c>
      <c r="IV80" s="670">
        <f t="shared" si="603"/>
        <v>57.149982620263913</v>
      </c>
      <c r="IW80" s="9">
        <f t="shared" si="604"/>
        <v>-4.7615552860265158</v>
      </c>
      <c r="IX80" s="5">
        <f t="shared" si="605"/>
        <v>-1.1225134900776816</v>
      </c>
      <c r="IY80" s="5">
        <f t="shared" si="606"/>
        <v>0.26450000000000001</v>
      </c>
      <c r="IZ80" s="5">
        <f t="shared" si="607"/>
        <v>0.23175674707990929</v>
      </c>
      <c r="JA80" s="705">
        <f t="shared" si="608"/>
        <v>57.213428741154814</v>
      </c>
    </row>
    <row r="81" spans="1:261" ht="15" customHeight="1" x14ac:dyDescent="0.25">
      <c r="A81" s="75">
        <f t="shared" si="256"/>
        <v>0.02</v>
      </c>
      <c r="B81" s="578">
        <f t="shared" si="515"/>
        <v>-4.7727651367288537</v>
      </c>
      <c r="C81" s="572">
        <f t="shared" si="516"/>
        <v>-1.5657033926605193</v>
      </c>
      <c r="D81" s="576">
        <f t="shared" si="517"/>
        <v>-1.8496503669857769</v>
      </c>
      <c r="E81" s="580">
        <f t="shared" si="518"/>
        <v>-0.23680475010775959</v>
      </c>
      <c r="F81" s="572">
        <f t="shared" si="519"/>
        <v>-0.96234355074147904</v>
      </c>
      <c r="G81" s="579">
        <f t="shared" si="520"/>
        <v>0.13348558226521709</v>
      </c>
      <c r="H81" s="580">
        <f t="shared" si="521"/>
        <v>0.26450000000000001</v>
      </c>
      <c r="I81" s="572">
        <f t="shared" si="522"/>
        <v>0.52</v>
      </c>
      <c r="J81" s="483">
        <f t="shared" si="523"/>
        <v>5.2370000000000001</v>
      </c>
      <c r="K81" s="806">
        <f t="shared" si="524"/>
        <v>1313</v>
      </c>
      <c r="L81" s="309"/>
      <c r="M81" s="164">
        <f t="shared" si="526"/>
        <v>5.2370000000000001</v>
      </c>
      <c r="N81" s="575">
        <f t="shared" si="527"/>
        <v>-4.7727651367288537</v>
      </c>
      <c r="O81" s="572">
        <f t="shared" si="528"/>
        <v>-1.5657033926605193</v>
      </c>
      <c r="P81" s="576">
        <f t="shared" si="529"/>
        <v>-1.8496503669857769</v>
      </c>
      <c r="Q81" s="528">
        <f t="shared" si="609"/>
        <v>198.16205299166177</v>
      </c>
      <c r="R81" s="572">
        <f t="shared" si="101"/>
        <v>5.023018431596987</v>
      </c>
      <c r="S81" s="577">
        <f t="shared" si="102"/>
        <v>-1.8496503669857769</v>
      </c>
      <c r="T81" s="578">
        <f t="shared" si="103"/>
        <v>-1.6017183710035647</v>
      </c>
      <c r="U81" s="572">
        <f t="shared" si="104"/>
        <v>4.7607995572332955</v>
      </c>
      <c r="V81" s="579">
        <f t="shared" si="141"/>
        <v>-1.8496503669857769</v>
      </c>
      <c r="W81" s="528">
        <f t="shared" si="735"/>
        <v>108.59494383753275</v>
      </c>
      <c r="X81" s="572">
        <f t="shared" si="105"/>
        <v>5.023018431596987</v>
      </c>
      <c r="Y81" s="573">
        <f t="shared" si="733"/>
        <v>-1.8496503669857769</v>
      </c>
      <c r="Z81" s="575">
        <f t="shared" si="530"/>
        <v>0.23680475010775959</v>
      </c>
      <c r="AA81" s="572">
        <f t="shared" si="531"/>
        <v>0.96234355074147904</v>
      </c>
      <c r="AB81" s="572">
        <f t="shared" si="532"/>
        <v>-0.13348558226521709</v>
      </c>
      <c r="AC81" s="579">
        <f t="shared" si="106"/>
        <v>1</v>
      </c>
      <c r="AD81" s="580">
        <f t="shared" si="142"/>
        <v>0.23680475010775959</v>
      </c>
      <c r="AE81" s="572">
        <f t="shared" si="107"/>
        <v>0.96234355074147904</v>
      </c>
      <c r="AF81" s="576">
        <f t="shared" si="108"/>
        <v>-0.13348558226521709</v>
      </c>
      <c r="AG81" s="545">
        <f t="shared" si="109"/>
        <v>82.102956914502514</v>
      </c>
      <c r="AH81" s="546">
        <f t="shared" si="110"/>
        <v>76.30196947265182</v>
      </c>
      <c r="AI81" s="528">
        <f t="shared" si="111"/>
        <v>-82.328942437844219</v>
      </c>
      <c r="AJ81" s="529">
        <f t="shared" si="112"/>
        <v>166.17582970663798</v>
      </c>
      <c r="AK81" s="578">
        <f t="shared" si="238"/>
        <v>0.84058496009749595</v>
      </c>
      <c r="AL81" s="572">
        <f t="shared" si="113"/>
        <v>-0.52497478433274036</v>
      </c>
      <c r="AM81" s="577">
        <f t="shared" si="114"/>
        <v>-0.13348558226521709</v>
      </c>
      <c r="AN81" s="524">
        <f t="shared" si="115"/>
        <v>-75.733702256223253</v>
      </c>
      <c r="AO81" s="525">
        <f t="shared" si="525"/>
        <v>32.798058394827343</v>
      </c>
      <c r="AP81" s="528">
        <f t="shared" si="117"/>
        <v>-31.986223285023762</v>
      </c>
      <c r="AQ81" s="529">
        <f t="shared" si="533"/>
        <v>0.90763590246850823</v>
      </c>
      <c r="AS81" s="932">
        <f t="shared" si="632"/>
        <v>108.59494383753275</v>
      </c>
      <c r="AT81" s="928">
        <f t="shared" si="534"/>
        <v>-1.5042012587236799</v>
      </c>
      <c r="AU81" s="418"/>
      <c r="AV81" s="164" t="str">
        <f t="shared" si="535"/>
        <v/>
      </c>
      <c r="AW81" s="797" t="str">
        <f>IFERROR(INDEX(MassProp!C$9:C$150,MATCH($M81,MassProp!$B$9:$B$150,0)),"")</f>
        <v/>
      </c>
      <c r="AX81" s="744" t="str">
        <f>IFERROR(INDEX(MassProp!D$9:D$150,MATCH($M81,MassProp!$B$9:$B$150,0)),"")</f>
        <v/>
      </c>
      <c r="AY81" s="731" t="str">
        <f>IFERROR(INDEX(MassProp!E$9:E$150,MATCH($M81,MassProp!$B$9:$B$150,0)),"")</f>
        <v/>
      </c>
      <c r="AZ81" s="297" t="str">
        <f t="shared" si="633"/>
        <v/>
      </c>
      <c r="BA81" s="296" t="str">
        <f t="shared" si="536"/>
        <v/>
      </c>
      <c r="BB81" s="177" t="str">
        <f t="shared" si="610"/>
        <v/>
      </c>
      <c r="BC81" s="9"/>
      <c r="BD81" s="5" t="str">
        <f t="shared" si="611"/>
        <v/>
      </c>
      <c r="BE81" s="6" t="str">
        <f t="shared" si="537"/>
        <v/>
      </c>
      <c r="BF81" s="4" t="str">
        <f t="shared" si="538"/>
        <v/>
      </c>
      <c r="BG81" s="5" t="str">
        <f t="shared" si="539"/>
        <v/>
      </c>
      <c r="BH81" s="10" t="str">
        <f t="shared" si="540"/>
        <v/>
      </c>
      <c r="BI81" s="9" t="str">
        <f t="shared" si="634"/>
        <v/>
      </c>
      <c r="BJ81" s="5" t="str">
        <f t="shared" si="541"/>
        <v/>
      </c>
      <c r="BK81" s="8" t="str">
        <f t="shared" si="542"/>
        <v/>
      </c>
      <c r="BL81" s="173" t="str">
        <f t="shared" si="543"/>
        <v/>
      </c>
      <c r="BM81" s="5" t="str">
        <f t="shared" si="544"/>
        <v/>
      </c>
      <c r="BN81" s="6" t="str">
        <f t="shared" si="545"/>
        <v/>
      </c>
      <c r="BO81" s="4" t="str">
        <f t="shared" si="635"/>
        <v/>
      </c>
      <c r="BP81" s="5" t="str">
        <f t="shared" si="734"/>
        <v/>
      </c>
      <c r="BQ81" s="5" t="str">
        <f t="shared" si="636"/>
        <v/>
      </c>
      <c r="BR81" s="6" t="str">
        <f t="shared" si="637"/>
        <v/>
      </c>
      <c r="BS81" s="4" t="str">
        <f t="shared" si="612"/>
        <v/>
      </c>
      <c r="BT81" s="5" t="str">
        <f t="shared" si="612"/>
        <v/>
      </c>
      <c r="BU81" s="10" t="str">
        <f t="shared" si="613"/>
        <v/>
      </c>
      <c r="BV81" s="9" t="str">
        <f t="shared" si="614"/>
        <v/>
      </c>
      <c r="BW81" s="5" t="str">
        <f t="shared" si="615"/>
        <v/>
      </c>
      <c r="BX81" s="8" t="str">
        <f t="shared" si="616"/>
        <v/>
      </c>
      <c r="BY81" s="173" t="str">
        <f t="shared" si="617"/>
        <v/>
      </c>
      <c r="BZ81" s="5" t="str">
        <f t="shared" si="618"/>
        <v/>
      </c>
      <c r="CA81" s="6" t="str">
        <f t="shared" si="619"/>
        <v/>
      </c>
      <c r="CB81" s="4" t="str">
        <f t="shared" si="638"/>
        <v/>
      </c>
      <c r="CC81" s="5" t="str">
        <f t="shared" si="639"/>
        <v/>
      </c>
      <c r="CD81" s="5" t="str">
        <f t="shared" si="640"/>
        <v/>
      </c>
      <c r="CE81" s="6" t="str">
        <f t="shared" si="641"/>
        <v/>
      </c>
      <c r="CF81" s="4" t="str">
        <f t="shared" si="642"/>
        <v/>
      </c>
      <c r="CG81" s="5" t="str">
        <f t="shared" si="643"/>
        <v/>
      </c>
      <c r="CH81" s="5" t="str">
        <f t="shared" si="644"/>
        <v/>
      </c>
      <c r="CI81" s="4" t="str">
        <f t="shared" si="620"/>
        <v/>
      </c>
      <c r="CJ81" s="5" t="str">
        <f t="shared" si="621"/>
        <v/>
      </c>
      <c r="CK81" s="8" t="str">
        <f t="shared" si="622"/>
        <v/>
      </c>
      <c r="CL81" s="173" t="str">
        <f t="shared" si="623"/>
        <v/>
      </c>
      <c r="CM81" s="5" t="str">
        <f t="shared" si="624"/>
        <v/>
      </c>
      <c r="CN81" s="6" t="str">
        <f t="shared" si="625"/>
        <v/>
      </c>
      <c r="CO81" s="167" t="str">
        <f t="shared" si="546"/>
        <v/>
      </c>
      <c r="CP81" s="4" t="str">
        <f t="shared" si="645"/>
        <v/>
      </c>
      <c r="CQ81" s="5" t="str">
        <f t="shared" si="646"/>
        <v/>
      </c>
      <c r="CR81" s="5" t="str">
        <f t="shared" si="647"/>
        <v/>
      </c>
      <c r="CS81" s="8" t="str">
        <f t="shared" si="648"/>
        <v/>
      </c>
      <c r="CT81" s="9" t="str">
        <f t="shared" si="649"/>
        <v/>
      </c>
      <c r="CU81" s="6" t="str">
        <f t="shared" si="650"/>
        <v/>
      </c>
      <c r="CV81" s="4" t="str">
        <f t="shared" si="651"/>
        <v/>
      </c>
      <c r="CW81" s="5" t="str">
        <f t="shared" si="652"/>
        <v/>
      </c>
      <c r="CX81" s="8" t="str">
        <f t="shared" si="653"/>
        <v/>
      </c>
      <c r="CY81" s="9" t="str">
        <f t="shared" si="654"/>
        <v/>
      </c>
      <c r="CZ81" s="5" t="str">
        <f t="shared" si="655"/>
        <v/>
      </c>
      <c r="DA81" s="6" t="str">
        <f t="shared" si="656"/>
        <v/>
      </c>
      <c r="DB81" s="4" t="str">
        <f t="shared" si="657"/>
        <v/>
      </c>
      <c r="DC81" s="5" t="str">
        <f t="shared" si="657"/>
        <v/>
      </c>
      <c r="DD81" s="10" t="str">
        <f t="shared" si="658"/>
        <v/>
      </c>
      <c r="DE81" s="9" t="str">
        <f t="shared" si="659"/>
        <v/>
      </c>
      <c r="DF81" s="5" t="str">
        <f t="shared" si="659"/>
        <v/>
      </c>
      <c r="DG81" s="10" t="str">
        <f t="shared" si="660"/>
        <v/>
      </c>
      <c r="DH81" s="70" t="str">
        <f t="shared" si="661"/>
        <v/>
      </c>
      <c r="DI81" s="4" t="str">
        <f t="shared" si="662"/>
        <v/>
      </c>
      <c r="DJ81" s="5" t="str">
        <f t="shared" si="663"/>
        <v/>
      </c>
      <c r="DK81" s="10" t="str">
        <f t="shared" si="664"/>
        <v/>
      </c>
      <c r="DL81" s="9" t="str">
        <f t="shared" si="665"/>
        <v/>
      </c>
      <c r="DM81" s="173" t="str">
        <f t="shared" si="666"/>
        <v/>
      </c>
      <c r="DN81" s="178" t="str">
        <f t="shared" si="667"/>
        <v/>
      </c>
      <c r="DO81" s="9" t="str">
        <f t="shared" si="668"/>
        <v/>
      </c>
      <c r="DP81" s="173" t="str">
        <f t="shared" si="669"/>
        <v/>
      </c>
      <c r="DQ81" s="11" t="str">
        <f t="shared" si="670"/>
        <v/>
      </c>
      <c r="DR81" s="173" t="str">
        <f t="shared" si="671"/>
        <v/>
      </c>
      <c r="DS81" s="5" t="str">
        <f t="shared" si="672"/>
        <v/>
      </c>
      <c r="DT81" s="5" t="str">
        <f t="shared" si="673"/>
        <v/>
      </c>
      <c r="DU81" s="5" t="str">
        <f t="shared" si="674"/>
        <v/>
      </c>
      <c r="DV81" s="5" t="str">
        <f t="shared" si="675"/>
        <v/>
      </c>
      <c r="DW81" s="5" t="str">
        <f t="shared" si="676"/>
        <v/>
      </c>
      <c r="DX81" s="167" t="str">
        <f t="shared" si="677"/>
        <v/>
      </c>
      <c r="DY81" s="9" t="str">
        <f t="shared" si="678"/>
        <v/>
      </c>
      <c r="DZ81" s="5" t="str">
        <f t="shared" si="679"/>
        <v/>
      </c>
      <c r="EA81" s="10" t="str">
        <f t="shared" si="680"/>
        <v/>
      </c>
      <c r="EB81" s="6" t="str">
        <f t="shared" si="681"/>
        <v/>
      </c>
      <c r="EC81" s="173" t="str">
        <f t="shared" si="682"/>
        <v/>
      </c>
      <c r="ED81" s="5" t="str">
        <f t="shared" si="683"/>
        <v/>
      </c>
      <c r="EE81" s="4" t="str">
        <f t="shared" si="684"/>
        <v/>
      </c>
      <c r="EF81" s="5" t="str">
        <f t="shared" si="685"/>
        <v/>
      </c>
      <c r="EG81" s="10" t="str">
        <f t="shared" si="686"/>
        <v/>
      </c>
      <c r="EH81" s="9" t="str">
        <f t="shared" si="687"/>
        <v/>
      </c>
      <c r="EI81" s="5" t="str">
        <f t="shared" si="688"/>
        <v/>
      </c>
      <c r="EJ81" s="6" t="str">
        <f t="shared" si="689"/>
        <v/>
      </c>
      <c r="EK81" s="236" t="str">
        <f t="shared" si="690"/>
        <v/>
      </c>
      <c r="EL81" s="238" t="str">
        <f t="shared" si="691"/>
        <v/>
      </c>
      <c r="EM81" s="4" t="str">
        <f t="shared" si="692"/>
        <v/>
      </c>
      <c r="EN81" s="5" t="str">
        <f t="shared" si="693"/>
        <v/>
      </c>
      <c r="EO81" s="10" t="str">
        <f t="shared" si="694"/>
        <v/>
      </c>
      <c r="EP81" s="9" t="str">
        <f t="shared" si="695"/>
        <v/>
      </c>
      <c r="EQ81" s="5" t="str">
        <f t="shared" si="696"/>
        <v/>
      </c>
      <c r="ER81" s="7" t="str">
        <f t="shared" si="697"/>
        <v/>
      </c>
      <c r="ES81" s="21" t="str">
        <f t="shared" si="547"/>
        <v/>
      </c>
      <c r="ET81" s="5" t="str">
        <f t="shared" si="548"/>
        <v/>
      </c>
      <c r="EU81" s="10" t="str">
        <f t="shared" si="549"/>
        <v/>
      </c>
      <c r="EV81" s="174" t="str">
        <f t="shared" si="550"/>
        <v/>
      </c>
      <c r="EW81" s="9" t="str">
        <f t="shared" si="551"/>
        <v/>
      </c>
      <c r="EX81" s="5" t="str">
        <f t="shared" si="552"/>
        <v/>
      </c>
      <c r="EY81" s="6" t="str">
        <f t="shared" si="698"/>
        <v/>
      </c>
      <c r="EZ81" s="51" t="str">
        <f t="shared" si="699"/>
        <v/>
      </c>
      <c r="FA81" s="173" t="str">
        <f t="shared" si="553"/>
        <v/>
      </c>
      <c r="FB81" s="5" t="str">
        <f t="shared" si="554"/>
        <v/>
      </c>
      <c r="FC81" s="6" t="str">
        <f t="shared" si="555"/>
        <v/>
      </c>
      <c r="FD81" s="4" t="str">
        <f t="shared" si="556"/>
        <v/>
      </c>
      <c r="FE81" s="5" t="str">
        <f t="shared" si="557"/>
        <v/>
      </c>
      <c r="FF81" s="7" t="str">
        <f t="shared" si="700"/>
        <v/>
      </c>
      <c r="FG81" s="173" t="str">
        <f t="shared" si="558"/>
        <v/>
      </c>
      <c r="FH81" s="5" t="str">
        <f t="shared" si="559"/>
        <v/>
      </c>
      <c r="FI81" s="10" t="str">
        <f t="shared" si="560"/>
        <v/>
      </c>
      <c r="FJ81" s="279" t="str">
        <f t="shared" si="701"/>
        <v/>
      </c>
      <c r="FK81" s="4" t="str">
        <f t="shared" si="561"/>
        <v/>
      </c>
      <c r="FL81" s="5" t="str">
        <f t="shared" si="626"/>
        <v/>
      </c>
      <c r="FM81" s="8" t="str">
        <f t="shared" si="627"/>
        <v/>
      </c>
      <c r="FN81" s="9" t="str">
        <f t="shared" si="628"/>
        <v/>
      </c>
      <c r="FO81" s="10" t="str">
        <f t="shared" si="562"/>
        <v/>
      </c>
      <c r="FP81" s="277" t="str">
        <f t="shared" si="629"/>
        <v/>
      </c>
      <c r="FQ81" s="173" t="str">
        <f t="shared" si="702"/>
        <v/>
      </c>
      <c r="FR81" s="10" t="str">
        <f t="shared" si="703"/>
        <v/>
      </c>
      <c r="FS81" s="9" t="str">
        <f t="shared" si="704"/>
        <v/>
      </c>
      <c r="FT81" s="6" t="str">
        <f t="shared" si="705"/>
        <v/>
      </c>
      <c r="FU81" s="4" t="str">
        <f t="shared" si="706"/>
        <v/>
      </c>
      <c r="FV81" s="5" t="str">
        <f t="shared" si="707"/>
        <v/>
      </c>
      <c r="FW81" s="8" t="str">
        <f t="shared" si="708"/>
        <v/>
      </c>
      <c r="FX81" s="9" t="str">
        <f t="shared" si="709"/>
        <v/>
      </c>
      <c r="FY81" s="10" t="str">
        <f t="shared" si="563"/>
        <v/>
      </c>
      <c r="FZ81" s="277" t="str">
        <f t="shared" si="710"/>
        <v/>
      </c>
      <c r="GA81" s="177" t="str">
        <f t="shared" si="711"/>
        <v/>
      </c>
      <c r="GB81" s="4" t="str">
        <f t="shared" si="712"/>
        <v/>
      </c>
      <c r="GC81" s="5" t="str">
        <f t="shared" si="713"/>
        <v/>
      </c>
      <c r="GD81" s="10" t="str">
        <f t="shared" si="714"/>
        <v/>
      </c>
      <c r="GE81" s="311" t="str">
        <f t="shared" si="715"/>
        <v/>
      </c>
      <c r="GF81" s="341" t="str">
        <f t="shared" si="716"/>
        <v/>
      </c>
      <c r="GG81" s="285" t="str">
        <f t="shared" si="564"/>
        <v/>
      </c>
      <c r="GH81" s="286" t="str">
        <f t="shared" si="565"/>
        <v/>
      </c>
      <c r="GI81" s="281" t="str">
        <f t="shared" si="566"/>
        <v/>
      </c>
      <c r="GJ81" s="167" t="str">
        <f t="shared" si="717"/>
        <v/>
      </c>
      <c r="GK81" s="174" t="str">
        <f t="shared" si="567"/>
        <v/>
      </c>
      <c r="GL81" s="174" t="str">
        <f t="shared" si="718"/>
        <v/>
      </c>
      <c r="GM81" s="177" t="str">
        <f t="shared" si="719"/>
        <v/>
      </c>
      <c r="GN81" s="280" t="str">
        <f t="shared" si="720"/>
        <v/>
      </c>
      <c r="GO81" s="4" t="str">
        <f t="shared" si="721"/>
        <v/>
      </c>
      <c r="GP81" s="8" t="str">
        <f t="shared" si="722"/>
        <v/>
      </c>
      <c r="GQ81" s="177" t="str">
        <f t="shared" si="723"/>
        <v/>
      </c>
      <c r="GR81" s="371" t="str">
        <f t="shared" si="724"/>
        <v/>
      </c>
      <c r="GS81" s="342" t="str">
        <f t="shared" si="568"/>
        <v/>
      </c>
      <c r="GT81" s="343" t="str">
        <f t="shared" si="569"/>
        <v/>
      </c>
      <c r="GU81" s="344" t="str">
        <f t="shared" si="570"/>
        <v/>
      </c>
      <c r="GV81" s="343" t="str">
        <f t="shared" si="725"/>
        <v/>
      </c>
      <c r="GW81" s="345" t="str">
        <f t="shared" si="571"/>
        <v/>
      </c>
      <c r="GX81" s="346" t="str">
        <f t="shared" si="572"/>
        <v/>
      </c>
      <c r="GY81" s="344" t="str">
        <f t="shared" si="573"/>
        <v/>
      </c>
      <c r="GZ81" s="345" t="str">
        <f t="shared" si="574"/>
        <v/>
      </c>
      <c r="HA81" s="342" t="str">
        <f t="shared" si="575"/>
        <v/>
      </c>
      <c r="HB81" s="5" t="str">
        <f t="shared" si="726"/>
        <v/>
      </c>
      <c r="HC81" s="343" t="str">
        <f t="shared" si="727"/>
        <v/>
      </c>
      <c r="HD81" s="363" t="str">
        <f t="shared" si="728"/>
        <v/>
      </c>
      <c r="HE81" s="344" t="str">
        <f t="shared" si="576"/>
        <v/>
      </c>
      <c r="HF81" s="5" t="str">
        <f t="shared" si="577"/>
        <v/>
      </c>
      <c r="HG81" s="343" t="str">
        <f t="shared" si="729"/>
        <v/>
      </c>
      <c r="HH81" s="349" t="str">
        <f t="shared" si="730"/>
        <v/>
      </c>
      <c r="HI81" s="317" t="str">
        <f t="shared" si="578"/>
        <v/>
      </c>
      <c r="HK81" s="310" t="str">
        <f t="shared" si="630"/>
        <v/>
      </c>
      <c r="HL81" s="348" t="str">
        <f t="shared" si="579"/>
        <v/>
      </c>
      <c r="HM81" s="909" t="str">
        <f t="shared" si="580"/>
        <v/>
      </c>
      <c r="HN81" s="910" t="str">
        <f t="shared" si="581"/>
        <v/>
      </c>
      <c r="HO81" s="911"/>
      <c r="HP81" s="912"/>
      <c r="HQ81" s="910" t="str">
        <f t="shared" si="582"/>
        <v/>
      </c>
      <c r="HR81" s="913" t="str">
        <f t="shared" si="583"/>
        <v/>
      </c>
      <c r="HS81" s="865" t="str">
        <f t="shared" si="631"/>
        <v/>
      </c>
      <c r="HT81" s="875" t="str">
        <f t="shared" si="584"/>
        <v/>
      </c>
      <c r="HU81" s="876" t="str">
        <f t="shared" si="585"/>
        <v/>
      </c>
      <c r="HV81" s="872" t="str">
        <f t="shared" si="586"/>
        <v/>
      </c>
      <c r="HW81" s="866" t="str">
        <f t="shared" si="587"/>
        <v/>
      </c>
      <c r="HX81" s="867" t="str">
        <f t="shared" si="588"/>
        <v/>
      </c>
      <c r="HY81" s="866" t="str">
        <f t="shared" si="589"/>
        <v/>
      </c>
      <c r="HZ81" s="868" t="str">
        <f t="shared" si="590"/>
        <v/>
      </c>
      <c r="IA81" s="869" t="str">
        <f t="shared" si="591"/>
        <v/>
      </c>
      <c r="IB81" s="870" t="str">
        <f t="shared" si="592"/>
        <v/>
      </c>
      <c r="IC81" s="841" t="str">
        <f t="shared" si="593"/>
        <v/>
      </c>
      <c r="ID81" s="351" t="str">
        <f t="shared" si="594"/>
        <v/>
      </c>
      <c r="IE81" s="843" t="str">
        <f t="shared" si="595"/>
        <v/>
      </c>
      <c r="IF81" s="844"/>
      <c r="IG81" s="790" t="str">
        <f>IFERROR(IF($IW81="","",IF($IW81&lt;(((Settings!$C$19/2)*-1)*$IG$8),"Taper","Nose")),"")</f>
        <v>Taper</v>
      </c>
      <c r="IH81" s="482" t="str">
        <f>IFERROR(IF((((($IY81*COS(RADIANS(180-$JA81)))*COS(RADIANS($JA81)))-(($IZ81*SIN(RADIANS(180-$JA81)))*SIN(RADIANS($JA81))))+$IW81)&lt;(((Settings!$C$19+$IH$8)/2)*-1),"Gage",""),"")</f>
        <v/>
      </c>
      <c r="II81" s="788">
        <f t="shared" si="731"/>
        <v>5.2370000000000001</v>
      </c>
      <c r="IJ81" s="674" cm="1">
        <f t="array" ref="IJ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>5.1369999999999996</v>
      </c>
      <c r="IK81" s="677" cm="1">
        <f t="array" ref="IK81">IFERROR(ROUND(VALUE(IF($IJ81&lt;1,$IJ81+LARGE((IF($M$9:$M$150="",0,$M$9:$M$150)-MOD(IF($M$9:$M$150="",0,$M$9:$M$150),1)),1),$IJ81)),4),"")</f>
        <v>5.1369999999999996</v>
      </c>
      <c r="IL81" s="482">
        <f t="shared" si="596"/>
        <v>1613</v>
      </c>
      <c r="IM81" s="482">
        <f t="shared" si="732"/>
        <v>1313</v>
      </c>
      <c r="IN81" s="670">
        <f t="shared" si="597"/>
        <v>9.5565113536221702</v>
      </c>
      <c r="IO81" s="702">
        <v>2.5385772668535499E-2</v>
      </c>
      <c r="IP81" s="5">
        <f t="shared" si="598"/>
        <v>2</v>
      </c>
      <c r="IQ81" s="714">
        <v>1000</v>
      </c>
      <c r="IR81" s="9">
        <f t="shared" si="599"/>
        <v>-4.9996635239022913</v>
      </c>
      <c r="IS81" s="5">
        <f t="shared" si="600"/>
        <v>-1.8396121131321506</v>
      </c>
      <c r="IT81" s="5">
        <f t="shared" si="601"/>
        <v>0.3125</v>
      </c>
      <c r="IU81" s="5">
        <f t="shared" si="602"/>
        <v>0.27646367616120981</v>
      </c>
      <c r="IV81" s="670">
        <f t="shared" si="603"/>
        <v>75.712346529077777</v>
      </c>
      <c r="IW81" s="9">
        <f t="shared" si="604"/>
        <v>-5.023018431596987</v>
      </c>
      <c r="IX81" s="5">
        <f t="shared" si="605"/>
        <v>-1.8496503669857769</v>
      </c>
      <c r="IY81" s="5">
        <f t="shared" si="606"/>
        <v>0.26450000000000001</v>
      </c>
      <c r="IZ81" s="5">
        <f t="shared" si="607"/>
        <v>0.22233472194578768</v>
      </c>
      <c r="JA81" s="705">
        <f t="shared" si="608"/>
        <v>75.733702256223253</v>
      </c>
    </row>
    <row r="82" spans="1:261" ht="15" customHeight="1" x14ac:dyDescent="0.25">
      <c r="A82" s="75">
        <f t="shared" si="256"/>
        <v>0</v>
      </c>
      <c r="B82" s="578">
        <f t="shared" si="515"/>
        <v>-4.8133571912710211</v>
      </c>
      <c r="C82" s="572">
        <f t="shared" si="516"/>
        <v>-1.3264778730572726</v>
      </c>
      <c r="D82" s="576">
        <f t="shared" si="517"/>
        <v>-2.6233586781757343</v>
      </c>
      <c r="E82" s="580">
        <f t="shared" si="518"/>
        <v>-0.96406163416222712</v>
      </c>
      <c r="F82" s="572">
        <f t="shared" si="519"/>
        <v>-0.26567868852507681</v>
      </c>
      <c r="G82" s="579">
        <f t="shared" si="520"/>
        <v>2.2679489693200328E-7</v>
      </c>
      <c r="H82" s="580">
        <f t="shared" si="521"/>
        <v>0.255</v>
      </c>
      <c r="I82" s="572">
        <f t="shared" si="522"/>
        <v>0.41499999999999992</v>
      </c>
      <c r="J82" s="483">
        <f t="shared" si="523"/>
        <v>5.2430000000000003</v>
      </c>
      <c r="K82" s="806" t="str">
        <f t="shared" si="524"/>
        <v>CPS-32193r1</v>
      </c>
      <c r="L82" s="309"/>
      <c r="M82" s="164">
        <f t="shared" si="526"/>
        <v>5.2430000000000003</v>
      </c>
      <c r="N82" s="575">
        <f t="shared" si="527"/>
        <v>-4.8133571912710211</v>
      </c>
      <c r="O82" s="572">
        <f t="shared" si="528"/>
        <v>-1.3264778730572726</v>
      </c>
      <c r="P82" s="576">
        <f t="shared" si="529"/>
        <v>-2.6233586781757343</v>
      </c>
      <c r="Q82" s="528">
        <f t="shared" si="609"/>
        <v>195.40728447220255</v>
      </c>
      <c r="R82" s="572">
        <f t="shared" si="101"/>
        <v>4.9927899012947661</v>
      </c>
      <c r="S82" s="577">
        <f t="shared" si="102"/>
        <v>-2.6233586781757343</v>
      </c>
      <c r="T82" s="578">
        <f t="shared" si="103"/>
        <v>-1.3628063643938253</v>
      </c>
      <c r="U82" s="572">
        <f t="shared" si="104"/>
        <v>4.8031978734629162</v>
      </c>
      <c r="V82" s="579">
        <f t="shared" si="141"/>
        <v>-2.6233586781757343</v>
      </c>
      <c r="W82" s="528">
        <f t="shared" si="735"/>
        <v>105.84017531807353</v>
      </c>
      <c r="X82" s="572">
        <f t="shared" si="105"/>
        <v>4.9927899012947661</v>
      </c>
      <c r="Y82" s="573">
        <f t="shared" si="733"/>
        <v>-2.6233586781757343</v>
      </c>
      <c r="Z82" s="575">
        <f t="shared" si="530"/>
        <v>0.96406163416222712</v>
      </c>
      <c r="AA82" s="572">
        <f t="shared" si="531"/>
        <v>0.26567868852507681</v>
      </c>
      <c r="AB82" s="572">
        <f t="shared" si="532"/>
        <v>-2.2679489693200328E-7</v>
      </c>
      <c r="AC82" s="579">
        <f t="shared" si="106"/>
        <v>1</v>
      </c>
      <c r="AD82" s="580">
        <f t="shared" si="142"/>
        <v>0.96406163416222712</v>
      </c>
      <c r="AE82" s="572">
        <f t="shared" si="107"/>
        <v>0.26567868852507681</v>
      </c>
      <c r="AF82" s="576">
        <f t="shared" si="108"/>
        <v>-2.2679489693200328E-7</v>
      </c>
      <c r="AG82" s="545">
        <f t="shared" si="109"/>
        <v>89.999951089827789</v>
      </c>
      <c r="AH82" s="546">
        <f t="shared" si="110"/>
        <v>15.407284472207941</v>
      </c>
      <c r="AI82" s="528">
        <f t="shared" si="111"/>
        <v>-89.999987005609597</v>
      </c>
      <c r="AJ82" s="529">
        <f t="shared" si="112"/>
        <v>105.40728447220259</v>
      </c>
      <c r="AK82" s="578">
        <f t="shared" si="238"/>
        <v>1.0547118733938987E-15</v>
      </c>
      <c r="AL82" s="572">
        <f t="shared" si="113"/>
        <v>-0.99999999999997435</v>
      </c>
      <c r="AM82" s="577">
        <f t="shared" si="114"/>
        <v>-2.2679489693200328E-7</v>
      </c>
      <c r="AN82" s="524">
        <f t="shared" si="115"/>
        <v>-89.999987005609597</v>
      </c>
      <c r="AO82" s="525">
        <f t="shared" si="525"/>
        <v>0</v>
      </c>
      <c r="AP82" s="528">
        <f t="shared" si="117"/>
        <v>-89.999999999999943</v>
      </c>
      <c r="AQ82" s="529">
        <f t="shared" si="533"/>
        <v>0.91313019891706115</v>
      </c>
      <c r="AS82" s="932">
        <f t="shared" si="632"/>
        <v>105.84017531807353</v>
      </c>
      <c r="AT82" s="928">
        <f t="shared" si="534"/>
        <v>-2.2740835025254995</v>
      </c>
      <c r="AU82" s="418"/>
      <c r="AV82" s="164" t="str">
        <f t="shared" si="535"/>
        <v/>
      </c>
      <c r="AW82" s="797" t="str">
        <f>IFERROR(INDEX(MassProp!C$9:C$150,MATCH($M82,MassProp!$B$9:$B$150,0)),"")</f>
        <v/>
      </c>
      <c r="AX82" s="744" t="str">
        <f>IFERROR(INDEX(MassProp!D$9:D$150,MATCH($M82,MassProp!$B$9:$B$150,0)),"")</f>
        <v/>
      </c>
      <c r="AY82" s="731" t="str">
        <f>IFERROR(INDEX(MassProp!E$9:E$150,MATCH($M82,MassProp!$B$9:$B$150,0)),"")</f>
        <v/>
      </c>
      <c r="AZ82" s="297" t="str">
        <f t="shared" si="633"/>
        <v/>
      </c>
      <c r="BA82" s="296" t="str">
        <f t="shared" si="536"/>
        <v/>
      </c>
      <c r="BB82" s="177" t="str">
        <f t="shared" si="610"/>
        <v/>
      </c>
      <c r="BC82" s="9"/>
      <c r="BD82" s="5" t="str">
        <f t="shared" si="611"/>
        <v/>
      </c>
      <c r="BE82" s="6" t="str">
        <f t="shared" si="537"/>
        <v/>
      </c>
      <c r="BF82" s="4" t="str">
        <f t="shared" si="538"/>
        <v/>
      </c>
      <c r="BG82" s="5" t="str">
        <f t="shared" si="539"/>
        <v/>
      </c>
      <c r="BH82" s="10" t="str">
        <f t="shared" si="540"/>
        <v/>
      </c>
      <c r="BI82" s="9" t="str">
        <f t="shared" si="634"/>
        <v/>
      </c>
      <c r="BJ82" s="5" t="str">
        <f t="shared" si="541"/>
        <v/>
      </c>
      <c r="BK82" s="8" t="str">
        <f t="shared" si="542"/>
        <v/>
      </c>
      <c r="BL82" s="173" t="str">
        <f t="shared" si="543"/>
        <v/>
      </c>
      <c r="BM82" s="5" t="str">
        <f t="shared" si="544"/>
        <v/>
      </c>
      <c r="BN82" s="6" t="str">
        <f t="shared" si="545"/>
        <v/>
      </c>
      <c r="BO82" s="4" t="str">
        <f t="shared" si="635"/>
        <v/>
      </c>
      <c r="BP82" s="5" t="str">
        <f t="shared" si="734"/>
        <v/>
      </c>
      <c r="BQ82" s="5" t="str">
        <f t="shared" si="636"/>
        <v/>
      </c>
      <c r="BR82" s="6" t="str">
        <f t="shared" si="637"/>
        <v/>
      </c>
      <c r="BS82" s="4" t="str">
        <f t="shared" si="612"/>
        <v/>
      </c>
      <c r="BT82" s="5" t="str">
        <f t="shared" si="612"/>
        <v/>
      </c>
      <c r="BU82" s="10" t="str">
        <f t="shared" si="613"/>
        <v/>
      </c>
      <c r="BV82" s="9" t="str">
        <f t="shared" si="614"/>
        <v/>
      </c>
      <c r="BW82" s="5" t="str">
        <f t="shared" si="615"/>
        <v/>
      </c>
      <c r="BX82" s="8" t="str">
        <f t="shared" si="616"/>
        <v/>
      </c>
      <c r="BY82" s="173" t="str">
        <f t="shared" si="617"/>
        <v/>
      </c>
      <c r="BZ82" s="5" t="str">
        <f t="shared" si="618"/>
        <v/>
      </c>
      <c r="CA82" s="6" t="str">
        <f t="shared" si="619"/>
        <v/>
      </c>
      <c r="CB82" s="4" t="str">
        <f t="shared" si="638"/>
        <v/>
      </c>
      <c r="CC82" s="5" t="str">
        <f t="shared" si="639"/>
        <v/>
      </c>
      <c r="CD82" s="5" t="str">
        <f t="shared" si="640"/>
        <v/>
      </c>
      <c r="CE82" s="6" t="str">
        <f t="shared" si="641"/>
        <v/>
      </c>
      <c r="CF82" s="4" t="str">
        <f t="shared" si="642"/>
        <v/>
      </c>
      <c r="CG82" s="5" t="str">
        <f t="shared" si="643"/>
        <v/>
      </c>
      <c r="CH82" s="5" t="str">
        <f t="shared" si="644"/>
        <v/>
      </c>
      <c r="CI82" s="4" t="str">
        <f t="shared" si="620"/>
        <v/>
      </c>
      <c r="CJ82" s="5" t="str">
        <f t="shared" si="621"/>
        <v/>
      </c>
      <c r="CK82" s="8" t="str">
        <f t="shared" si="622"/>
        <v/>
      </c>
      <c r="CL82" s="173" t="str">
        <f t="shared" si="623"/>
        <v/>
      </c>
      <c r="CM82" s="5" t="str">
        <f t="shared" si="624"/>
        <v/>
      </c>
      <c r="CN82" s="6" t="str">
        <f t="shared" si="625"/>
        <v/>
      </c>
      <c r="CO82" s="167" t="str">
        <f t="shared" si="546"/>
        <v/>
      </c>
      <c r="CP82" s="4" t="str">
        <f t="shared" si="645"/>
        <v/>
      </c>
      <c r="CQ82" s="5" t="str">
        <f t="shared" si="646"/>
        <v/>
      </c>
      <c r="CR82" s="5" t="str">
        <f t="shared" si="647"/>
        <v/>
      </c>
      <c r="CS82" s="8" t="str">
        <f t="shared" si="648"/>
        <v/>
      </c>
      <c r="CT82" s="9" t="str">
        <f t="shared" si="649"/>
        <v/>
      </c>
      <c r="CU82" s="6" t="str">
        <f t="shared" si="650"/>
        <v/>
      </c>
      <c r="CV82" s="4" t="str">
        <f t="shared" si="651"/>
        <v/>
      </c>
      <c r="CW82" s="5" t="str">
        <f t="shared" si="652"/>
        <v/>
      </c>
      <c r="CX82" s="8" t="str">
        <f t="shared" si="653"/>
        <v/>
      </c>
      <c r="CY82" s="9" t="str">
        <f t="shared" si="654"/>
        <v/>
      </c>
      <c r="CZ82" s="5" t="str">
        <f t="shared" si="655"/>
        <v/>
      </c>
      <c r="DA82" s="6" t="str">
        <f t="shared" si="656"/>
        <v/>
      </c>
      <c r="DB82" s="4" t="str">
        <f t="shared" si="657"/>
        <v/>
      </c>
      <c r="DC82" s="5" t="str">
        <f t="shared" si="657"/>
        <v/>
      </c>
      <c r="DD82" s="10" t="str">
        <f t="shared" si="658"/>
        <v/>
      </c>
      <c r="DE82" s="9" t="str">
        <f t="shared" si="659"/>
        <v/>
      </c>
      <c r="DF82" s="5" t="str">
        <f t="shared" si="659"/>
        <v/>
      </c>
      <c r="DG82" s="10" t="str">
        <f t="shared" si="660"/>
        <v/>
      </c>
      <c r="DH82" s="70" t="str">
        <f t="shared" si="661"/>
        <v/>
      </c>
      <c r="DI82" s="4" t="str">
        <f t="shared" si="662"/>
        <v/>
      </c>
      <c r="DJ82" s="5" t="str">
        <f t="shared" si="663"/>
        <v/>
      </c>
      <c r="DK82" s="10" t="str">
        <f t="shared" si="664"/>
        <v/>
      </c>
      <c r="DL82" s="9" t="str">
        <f t="shared" si="665"/>
        <v/>
      </c>
      <c r="DM82" s="173" t="str">
        <f t="shared" si="666"/>
        <v/>
      </c>
      <c r="DN82" s="178" t="str">
        <f t="shared" si="667"/>
        <v/>
      </c>
      <c r="DO82" s="9" t="str">
        <f t="shared" si="668"/>
        <v/>
      </c>
      <c r="DP82" s="173" t="str">
        <f t="shared" si="669"/>
        <v/>
      </c>
      <c r="DQ82" s="11" t="str">
        <f t="shared" si="670"/>
        <v/>
      </c>
      <c r="DR82" s="173" t="str">
        <f t="shared" si="671"/>
        <v/>
      </c>
      <c r="DS82" s="5" t="str">
        <f t="shared" si="672"/>
        <v/>
      </c>
      <c r="DT82" s="5" t="str">
        <f t="shared" si="673"/>
        <v/>
      </c>
      <c r="DU82" s="5" t="str">
        <f t="shared" si="674"/>
        <v/>
      </c>
      <c r="DV82" s="5" t="str">
        <f t="shared" si="675"/>
        <v/>
      </c>
      <c r="DW82" s="5" t="str">
        <f t="shared" si="676"/>
        <v/>
      </c>
      <c r="DX82" s="167" t="str">
        <f t="shared" si="677"/>
        <v/>
      </c>
      <c r="DY82" s="9" t="str">
        <f t="shared" si="678"/>
        <v/>
      </c>
      <c r="DZ82" s="5" t="str">
        <f t="shared" si="679"/>
        <v/>
      </c>
      <c r="EA82" s="10" t="str">
        <f t="shared" si="680"/>
        <v/>
      </c>
      <c r="EB82" s="6" t="str">
        <f t="shared" si="681"/>
        <v/>
      </c>
      <c r="EC82" s="173" t="str">
        <f t="shared" si="682"/>
        <v/>
      </c>
      <c r="ED82" s="5" t="str">
        <f t="shared" si="683"/>
        <v/>
      </c>
      <c r="EE82" s="4" t="str">
        <f t="shared" si="684"/>
        <v/>
      </c>
      <c r="EF82" s="5" t="str">
        <f t="shared" si="685"/>
        <v/>
      </c>
      <c r="EG82" s="10" t="str">
        <f t="shared" si="686"/>
        <v/>
      </c>
      <c r="EH82" s="9" t="str">
        <f t="shared" si="687"/>
        <v/>
      </c>
      <c r="EI82" s="5" t="str">
        <f t="shared" si="688"/>
        <v/>
      </c>
      <c r="EJ82" s="6" t="str">
        <f t="shared" si="689"/>
        <v/>
      </c>
      <c r="EK82" s="236" t="str">
        <f t="shared" si="690"/>
        <v/>
      </c>
      <c r="EL82" s="238" t="str">
        <f t="shared" si="691"/>
        <v/>
      </c>
      <c r="EM82" s="4" t="str">
        <f t="shared" si="692"/>
        <v/>
      </c>
      <c r="EN82" s="5" t="str">
        <f t="shared" si="693"/>
        <v/>
      </c>
      <c r="EO82" s="10" t="str">
        <f t="shared" si="694"/>
        <v/>
      </c>
      <c r="EP82" s="9" t="str">
        <f t="shared" si="695"/>
        <v/>
      </c>
      <c r="EQ82" s="5" t="str">
        <f t="shared" si="696"/>
        <v/>
      </c>
      <c r="ER82" s="7" t="str">
        <f t="shared" si="697"/>
        <v/>
      </c>
      <c r="ES82" s="21" t="str">
        <f t="shared" si="547"/>
        <v/>
      </c>
      <c r="ET82" s="5" t="str">
        <f t="shared" si="548"/>
        <v/>
      </c>
      <c r="EU82" s="10" t="str">
        <f t="shared" si="549"/>
        <v/>
      </c>
      <c r="EV82" s="174" t="str">
        <f t="shared" si="550"/>
        <v/>
      </c>
      <c r="EW82" s="9" t="str">
        <f t="shared" si="551"/>
        <v/>
      </c>
      <c r="EX82" s="5" t="str">
        <f t="shared" si="552"/>
        <v/>
      </c>
      <c r="EY82" s="6" t="str">
        <f t="shared" si="698"/>
        <v/>
      </c>
      <c r="EZ82" s="51" t="str">
        <f t="shared" si="699"/>
        <v/>
      </c>
      <c r="FA82" s="173" t="str">
        <f t="shared" si="553"/>
        <v/>
      </c>
      <c r="FB82" s="5" t="str">
        <f t="shared" si="554"/>
        <v/>
      </c>
      <c r="FC82" s="6" t="str">
        <f t="shared" si="555"/>
        <v/>
      </c>
      <c r="FD82" s="4" t="str">
        <f t="shared" si="556"/>
        <v/>
      </c>
      <c r="FE82" s="5" t="str">
        <f t="shared" si="557"/>
        <v/>
      </c>
      <c r="FF82" s="7" t="str">
        <f t="shared" si="700"/>
        <v/>
      </c>
      <c r="FG82" s="173" t="str">
        <f t="shared" si="558"/>
        <v/>
      </c>
      <c r="FH82" s="5" t="str">
        <f t="shared" si="559"/>
        <v/>
      </c>
      <c r="FI82" s="10" t="str">
        <f t="shared" si="560"/>
        <v/>
      </c>
      <c r="FJ82" s="279" t="str">
        <f t="shared" si="701"/>
        <v/>
      </c>
      <c r="FK82" s="4" t="str">
        <f t="shared" si="561"/>
        <v/>
      </c>
      <c r="FL82" s="5" t="str">
        <f t="shared" si="626"/>
        <v/>
      </c>
      <c r="FM82" s="8" t="str">
        <f t="shared" si="627"/>
        <v/>
      </c>
      <c r="FN82" s="9" t="str">
        <f t="shared" si="628"/>
        <v/>
      </c>
      <c r="FO82" s="10" t="str">
        <f t="shared" si="562"/>
        <v/>
      </c>
      <c r="FP82" s="277" t="str">
        <f t="shared" si="629"/>
        <v/>
      </c>
      <c r="FQ82" s="173" t="str">
        <f t="shared" si="702"/>
        <v/>
      </c>
      <c r="FR82" s="10" t="str">
        <f t="shared" si="703"/>
        <v/>
      </c>
      <c r="FS82" s="9" t="str">
        <f t="shared" si="704"/>
        <v/>
      </c>
      <c r="FT82" s="6" t="str">
        <f t="shared" si="705"/>
        <v/>
      </c>
      <c r="FU82" s="4" t="str">
        <f t="shared" si="706"/>
        <v/>
      </c>
      <c r="FV82" s="5" t="str">
        <f t="shared" si="707"/>
        <v/>
      </c>
      <c r="FW82" s="8" t="str">
        <f t="shared" si="708"/>
        <v/>
      </c>
      <c r="FX82" s="9" t="str">
        <f t="shared" si="709"/>
        <v/>
      </c>
      <c r="FY82" s="10" t="str">
        <f t="shared" si="563"/>
        <v/>
      </c>
      <c r="FZ82" s="277" t="str">
        <f t="shared" si="710"/>
        <v/>
      </c>
      <c r="GA82" s="177" t="str">
        <f t="shared" si="711"/>
        <v/>
      </c>
      <c r="GB82" s="4" t="str">
        <f t="shared" si="712"/>
        <v/>
      </c>
      <c r="GC82" s="5" t="str">
        <f t="shared" si="713"/>
        <v/>
      </c>
      <c r="GD82" s="10" t="str">
        <f t="shared" si="714"/>
        <v/>
      </c>
      <c r="GE82" s="311" t="str">
        <f t="shared" si="715"/>
        <v/>
      </c>
      <c r="GF82" s="341" t="str">
        <f t="shared" si="716"/>
        <v/>
      </c>
      <c r="GG82" s="285" t="str">
        <f t="shared" si="564"/>
        <v/>
      </c>
      <c r="GH82" s="286" t="str">
        <f t="shared" si="565"/>
        <v/>
      </c>
      <c r="GI82" s="281" t="str">
        <f t="shared" si="566"/>
        <v/>
      </c>
      <c r="GJ82" s="167" t="str">
        <f t="shared" si="717"/>
        <v/>
      </c>
      <c r="GK82" s="174" t="str">
        <f t="shared" si="567"/>
        <v/>
      </c>
      <c r="GL82" s="174" t="str">
        <f t="shared" si="718"/>
        <v/>
      </c>
      <c r="GM82" s="177" t="str">
        <f t="shared" si="719"/>
        <v/>
      </c>
      <c r="GN82" s="280" t="str">
        <f t="shared" si="720"/>
        <v/>
      </c>
      <c r="GO82" s="4" t="str">
        <f t="shared" si="721"/>
        <v/>
      </c>
      <c r="GP82" s="8" t="str">
        <f t="shared" si="722"/>
        <v/>
      </c>
      <c r="GQ82" s="177" t="str">
        <f t="shared" si="723"/>
        <v/>
      </c>
      <c r="GR82" s="371" t="str">
        <f t="shared" si="724"/>
        <v/>
      </c>
      <c r="GS82" s="342" t="str">
        <f t="shared" si="568"/>
        <v/>
      </c>
      <c r="GT82" s="343" t="str">
        <f t="shared" si="569"/>
        <v/>
      </c>
      <c r="GU82" s="344" t="str">
        <f t="shared" si="570"/>
        <v/>
      </c>
      <c r="GV82" s="343" t="str">
        <f t="shared" si="725"/>
        <v/>
      </c>
      <c r="GW82" s="345" t="str">
        <f t="shared" si="571"/>
        <v/>
      </c>
      <c r="GX82" s="346" t="str">
        <f t="shared" si="572"/>
        <v/>
      </c>
      <c r="GY82" s="344" t="str">
        <f t="shared" si="573"/>
        <v/>
      </c>
      <c r="GZ82" s="345" t="str">
        <f t="shared" si="574"/>
        <v/>
      </c>
      <c r="HA82" s="342" t="str">
        <f t="shared" si="575"/>
        <v/>
      </c>
      <c r="HB82" s="5" t="str">
        <f t="shared" si="726"/>
        <v/>
      </c>
      <c r="HC82" s="343" t="str">
        <f t="shared" si="727"/>
        <v/>
      </c>
      <c r="HD82" s="363" t="str">
        <f t="shared" si="728"/>
        <v/>
      </c>
      <c r="HE82" s="344" t="str">
        <f t="shared" si="576"/>
        <v/>
      </c>
      <c r="HF82" s="5" t="str">
        <f t="shared" si="577"/>
        <v/>
      </c>
      <c r="HG82" s="343" t="str">
        <f t="shared" si="729"/>
        <v/>
      </c>
      <c r="HH82" s="349" t="str">
        <f t="shared" si="730"/>
        <v/>
      </c>
      <c r="HI82" s="317" t="str">
        <f t="shared" si="578"/>
        <v/>
      </c>
      <c r="HK82" s="310" t="str">
        <f t="shared" si="630"/>
        <v/>
      </c>
      <c r="HL82" s="348" t="str">
        <f t="shared" si="579"/>
        <v/>
      </c>
      <c r="HM82" s="909" t="str">
        <f t="shared" si="580"/>
        <v/>
      </c>
      <c r="HN82" s="910" t="str">
        <f t="shared" si="581"/>
        <v/>
      </c>
      <c r="HO82" s="911"/>
      <c r="HP82" s="912"/>
      <c r="HQ82" s="910" t="str">
        <f t="shared" si="582"/>
        <v/>
      </c>
      <c r="HR82" s="913" t="str">
        <f t="shared" si="583"/>
        <v/>
      </c>
      <c r="HS82" s="865" t="str">
        <f t="shared" si="631"/>
        <v/>
      </c>
      <c r="HT82" s="875" t="str">
        <f t="shared" si="584"/>
        <v/>
      </c>
      <c r="HU82" s="876" t="str">
        <f t="shared" si="585"/>
        <v/>
      </c>
      <c r="HV82" s="872" t="str">
        <f t="shared" si="586"/>
        <v/>
      </c>
      <c r="HW82" s="866" t="str">
        <f t="shared" si="587"/>
        <v/>
      </c>
      <c r="HX82" s="867" t="str">
        <f t="shared" si="588"/>
        <v/>
      </c>
      <c r="HY82" s="866" t="str">
        <f t="shared" si="589"/>
        <v/>
      </c>
      <c r="HZ82" s="868" t="str">
        <f t="shared" si="590"/>
        <v/>
      </c>
      <c r="IA82" s="869" t="str">
        <f t="shared" si="591"/>
        <v/>
      </c>
      <c r="IB82" s="870" t="str">
        <f t="shared" si="592"/>
        <v/>
      </c>
      <c r="IC82" s="841" t="str">
        <f t="shared" si="593"/>
        <v/>
      </c>
      <c r="ID82" s="351" t="str">
        <f t="shared" si="594"/>
        <v/>
      </c>
      <c r="IE82" s="843" t="str">
        <f t="shared" si="595"/>
        <v/>
      </c>
      <c r="IF82" s="844"/>
      <c r="IG82" s="790" t="str">
        <f>IFERROR(IF($IW82="","",IF($IW82&lt;(((Settings!$C$19/2)*-1)*$IG$8),"Taper","Nose")),"")</f>
        <v>Taper</v>
      </c>
      <c r="IH82" s="482" t="str">
        <f>IFERROR(IF((((($IY82*COS(RADIANS(180-$JA82)))*COS(RADIANS($JA82)))-(($IZ82*SIN(RADIANS(180-$JA82)))*SIN(RADIANS($JA82))))+$IW82)&lt;(((Settings!$C$19+$IH$8)/2)*-1),"Gage",""),"")</f>
        <v/>
      </c>
      <c r="II82" s="788">
        <f t="shared" si="731"/>
        <v>5.2430000000000003</v>
      </c>
      <c r="IJ82" s="674" cm="1">
        <f t="array" ref="IJ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>5.1429999999999998</v>
      </c>
      <c r="IK82" s="677" cm="1">
        <f t="array" ref="IK82">IFERROR(ROUND(VALUE(IF($IJ82&lt;1,$IJ82+LARGE((IF($M$9:$M$150="",0,$M$9:$M$150)-MOD(IF($M$9:$M$150="",0,$M$9:$M$150),1)),1),$IJ82)),4),"")</f>
        <v>5.1429999999999998</v>
      </c>
      <c r="IL82" s="482">
        <f t="shared" si="596"/>
        <v>1613</v>
      </c>
      <c r="IM82" s="482" t="str">
        <f t="shared" si="732"/>
        <v>CPS-32193r1</v>
      </c>
      <c r="IN82" s="670">
        <f t="shared" si="597"/>
        <v>12.271230721814703</v>
      </c>
      <c r="IO82" s="702">
        <v>4.8062200035361102E-2</v>
      </c>
      <c r="IP82" s="5">
        <f t="shared" si="598"/>
        <v>2.76</v>
      </c>
      <c r="IQ82" s="714">
        <v>1380</v>
      </c>
      <c r="IR82" s="9">
        <f t="shared" si="599"/>
        <v>-5.0270040657372679</v>
      </c>
      <c r="IS82" s="5">
        <f t="shared" si="600"/>
        <v>-2.5995867293624815</v>
      </c>
      <c r="IT82" s="5">
        <f t="shared" si="601"/>
        <v>0.3125</v>
      </c>
      <c r="IU82" s="5">
        <f t="shared" si="602"/>
        <v>0.27121974842239471</v>
      </c>
      <c r="IV82" s="670">
        <f t="shared" si="603"/>
        <v>84.969949372155952</v>
      </c>
      <c r="IW82" s="9">
        <f t="shared" si="604"/>
        <v>-4.9927899012947661</v>
      </c>
      <c r="IX82" s="5">
        <f t="shared" si="605"/>
        <v>-2.6233586781757343</v>
      </c>
      <c r="IY82" s="5">
        <f t="shared" si="606"/>
        <v>0.255</v>
      </c>
      <c r="IZ82" s="5">
        <f t="shared" si="607"/>
        <v>0.255</v>
      </c>
      <c r="JA82" s="705">
        <f t="shared" si="608"/>
        <v>89.999987005609597</v>
      </c>
    </row>
    <row r="83" spans="1:261" ht="15" customHeight="1" x14ac:dyDescent="0.25">
      <c r="A83" s="75">
        <f t="shared" si="256"/>
        <v>0</v>
      </c>
      <c r="B83" s="578">
        <f t="shared" si="515"/>
        <v>-4.8405202803701499</v>
      </c>
      <c r="C83" s="572">
        <f t="shared" si="516"/>
        <v>-1.3336218050869515</v>
      </c>
      <c r="D83" s="576">
        <f t="shared" si="517"/>
        <v>-3.3747461436974899</v>
      </c>
      <c r="E83" s="580">
        <f t="shared" si="518"/>
        <v>-0.96407906556756051</v>
      </c>
      <c r="F83" s="572">
        <f t="shared" si="519"/>
        <v>-0.26561542751566253</v>
      </c>
      <c r="G83" s="579">
        <f t="shared" si="520"/>
        <v>2.26794896820981E-7</v>
      </c>
      <c r="H83" s="580">
        <f t="shared" si="521"/>
        <v>0.255</v>
      </c>
      <c r="I83" s="572">
        <f t="shared" si="522"/>
        <v>0.41499999999999992</v>
      </c>
      <c r="J83" s="483">
        <f t="shared" si="523"/>
        <v>5.2489999999999997</v>
      </c>
      <c r="K83" s="806" t="str">
        <f t="shared" si="524"/>
        <v>CPS-32193r1</v>
      </c>
      <c r="L83" s="309"/>
      <c r="M83" s="164">
        <f t="shared" si="526"/>
        <v>5.2489999999999997</v>
      </c>
      <c r="N83" s="575">
        <f t="shared" si="527"/>
        <v>-4.8405202803701499</v>
      </c>
      <c r="O83" s="572">
        <f t="shared" si="528"/>
        <v>-1.3336218050869515</v>
      </c>
      <c r="P83" s="576">
        <f t="shared" si="529"/>
        <v>-3.3747461436974899</v>
      </c>
      <c r="Q83" s="528">
        <f t="shared" si="609"/>
        <v>195.40352479963681</v>
      </c>
      <c r="R83" s="572">
        <f t="shared" si="101"/>
        <v>5.0208747946625891</v>
      </c>
      <c r="S83" s="577">
        <f t="shared" si="102"/>
        <v>-3.3747461436974899</v>
      </c>
      <c r="T83" s="578">
        <f t="shared" si="103"/>
        <v>-1.370155317774955</v>
      </c>
      <c r="U83" s="572">
        <f t="shared" si="104"/>
        <v>4.8303062127417045</v>
      </c>
      <c r="V83" s="579">
        <f t="shared" si="141"/>
        <v>-3.3747461436974899</v>
      </c>
      <c r="W83" s="528">
        <f t="shared" si="735"/>
        <v>105.8364156455078</v>
      </c>
      <c r="X83" s="572">
        <f t="shared" si="105"/>
        <v>5.0208747946625891</v>
      </c>
      <c r="Y83" s="573">
        <f t="shared" si="733"/>
        <v>-3.3747461436974899</v>
      </c>
      <c r="Z83" s="575">
        <f t="shared" si="530"/>
        <v>0.96407906556756051</v>
      </c>
      <c r="AA83" s="572">
        <f t="shared" si="531"/>
        <v>0.26561542751566253</v>
      </c>
      <c r="AB83" s="572">
        <f t="shared" si="532"/>
        <v>-2.26794896820981E-7</v>
      </c>
      <c r="AC83" s="579">
        <f t="shared" si="106"/>
        <v>1</v>
      </c>
      <c r="AD83" s="580">
        <f t="shared" si="142"/>
        <v>0.96407906556756051</v>
      </c>
      <c r="AE83" s="572">
        <f t="shared" si="107"/>
        <v>0.26561542751566253</v>
      </c>
      <c r="AF83" s="576">
        <f t="shared" si="108"/>
        <v>-2.26794896820981E-7</v>
      </c>
      <c r="AG83" s="545">
        <f t="shared" si="109"/>
        <v>89.999951078178981</v>
      </c>
      <c r="AH83" s="546">
        <f t="shared" si="110"/>
        <v>15.403524799642131</v>
      </c>
      <c r="AI83" s="528">
        <f t="shared" si="111"/>
        <v>-89.999987005609597</v>
      </c>
      <c r="AJ83" s="529">
        <f t="shared" si="112"/>
        <v>105.40352479963681</v>
      </c>
      <c r="AK83" s="578">
        <f t="shared" si="238"/>
        <v>1.1102230246251565E-16</v>
      </c>
      <c r="AL83" s="572">
        <f t="shared" si="113"/>
        <v>-0.99999999999997435</v>
      </c>
      <c r="AM83" s="577">
        <f t="shared" si="114"/>
        <v>-2.26794896820981E-7</v>
      </c>
      <c r="AN83" s="524">
        <f t="shared" si="115"/>
        <v>-89.999987005609597</v>
      </c>
      <c r="AO83" s="525">
        <f t="shared" si="525"/>
        <v>0</v>
      </c>
      <c r="AP83" s="528">
        <f t="shared" si="117"/>
        <v>-90</v>
      </c>
      <c r="AQ83" s="529">
        <f t="shared" si="533"/>
        <v>0.90802334812926278</v>
      </c>
      <c r="AS83" s="932">
        <f t="shared" si="632"/>
        <v>105.8364156455078</v>
      </c>
      <c r="AT83" s="928">
        <f t="shared" si="534"/>
        <v>-3.0254657462798029</v>
      </c>
      <c r="AU83" s="418"/>
      <c r="AV83" s="164" t="str">
        <f t="shared" si="535"/>
        <v/>
      </c>
      <c r="AW83" s="797" t="str">
        <f>IFERROR(INDEX(MassProp!C$9:C$150,MATCH($M83,MassProp!$B$9:$B$150,0)),"")</f>
        <v/>
      </c>
      <c r="AX83" s="744" t="str">
        <f>IFERROR(INDEX(MassProp!D$9:D$150,MATCH($M83,MassProp!$B$9:$B$150,0)),"")</f>
        <v/>
      </c>
      <c r="AY83" s="731" t="str">
        <f>IFERROR(INDEX(MassProp!E$9:E$150,MATCH($M83,MassProp!$B$9:$B$150,0)),"")</f>
        <v/>
      </c>
      <c r="AZ83" s="297" t="str">
        <f t="shared" si="633"/>
        <v/>
      </c>
      <c r="BA83" s="296" t="str">
        <f t="shared" si="536"/>
        <v/>
      </c>
      <c r="BB83" s="177" t="str">
        <f t="shared" si="610"/>
        <v/>
      </c>
      <c r="BC83" s="9"/>
      <c r="BD83" s="5" t="str">
        <f t="shared" si="611"/>
        <v/>
      </c>
      <c r="BE83" s="6" t="str">
        <f t="shared" si="537"/>
        <v/>
      </c>
      <c r="BF83" s="4" t="str">
        <f t="shared" si="538"/>
        <v/>
      </c>
      <c r="BG83" s="5" t="str">
        <f t="shared" si="539"/>
        <v/>
      </c>
      <c r="BH83" s="10" t="str">
        <f t="shared" si="540"/>
        <v/>
      </c>
      <c r="BI83" s="9" t="str">
        <f t="shared" si="634"/>
        <v/>
      </c>
      <c r="BJ83" s="5" t="str">
        <f t="shared" si="541"/>
        <v/>
      </c>
      <c r="BK83" s="8" t="str">
        <f t="shared" si="542"/>
        <v/>
      </c>
      <c r="BL83" s="173" t="str">
        <f t="shared" si="543"/>
        <v/>
      </c>
      <c r="BM83" s="5" t="str">
        <f t="shared" si="544"/>
        <v/>
      </c>
      <c r="BN83" s="6" t="str">
        <f t="shared" si="545"/>
        <v/>
      </c>
      <c r="BO83" s="4" t="str">
        <f t="shared" si="635"/>
        <v/>
      </c>
      <c r="BP83" s="5" t="str">
        <f t="shared" si="734"/>
        <v/>
      </c>
      <c r="BQ83" s="5" t="str">
        <f t="shared" si="636"/>
        <v/>
      </c>
      <c r="BR83" s="6" t="str">
        <f t="shared" si="637"/>
        <v/>
      </c>
      <c r="BS83" s="4" t="str">
        <f t="shared" si="612"/>
        <v/>
      </c>
      <c r="BT83" s="5" t="str">
        <f t="shared" si="612"/>
        <v/>
      </c>
      <c r="BU83" s="10" t="str">
        <f t="shared" si="613"/>
        <v/>
      </c>
      <c r="BV83" s="9" t="str">
        <f t="shared" si="614"/>
        <v/>
      </c>
      <c r="BW83" s="5" t="str">
        <f t="shared" si="615"/>
        <v/>
      </c>
      <c r="BX83" s="8" t="str">
        <f t="shared" si="616"/>
        <v/>
      </c>
      <c r="BY83" s="173" t="str">
        <f t="shared" si="617"/>
        <v/>
      </c>
      <c r="BZ83" s="5" t="str">
        <f t="shared" si="618"/>
        <v/>
      </c>
      <c r="CA83" s="6" t="str">
        <f t="shared" si="619"/>
        <v/>
      </c>
      <c r="CB83" s="4" t="str">
        <f t="shared" si="638"/>
        <v/>
      </c>
      <c r="CC83" s="5" t="str">
        <f t="shared" si="639"/>
        <v/>
      </c>
      <c r="CD83" s="5" t="str">
        <f t="shared" si="640"/>
        <v/>
      </c>
      <c r="CE83" s="6" t="str">
        <f t="shared" si="641"/>
        <v/>
      </c>
      <c r="CF83" s="4" t="str">
        <f t="shared" si="642"/>
        <v/>
      </c>
      <c r="CG83" s="5" t="str">
        <f t="shared" si="643"/>
        <v/>
      </c>
      <c r="CH83" s="5" t="str">
        <f t="shared" si="644"/>
        <v/>
      </c>
      <c r="CI83" s="4" t="str">
        <f t="shared" si="620"/>
        <v/>
      </c>
      <c r="CJ83" s="5" t="str">
        <f t="shared" si="621"/>
        <v/>
      </c>
      <c r="CK83" s="8" t="str">
        <f t="shared" si="622"/>
        <v/>
      </c>
      <c r="CL83" s="173" t="str">
        <f t="shared" si="623"/>
        <v/>
      </c>
      <c r="CM83" s="5" t="str">
        <f t="shared" si="624"/>
        <v/>
      </c>
      <c r="CN83" s="6" t="str">
        <f t="shared" si="625"/>
        <v/>
      </c>
      <c r="CO83" s="167" t="str">
        <f t="shared" si="546"/>
        <v/>
      </c>
      <c r="CP83" s="4" t="str">
        <f t="shared" si="645"/>
        <v/>
      </c>
      <c r="CQ83" s="5" t="str">
        <f t="shared" si="646"/>
        <v/>
      </c>
      <c r="CR83" s="5" t="str">
        <f t="shared" si="647"/>
        <v/>
      </c>
      <c r="CS83" s="8" t="str">
        <f t="shared" si="648"/>
        <v/>
      </c>
      <c r="CT83" s="9" t="str">
        <f t="shared" si="649"/>
        <v/>
      </c>
      <c r="CU83" s="6" t="str">
        <f t="shared" si="650"/>
        <v/>
      </c>
      <c r="CV83" s="4" t="str">
        <f t="shared" si="651"/>
        <v/>
      </c>
      <c r="CW83" s="5" t="str">
        <f t="shared" si="652"/>
        <v/>
      </c>
      <c r="CX83" s="8" t="str">
        <f t="shared" si="653"/>
        <v/>
      </c>
      <c r="CY83" s="9" t="str">
        <f t="shared" si="654"/>
        <v/>
      </c>
      <c r="CZ83" s="5" t="str">
        <f t="shared" si="655"/>
        <v/>
      </c>
      <c r="DA83" s="6" t="str">
        <f t="shared" si="656"/>
        <v/>
      </c>
      <c r="DB83" s="4" t="str">
        <f t="shared" si="657"/>
        <v/>
      </c>
      <c r="DC83" s="5" t="str">
        <f t="shared" si="657"/>
        <v/>
      </c>
      <c r="DD83" s="10" t="str">
        <f t="shared" si="658"/>
        <v/>
      </c>
      <c r="DE83" s="9" t="str">
        <f t="shared" si="659"/>
        <v/>
      </c>
      <c r="DF83" s="5" t="str">
        <f t="shared" si="659"/>
        <v/>
      </c>
      <c r="DG83" s="10" t="str">
        <f t="shared" si="660"/>
        <v/>
      </c>
      <c r="DH83" s="70" t="str">
        <f t="shared" si="661"/>
        <v/>
      </c>
      <c r="DI83" s="4" t="str">
        <f t="shared" si="662"/>
        <v/>
      </c>
      <c r="DJ83" s="5" t="str">
        <f t="shared" si="663"/>
        <v/>
      </c>
      <c r="DK83" s="10" t="str">
        <f t="shared" si="664"/>
        <v/>
      </c>
      <c r="DL83" s="9" t="str">
        <f t="shared" si="665"/>
        <v/>
      </c>
      <c r="DM83" s="173" t="str">
        <f t="shared" si="666"/>
        <v/>
      </c>
      <c r="DN83" s="178" t="str">
        <f t="shared" si="667"/>
        <v/>
      </c>
      <c r="DO83" s="9" t="str">
        <f t="shared" si="668"/>
        <v/>
      </c>
      <c r="DP83" s="173" t="str">
        <f t="shared" si="669"/>
        <v/>
      </c>
      <c r="DQ83" s="11" t="str">
        <f t="shared" si="670"/>
        <v/>
      </c>
      <c r="DR83" s="173" t="str">
        <f t="shared" si="671"/>
        <v/>
      </c>
      <c r="DS83" s="5" t="str">
        <f t="shared" si="672"/>
        <v/>
      </c>
      <c r="DT83" s="5" t="str">
        <f t="shared" si="673"/>
        <v/>
      </c>
      <c r="DU83" s="5" t="str">
        <f t="shared" si="674"/>
        <v/>
      </c>
      <c r="DV83" s="5" t="str">
        <f t="shared" si="675"/>
        <v/>
      </c>
      <c r="DW83" s="5" t="str">
        <f t="shared" si="676"/>
        <v/>
      </c>
      <c r="DX83" s="167" t="str">
        <f t="shared" si="677"/>
        <v/>
      </c>
      <c r="DY83" s="9" t="str">
        <f t="shared" si="678"/>
        <v/>
      </c>
      <c r="DZ83" s="5" t="str">
        <f t="shared" si="679"/>
        <v/>
      </c>
      <c r="EA83" s="10" t="str">
        <f t="shared" si="680"/>
        <v/>
      </c>
      <c r="EB83" s="6" t="str">
        <f t="shared" si="681"/>
        <v/>
      </c>
      <c r="EC83" s="173" t="str">
        <f t="shared" si="682"/>
        <v/>
      </c>
      <c r="ED83" s="5" t="str">
        <f t="shared" si="683"/>
        <v/>
      </c>
      <c r="EE83" s="4" t="str">
        <f t="shared" si="684"/>
        <v/>
      </c>
      <c r="EF83" s="5" t="str">
        <f t="shared" si="685"/>
        <v/>
      </c>
      <c r="EG83" s="10" t="str">
        <f t="shared" si="686"/>
        <v/>
      </c>
      <c r="EH83" s="9" t="str">
        <f t="shared" si="687"/>
        <v/>
      </c>
      <c r="EI83" s="5" t="str">
        <f t="shared" si="688"/>
        <v/>
      </c>
      <c r="EJ83" s="6" t="str">
        <f t="shared" si="689"/>
        <v/>
      </c>
      <c r="EK83" s="236" t="str">
        <f t="shared" si="690"/>
        <v/>
      </c>
      <c r="EL83" s="238" t="str">
        <f t="shared" si="691"/>
        <v/>
      </c>
      <c r="EM83" s="4" t="str">
        <f t="shared" si="692"/>
        <v/>
      </c>
      <c r="EN83" s="5" t="str">
        <f t="shared" si="693"/>
        <v/>
      </c>
      <c r="EO83" s="10" t="str">
        <f t="shared" si="694"/>
        <v/>
      </c>
      <c r="EP83" s="9" t="str">
        <f t="shared" si="695"/>
        <v/>
      </c>
      <c r="EQ83" s="5" t="str">
        <f t="shared" si="696"/>
        <v/>
      </c>
      <c r="ER83" s="7" t="str">
        <f t="shared" si="697"/>
        <v/>
      </c>
      <c r="ES83" s="21" t="str">
        <f t="shared" si="547"/>
        <v/>
      </c>
      <c r="ET83" s="5" t="str">
        <f t="shared" si="548"/>
        <v/>
      </c>
      <c r="EU83" s="10" t="str">
        <f t="shared" si="549"/>
        <v/>
      </c>
      <c r="EV83" s="174" t="str">
        <f t="shared" si="550"/>
        <v/>
      </c>
      <c r="EW83" s="9" t="str">
        <f t="shared" si="551"/>
        <v/>
      </c>
      <c r="EX83" s="5" t="str">
        <f t="shared" si="552"/>
        <v/>
      </c>
      <c r="EY83" s="6" t="str">
        <f t="shared" si="698"/>
        <v/>
      </c>
      <c r="EZ83" s="51" t="str">
        <f t="shared" si="699"/>
        <v/>
      </c>
      <c r="FA83" s="173" t="str">
        <f t="shared" si="553"/>
        <v/>
      </c>
      <c r="FB83" s="5" t="str">
        <f t="shared" si="554"/>
        <v/>
      </c>
      <c r="FC83" s="6" t="str">
        <f t="shared" si="555"/>
        <v/>
      </c>
      <c r="FD83" s="4" t="str">
        <f t="shared" si="556"/>
        <v/>
      </c>
      <c r="FE83" s="5" t="str">
        <f t="shared" si="557"/>
        <v/>
      </c>
      <c r="FF83" s="7" t="str">
        <f t="shared" si="700"/>
        <v/>
      </c>
      <c r="FG83" s="173" t="str">
        <f t="shared" si="558"/>
        <v/>
      </c>
      <c r="FH83" s="5" t="str">
        <f t="shared" si="559"/>
        <v/>
      </c>
      <c r="FI83" s="10" t="str">
        <f t="shared" si="560"/>
        <v/>
      </c>
      <c r="FJ83" s="279" t="str">
        <f t="shared" si="701"/>
        <v/>
      </c>
      <c r="FK83" s="4" t="str">
        <f t="shared" si="561"/>
        <v/>
      </c>
      <c r="FL83" s="5" t="str">
        <f t="shared" si="626"/>
        <v/>
      </c>
      <c r="FM83" s="8" t="str">
        <f t="shared" si="627"/>
        <v/>
      </c>
      <c r="FN83" s="9" t="str">
        <f t="shared" si="628"/>
        <v/>
      </c>
      <c r="FO83" s="10" t="str">
        <f t="shared" si="562"/>
        <v/>
      </c>
      <c r="FP83" s="277" t="str">
        <f t="shared" si="629"/>
        <v/>
      </c>
      <c r="FQ83" s="173" t="str">
        <f t="shared" si="702"/>
        <v/>
      </c>
      <c r="FR83" s="10" t="str">
        <f t="shared" si="703"/>
        <v/>
      </c>
      <c r="FS83" s="9" t="str">
        <f t="shared" si="704"/>
        <v/>
      </c>
      <c r="FT83" s="6" t="str">
        <f t="shared" si="705"/>
        <v/>
      </c>
      <c r="FU83" s="4" t="str">
        <f t="shared" si="706"/>
        <v/>
      </c>
      <c r="FV83" s="5" t="str">
        <f t="shared" si="707"/>
        <v/>
      </c>
      <c r="FW83" s="8" t="str">
        <f t="shared" si="708"/>
        <v/>
      </c>
      <c r="FX83" s="9" t="str">
        <f t="shared" si="709"/>
        <v/>
      </c>
      <c r="FY83" s="10" t="str">
        <f t="shared" si="563"/>
        <v/>
      </c>
      <c r="FZ83" s="277" t="str">
        <f t="shared" si="710"/>
        <v/>
      </c>
      <c r="GA83" s="177" t="str">
        <f t="shared" si="711"/>
        <v/>
      </c>
      <c r="GB83" s="4" t="str">
        <f t="shared" si="712"/>
        <v/>
      </c>
      <c r="GC83" s="5" t="str">
        <f t="shared" si="713"/>
        <v/>
      </c>
      <c r="GD83" s="10" t="str">
        <f t="shared" si="714"/>
        <v/>
      </c>
      <c r="GE83" s="311" t="str">
        <f t="shared" si="715"/>
        <v/>
      </c>
      <c r="GF83" s="341" t="str">
        <f t="shared" si="716"/>
        <v/>
      </c>
      <c r="GG83" s="285" t="str">
        <f t="shared" si="564"/>
        <v/>
      </c>
      <c r="GH83" s="286" t="str">
        <f t="shared" si="565"/>
        <v/>
      </c>
      <c r="GI83" s="281" t="str">
        <f t="shared" si="566"/>
        <v/>
      </c>
      <c r="GJ83" s="167" t="str">
        <f t="shared" si="717"/>
        <v/>
      </c>
      <c r="GK83" s="174" t="str">
        <f t="shared" si="567"/>
        <v/>
      </c>
      <c r="GL83" s="174" t="str">
        <f t="shared" si="718"/>
        <v/>
      </c>
      <c r="GM83" s="177" t="str">
        <f t="shared" si="719"/>
        <v/>
      </c>
      <c r="GN83" s="280" t="str">
        <f t="shared" si="720"/>
        <v/>
      </c>
      <c r="GO83" s="4" t="str">
        <f t="shared" si="721"/>
        <v/>
      </c>
      <c r="GP83" s="8" t="str">
        <f t="shared" si="722"/>
        <v/>
      </c>
      <c r="GQ83" s="177" t="str">
        <f t="shared" si="723"/>
        <v/>
      </c>
      <c r="GR83" s="371" t="str">
        <f t="shared" si="724"/>
        <v/>
      </c>
      <c r="GS83" s="342" t="str">
        <f t="shared" si="568"/>
        <v/>
      </c>
      <c r="GT83" s="343" t="str">
        <f t="shared" si="569"/>
        <v/>
      </c>
      <c r="GU83" s="344" t="str">
        <f t="shared" si="570"/>
        <v/>
      </c>
      <c r="GV83" s="343" t="str">
        <f t="shared" si="725"/>
        <v/>
      </c>
      <c r="GW83" s="345" t="str">
        <f t="shared" si="571"/>
        <v/>
      </c>
      <c r="GX83" s="346" t="str">
        <f t="shared" si="572"/>
        <v/>
      </c>
      <c r="GY83" s="344" t="str">
        <f t="shared" si="573"/>
        <v/>
      </c>
      <c r="GZ83" s="345" t="str">
        <f t="shared" si="574"/>
        <v/>
      </c>
      <c r="HA83" s="342" t="str">
        <f t="shared" si="575"/>
        <v/>
      </c>
      <c r="HB83" s="5" t="str">
        <f t="shared" si="726"/>
        <v/>
      </c>
      <c r="HC83" s="343" t="str">
        <f t="shared" si="727"/>
        <v/>
      </c>
      <c r="HD83" s="363" t="str">
        <f t="shared" si="728"/>
        <v/>
      </c>
      <c r="HE83" s="344" t="str">
        <f t="shared" si="576"/>
        <v/>
      </c>
      <c r="HF83" s="5" t="str">
        <f t="shared" si="577"/>
        <v/>
      </c>
      <c r="HG83" s="343" t="str">
        <f t="shared" si="729"/>
        <v/>
      </c>
      <c r="HH83" s="349" t="str">
        <f t="shared" si="730"/>
        <v/>
      </c>
      <c r="HI83" s="317" t="str">
        <f t="shared" si="578"/>
        <v/>
      </c>
      <c r="HK83" s="310" t="str">
        <f t="shared" si="630"/>
        <v/>
      </c>
      <c r="HL83" s="348" t="str">
        <f t="shared" si="579"/>
        <v/>
      </c>
      <c r="HM83" s="909" t="str">
        <f t="shared" si="580"/>
        <v/>
      </c>
      <c r="HN83" s="910" t="str">
        <f t="shared" si="581"/>
        <v/>
      </c>
      <c r="HO83" s="911"/>
      <c r="HP83" s="912"/>
      <c r="HQ83" s="910" t="str">
        <f t="shared" si="582"/>
        <v/>
      </c>
      <c r="HR83" s="913" t="str">
        <f t="shared" si="583"/>
        <v/>
      </c>
      <c r="HS83" s="865" t="str">
        <f t="shared" si="631"/>
        <v/>
      </c>
      <c r="HT83" s="875" t="str">
        <f t="shared" si="584"/>
        <v/>
      </c>
      <c r="HU83" s="876" t="str">
        <f t="shared" si="585"/>
        <v/>
      </c>
      <c r="HV83" s="872" t="str">
        <f t="shared" si="586"/>
        <v/>
      </c>
      <c r="HW83" s="866" t="str">
        <f t="shared" si="587"/>
        <v/>
      </c>
      <c r="HX83" s="867" t="str">
        <f t="shared" si="588"/>
        <v/>
      </c>
      <c r="HY83" s="866" t="str">
        <f t="shared" si="589"/>
        <v/>
      </c>
      <c r="HZ83" s="868" t="str">
        <f t="shared" si="590"/>
        <v/>
      </c>
      <c r="IA83" s="869" t="str">
        <f t="shared" si="591"/>
        <v/>
      </c>
      <c r="IB83" s="870" t="str">
        <f t="shared" si="592"/>
        <v/>
      </c>
      <c r="IC83" s="841" t="str">
        <f t="shared" si="593"/>
        <v/>
      </c>
      <c r="ID83" s="351" t="str">
        <f t="shared" si="594"/>
        <v/>
      </c>
      <c r="IE83" s="843" t="str">
        <f t="shared" si="595"/>
        <v/>
      </c>
      <c r="IF83" s="844"/>
      <c r="IG83" s="790" t="str">
        <f>IFERROR(IF($IW83="","",IF($IW83&lt;(((Settings!$C$19/2)*-1)*$IG$8),"Taper","Nose")),"")</f>
        <v>Taper</v>
      </c>
      <c r="IH83" s="482" t="str">
        <f>IFERROR(IF((((($IY83*COS(RADIANS(180-$JA83)))*COS(RADIANS($JA83)))-(($IZ83*SIN(RADIANS(180-$JA83)))*SIN(RADIANS($JA83))))+$IW83)&lt;(((Settings!$C$19+$IH$8)/2)*-1),"Gage",""),"")</f>
        <v/>
      </c>
      <c r="II83" s="788">
        <f t="shared" si="731"/>
        <v>5.2489999999999997</v>
      </c>
      <c r="IJ83" s="674" cm="1">
        <f t="array" ref="IJ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>5.149</v>
      </c>
      <c r="IK83" s="677" cm="1">
        <f t="array" ref="IK83">IFERROR(ROUND(VALUE(IF($IJ83&lt;1,$IJ83+LARGE((IF($M$9:$M$150="",0,$M$9:$M$150)-MOD(IF($M$9:$M$150="",0,$M$9:$M$150),1)),1),$IJ83)),4),"")</f>
        <v>5.149</v>
      </c>
      <c r="IL83" s="482">
        <f t="shared" si="596"/>
        <v>1613</v>
      </c>
      <c r="IM83" s="482" t="str">
        <f t="shared" si="732"/>
        <v>CPS-32193r1</v>
      </c>
      <c r="IN83" s="670">
        <f t="shared" si="597"/>
        <v>12.202087403953328</v>
      </c>
      <c r="IO83" s="702">
        <v>4.8104159123765901E-2</v>
      </c>
      <c r="IP83" s="5">
        <f t="shared" si="598"/>
        <v>2.78</v>
      </c>
      <c r="IQ83" s="714">
        <v>1390</v>
      </c>
      <c r="IR83" s="9">
        <f t="shared" si="599"/>
        <v>-5.0550887932628417</v>
      </c>
      <c r="IS83" s="5">
        <f t="shared" si="600"/>
        <v>-3.3510912624309905</v>
      </c>
      <c r="IT83" s="5">
        <f t="shared" si="601"/>
        <v>0.3125</v>
      </c>
      <c r="IU83" s="5">
        <f t="shared" si="602"/>
        <v>0.27121678779184549</v>
      </c>
      <c r="IV83" s="670">
        <f t="shared" si="603"/>
        <v>84.97011741683842</v>
      </c>
      <c r="IW83" s="9">
        <f t="shared" si="604"/>
        <v>-5.0208747946625891</v>
      </c>
      <c r="IX83" s="5">
        <f t="shared" si="605"/>
        <v>-3.3747461436974899</v>
      </c>
      <c r="IY83" s="5">
        <f t="shared" si="606"/>
        <v>0.255</v>
      </c>
      <c r="IZ83" s="5">
        <f t="shared" si="607"/>
        <v>0.255</v>
      </c>
      <c r="JA83" s="705">
        <f t="shared" si="608"/>
        <v>89.999987005609597</v>
      </c>
    </row>
    <row r="84" spans="1:261" ht="15" customHeight="1" x14ac:dyDescent="0.25">
      <c r="A84" s="75">
        <f t="shared" si="256"/>
        <v>0.02</v>
      </c>
      <c r="B84" s="578">
        <f t="shared" si="515"/>
        <v>3.5472637956166033</v>
      </c>
      <c r="C84" s="572">
        <f t="shared" si="516"/>
        <v>-3.6953586413294519</v>
      </c>
      <c r="D84" s="576">
        <f t="shared" si="517"/>
        <v>-9.4977962776039622</v>
      </c>
      <c r="E84" s="580">
        <f t="shared" si="518"/>
        <v>0.99078049831935566</v>
      </c>
      <c r="F84" s="572">
        <f t="shared" si="519"/>
        <v>7.6780626301749713E-2</v>
      </c>
      <c r="G84" s="579">
        <f t="shared" si="520"/>
        <v>-0.11161872412261509</v>
      </c>
      <c r="H84" s="580">
        <f t="shared" si="521"/>
        <v>0.26450000000000001</v>
      </c>
      <c r="I84" s="572">
        <f t="shared" si="522"/>
        <v>0.52</v>
      </c>
      <c r="J84" s="483">
        <f t="shared" si="523"/>
        <v>5.2549999999999999</v>
      </c>
      <c r="K84" s="806">
        <f t="shared" si="524"/>
        <v>1313</v>
      </c>
      <c r="L84" s="309"/>
      <c r="M84" s="164">
        <f t="shared" si="526"/>
        <v>5.2549999999999999</v>
      </c>
      <c r="N84" s="575">
        <f t="shared" si="527"/>
        <v>3.5472637956166033</v>
      </c>
      <c r="O84" s="572">
        <f t="shared" si="528"/>
        <v>-3.6953586413294519</v>
      </c>
      <c r="P84" s="576">
        <f t="shared" si="529"/>
        <v>-9.4977962776039622</v>
      </c>
      <c r="Q84" s="528">
        <f t="shared" si="609"/>
        <v>313.82859731814204</v>
      </c>
      <c r="R84" s="572">
        <f t="shared" si="101"/>
        <v>5.1223779559634766</v>
      </c>
      <c r="S84" s="577">
        <f t="shared" si="102"/>
        <v>-9.4977962776039622</v>
      </c>
      <c r="T84" s="578">
        <f t="shared" si="103"/>
        <v>-3.6684525321225054</v>
      </c>
      <c r="U84" s="572">
        <f t="shared" si="104"/>
        <v>-3.5750820890302002</v>
      </c>
      <c r="V84" s="579">
        <f t="shared" si="141"/>
        <v>-9.4977962776039622</v>
      </c>
      <c r="W84" s="528">
        <f t="shared" si="735"/>
        <v>224.26148816401303</v>
      </c>
      <c r="X84" s="572">
        <f t="shared" si="105"/>
        <v>5.1223779559634766</v>
      </c>
      <c r="Y84" s="573">
        <f t="shared" si="733"/>
        <v>-9.4977962776039622</v>
      </c>
      <c r="Z84" s="575">
        <f t="shared" si="530"/>
        <v>-0.99078049831935566</v>
      </c>
      <c r="AA84" s="572">
        <f t="shared" si="531"/>
        <v>-7.6780626301749713E-2</v>
      </c>
      <c r="AB84" s="572">
        <f t="shared" si="532"/>
        <v>0.11161872412261509</v>
      </c>
      <c r="AC84" s="579">
        <f t="shared" si="106"/>
        <v>1</v>
      </c>
      <c r="AD84" s="580">
        <f t="shared" si="142"/>
        <v>-0.99078049831935566</v>
      </c>
      <c r="AE84" s="572">
        <f t="shared" si="107"/>
        <v>-7.6780626301749713E-2</v>
      </c>
      <c r="AF84" s="576">
        <f t="shared" si="108"/>
        <v>0.11161872412261509</v>
      </c>
      <c r="AG84" s="545">
        <f t="shared" si="109"/>
        <v>-145.47657730028311</v>
      </c>
      <c r="AH84" s="546">
        <f t="shared" si="110"/>
        <v>172.21379947222138</v>
      </c>
      <c r="AI84" s="528">
        <f t="shared" si="111"/>
        <v>-96.408636339561255</v>
      </c>
      <c r="AJ84" s="529">
        <f t="shared" si="112"/>
        <v>-85.568714787563678</v>
      </c>
      <c r="AK84" s="578">
        <f t="shared" si="238"/>
        <v>0.76793443315336318</v>
      </c>
      <c r="AL84" s="572">
        <f t="shared" si="113"/>
        <v>-0.63072812431559</v>
      </c>
      <c r="AM84" s="577">
        <f t="shared" si="114"/>
        <v>0.11161872412261509</v>
      </c>
      <c r="AN84" s="524">
        <f t="shared" si="115"/>
        <v>-100.03561890671617</v>
      </c>
      <c r="AO84" s="525">
        <f t="shared" si="525"/>
        <v>39.831236627249673</v>
      </c>
      <c r="AP84" s="528">
        <f t="shared" si="117"/>
        <v>-39.39731210570573</v>
      </c>
      <c r="AQ84" s="529">
        <f t="shared" si="533"/>
        <v>0.89003321442983041</v>
      </c>
      <c r="AS84" s="932">
        <f t="shared" si="632"/>
        <v>224.26148816401303</v>
      </c>
      <c r="AT84" s="928">
        <f t="shared" si="534"/>
        <v>-9.312995147573087</v>
      </c>
      <c r="AU84" s="418"/>
      <c r="AV84" s="164" t="str">
        <f t="shared" si="535"/>
        <v/>
      </c>
      <c r="AW84" s="797" t="str">
        <f>IFERROR(INDEX(MassProp!C$9:C$150,MATCH($M84,MassProp!$B$9:$B$150,0)),"")</f>
        <v/>
      </c>
      <c r="AX84" s="744" t="str">
        <f>IFERROR(INDEX(MassProp!D$9:D$150,MATCH($M84,MassProp!$B$9:$B$150,0)),"")</f>
        <v/>
      </c>
      <c r="AY84" s="731" t="str">
        <f>IFERROR(INDEX(MassProp!E$9:E$150,MATCH($M84,MassProp!$B$9:$B$150,0)),"")</f>
        <v/>
      </c>
      <c r="AZ84" s="297" t="str">
        <f t="shared" si="633"/>
        <v/>
      </c>
      <c r="BA84" s="296" t="str">
        <f t="shared" si="536"/>
        <v/>
      </c>
      <c r="BB84" s="177" t="str">
        <f t="shared" si="610"/>
        <v/>
      </c>
      <c r="BC84" s="9"/>
      <c r="BD84" s="5" t="str">
        <f t="shared" si="611"/>
        <v/>
      </c>
      <c r="BE84" s="6" t="str">
        <f t="shared" si="537"/>
        <v/>
      </c>
      <c r="BF84" s="4" t="str">
        <f t="shared" si="538"/>
        <v/>
      </c>
      <c r="BG84" s="5" t="str">
        <f t="shared" si="539"/>
        <v/>
      </c>
      <c r="BH84" s="10" t="str">
        <f t="shared" si="540"/>
        <v/>
      </c>
      <c r="BI84" s="9" t="str">
        <f t="shared" si="634"/>
        <v/>
      </c>
      <c r="BJ84" s="5" t="str">
        <f t="shared" si="541"/>
        <v/>
      </c>
      <c r="BK84" s="8" t="str">
        <f t="shared" si="542"/>
        <v/>
      </c>
      <c r="BL84" s="173" t="str">
        <f t="shared" si="543"/>
        <v/>
      </c>
      <c r="BM84" s="5" t="str">
        <f t="shared" si="544"/>
        <v/>
      </c>
      <c r="BN84" s="6" t="str">
        <f t="shared" si="545"/>
        <v/>
      </c>
      <c r="BO84" s="4" t="str">
        <f t="shared" si="635"/>
        <v/>
      </c>
      <c r="BP84" s="5" t="str">
        <f t="shared" si="734"/>
        <v/>
      </c>
      <c r="BQ84" s="5" t="str">
        <f t="shared" si="636"/>
        <v/>
      </c>
      <c r="BR84" s="6" t="str">
        <f t="shared" si="637"/>
        <v/>
      </c>
      <c r="BS84" s="4" t="str">
        <f t="shared" si="612"/>
        <v/>
      </c>
      <c r="BT84" s="5" t="str">
        <f t="shared" si="612"/>
        <v/>
      </c>
      <c r="BU84" s="10" t="str">
        <f t="shared" si="613"/>
        <v/>
      </c>
      <c r="BV84" s="9" t="str">
        <f t="shared" si="614"/>
        <v/>
      </c>
      <c r="BW84" s="5" t="str">
        <f t="shared" si="615"/>
        <v/>
      </c>
      <c r="BX84" s="8" t="str">
        <f t="shared" si="616"/>
        <v/>
      </c>
      <c r="BY84" s="173" t="str">
        <f t="shared" si="617"/>
        <v/>
      </c>
      <c r="BZ84" s="5" t="str">
        <f t="shared" si="618"/>
        <v/>
      </c>
      <c r="CA84" s="6" t="str">
        <f t="shared" si="619"/>
        <v/>
      </c>
      <c r="CB84" s="4" t="str">
        <f t="shared" si="638"/>
        <v/>
      </c>
      <c r="CC84" s="5" t="str">
        <f t="shared" si="639"/>
        <v/>
      </c>
      <c r="CD84" s="5" t="str">
        <f t="shared" si="640"/>
        <v/>
      </c>
      <c r="CE84" s="6" t="str">
        <f t="shared" si="641"/>
        <v/>
      </c>
      <c r="CF84" s="4" t="str">
        <f t="shared" si="642"/>
        <v/>
      </c>
      <c r="CG84" s="5" t="str">
        <f t="shared" si="643"/>
        <v/>
      </c>
      <c r="CH84" s="5" t="str">
        <f t="shared" si="644"/>
        <v/>
      </c>
      <c r="CI84" s="4" t="str">
        <f t="shared" si="620"/>
        <v/>
      </c>
      <c r="CJ84" s="5" t="str">
        <f t="shared" si="621"/>
        <v/>
      </c>
      <c r="CK84" s="8" t="str">
        <f t="shared" si="622"/>
        <v/>
      </c>
      <c r="CL84" s="173" t="str">
        <f t="shared" si="623"/>
        <v/>
      </c>
      <c r="CM84" s="5" t="str">
        <f t="shared" si="624"/>
        <v/>
      </c>
      <c r="CN84" s="6" t="str">
        <f t="shared" si="625"/>
        <v/>
      </c>
      <c r="CO84" s="167" t="str">
        <f t="shared" si="546"/>
        <v/>
      </c>
      <c r="CP84" s="4" t="str">
        <f t="shared" si="645"/>
        <v/>
      </c>
      <c r="CQ84" s="5" t="str">
        <f t="shared" si="646"/>
        <v/>
      </c>
      <c r="CR84" s="5" t="str">
        <f t="shared" si="647"/>
        <v/>
      </c>
      <c r="CS84" s="8" t="str">
        <f t="shared" si="648"/>
        <v/>
      </c>
      <c r="CT84" s="9" t="str">
        <f t="shared" si="649"/>
        <v/>
      </c>
      <c r="CU84" s="6" t="str">
        <f t="shared" si="650"/>
        <v/>
      </c>
      <c r="CV84" s="4" t="str">
        <f t="shared" si="651"/>
        <v/>
      </c>
      <c r="CW84" s="5" t="str">
        <f t="shared" si="652"/>
        <v/>
      </c>
      <c r="CX84" s="8" t="str">
        <f t="shared" si="653"/>
        <v/>
      </c>
      <c r="CY84" s="9" t="str">
        <f t="shared" si="654"/>
        <v/>
      </c>
      <c r="CZ84" s="5" t="str">
        <f t="shared" si="655"/>
        <v/>
      </c>
      <c r="DA84" s="6" t="str">
        <f t="shared" si="656"/>
        <v/>
      </c>
      <c r="DB84" s="4" t="str">
        <f t="shared" si="657"/>
        <v/>
      </c>
      <c r="DC84" s="5" t="str">
        <f t="shared" si="657"/>
        <v/>
      </c>
      <c r="DD84" s="10" t="str">
        <f t="shared" si="658"/>
        <v/>
      </c>
      <c r="DE84" s="9" t="str">
        <f t="shared" si="659"/>
        <v/>
      </c>
      <c r="DF84" s="5" t="str">
        <f t="shared" si="659"/>
        <v/>
      </c>
      <c r="DG84" s="10" t="str">
        <f t="shared" si="660"/>
        <v/>
      </c>
      <c r="DH84" s="70" t="str">
        <f t="shared" si="661"/>
        <v/>
      </c>
      <c r="DI84" s="4" t="str">
        <f t="shared" si="662"/>
        <v/>
      </c>
      <c r="DJ84" s="5" t="str">
        <f t="shared" si="663"/>
        <v/>
      </c>
      <c r="DK84" s="10" t="str">
        <f t="shared" si="664"/>
        <v/>
      </c>
      <c r="DL84" s="9" t="str">
        <f t="shared" si="665"/>
        <v/>
      </c>
      <c r="DM84" s="173" t="str">
        <f t="shared" si="666"/>
        <v/>
      </c>
      <c r="DN84" s="178" t="str">
        <f t="shared" si="667"/>
        <v/>
      </c>
      <c r="DO84" s="9" t="str">
        <f t="shared" si="668"/>
        <v/>
      </c>
      <c r="DP84" s="173" t="str">
        <f t="shared" si="669"/>
        <v/>
      </c>
      <c r="DQ84" s="11" t="str">
        <f t="shared" si="670"/>
        <v/>
      </c>
      <c r="DR84" s="173" t="str">
        <f t="shared" si="671"/>
        <v/>
      </c>
      <c r="DS84" s="5" t="str">
        <f t="shared" si="672"/>
        <v/>
      </c>
      <c r="DT84" s="5" t="str">
        <f t="shared" si="673"/>
        <v/>
      </c>
      <c r="DU84" s="5" t="str">
        <f t="shared" si="674"/>
        <v/>
      </c>
      <c r="DV84" s="5" t="str">
        <f t="shared" si="675"/>
        <v/>
      </c>
      <c r="DW84" s="5" t="str">
        <f t="shared" si="676"/>
        <v/>
      </c>
      <c r="DX84" s="167" t="str">
        <f t="shared" si="677"/>
        <v/>
      </c>
      <c r="DY84" s="9" t="str">
        <f t="shared" si="678"/>
        <v/>
      </c>
      <c r="DZ84" s="5" t="str">
        <f t="shared" si="679"/>
        <v/>
      </c>
      <c r="EA84" s="10" t="str">
        <f t="shared" si="680"/>
        <v/>
      </c>
      <c r="EB84" s="6" t="str">
        <f t="shared" si="681"/>
        <v/>
      </c>
      <c r="EC84" s="173" t="str">
        <f t="shared" si="682"/>
        <v/>
      </c>
      <c r="ED84" s="5" t="str">
        <f t="shared" si="683"/>
        <v/>
      </c>
      <c r="EE84" s="4" t="str">
        <f t="shared" si="684"/>
        <v/>
      </c>
      <c r="EF84" s="5" t="str">
        <f t="shared" si="685"/>
        <v/>
      </c>
      <c r="EG84" s="10" t="str">
        <f t="shared" si="686"/>
        <v/>
      </c>
      <c r="EH84" s="9" t="str">
        <f t="shared" si="687"/>
        <v/>
      </c>
      <c r="EI84" s="5" t="str">
        <f t="shared" si="688"/>
        <v/>
      </c>
      <c r="EJ84" s="6" t="str">
        <f t="shared" si="689"/>
        <v/>
      </c>
      <c r="EK84" s="236" t="str">
        <f t="shared" si="690"/>
        <v/>
      </c>
      <c r="EL84" s="238" t="str">
        <f t="shared" si="691"/>
        <v/>
      </c>
      <c r="EM84" s="4" t="str">
        <f t="shared" si="692"/>
        <v/>
      </c>
      <c r="EN84" s="5" t="str">
        <f t="shared" si="693"/>
        <v/>
      </c>
      <c r="EO84" s="10" t="str">
        <f t="shared" si="694"/>
        <v/>
      </c>
      <c r="EP84" s="9" t="str">
        <f t="shared" si="695"/>
        <v/>
      </c>
      <c r="EQ84" s="5" t="str">
        <f t="shared" si="696"/>
        <v/>
      </c>
      <c r="ER84" s="7" t="str">
        <f t="shared" si="697"/>
        <v/>
      </c>
      <c r="ES84" s="21" t="str">
        <f t="shared" si="547"/>
        <v/>
      </c>
      <c r="ET84" s="5" t="str">
        <f t="shared" si="548"/>
        <v/>
      </c>
      <c r="EU84" s="10" t="str">
        <f t="shared" si="549"/>
        <v/>
      </c>
      <c r="EV84" s="174" t="str">
        <f t="shared" si="550"/>
        <v/>
      </c>
      <c r="EW84" s="9" t="str">
        <f t="shared" si="551"/>
        <v/>
      </c>
      <c r="EX84" s="5" t="str">
        <f t="shared" si="552"/>
        <v/>
      </c>
      <c r="EY84" s="6" t="str">
        <f t="shared" si="698"/>
        <v/>
      </c>
      <c r="EZ84" s="51" t="str">
        <f t="shared" si="699"/>
        <v/>
      </c>
      <c r="FA84" s="173" t="str">
        <f t="shared" si="553"/>
        <v/>
      </c>
      <c r="FB84" s="5" t="str">
        <f t="shared" si="554"/>
        <v/>
      </c>
      <c r="FC84" s="6" t="str">
        <f t="shared" si="555"/>
        <v/>
      </c>
      <c r="FD84" s="4" t="str">
        <f t="shared" si="556"/>
        <v/>
      </c>
      <c r="FE84" s="5" t="str">
        <f t="shared" si="557"/>
        <v/>
      </c>
      <c r="FF84" s="7" t="str">
        <f t="shared" si="700"/>
        <v/>
      </c>
      <c r="FG84" s="173" t="str">
        <f t="shared" si="558"/>
        <v/>
      </c>
      <c r="FH84" s="5" t="str">
        <f t="shared" si="559"/>
        <v/>
      </c>
      <c r="FI84" s="10" t="str">
        <f t="shared" si="560"/>
        <v/>
      </c>
      <c r="FJ84" s="279" t="str">
        <f t="shared" si="701"/>
        <v/>
      </c>
      <c r="FK84" s="4" t="str">
        <f t="shared" si="561"/>
        <v/>
      </c>
      <c r="FL84" s="5" t="str">
        <f t="shared" si="626"/>
        <v/>
      </c>
      <c r="FM84" s="8" t="str">
        <f t="shared" si="627"/>
        <v/>
      </c>
      <c r="FN84" s="9" t="str">
        <f t="shared" si="628"/>
        <v/>
      </c>
      <c r="FO84" s="10" t="str">
        <f t="shared" si="562"/>
        <v/>
      </c>
      <c r="FP84" s="277" t="str">
        <f t="shared" si="629"/>
        <v/>
      </c>
      <c r="FQ84" s="173" t="str">
        <f t="shared" si="702"/>
        <v/>
      </c>
      <c r="FR84" s="10" t="str">
        <f t="shared" si="703"/>
        <v/>
      </c>
      <c r="FS84" s="9" t="str">
        <f t="shared" si="704"/>
        <v/>
      </c>
      <c r="FT84" s="6" t="str">
        <f t="shared" si="705"/>
        <v/>
      </c>
      <c r="FU84" s="4" t="str">
        <f t="shared" si="706"/>
        <v/>
      </c>
      <c r="FV84" s="5" t="str">
        <f t="shared" si="707"/>
        <v/>
      </c>
      <c r="FW84" s="8" t="str">
        <f t="shared" si="708"/>
        <v/>
      </c>
      <c r="FX84" s="9" t="str">
        <f t="shared" si="709"/>
        <v/>
      </c>
      <c r="FY84" s="10" t="str">
        <f t="shared" si="563"/>
        <v/>
      </c>
      <c r="FZ84" s="277" t="str">
        <f t="shared" si="710"/>
        <v/>
      </c>
      <c r="GA84" s="177" t="str">
        <f t="shared" si="711"/>
        <v/>
      </c>
      <c r="GB84" s="4" t="str">
        <f t="shared" si="712"/>
        <v/>
      </c>
      <c r="GC84" s="5" t="str">
        <f t="shared" si="713"/>
        <v/>
      </c>
      <c r="GD84" s="10" t="str">
        <f t="shared" si="714"/>
        <v/>
      </c>
      <c r="GE84" s="311" t="str">
        <f t="shared" si="715"/>
        <v/>
      </c>
      <c r="GF84" s="341" t="str">
        <f t="shared" si="716"/>
        <v/>
      </c>
      <c r="GG84" s="285" t="str">
        <f t="shared" si="564"/>
        <v/>
      </c>
      <c r="GH84" s="286" t="str">
        <f t="shared" si="565"/>
        <v/>
      </c>
      <c r="GI84" s="281" t="str">
        <f t="shared" si="566"/>
        <v/>
      </c>
      <c r="GJ84" s="167" t="str">
        <f t="shared" si="717"/>
        <v/>
      </c>
      <c r="GK84" s="174" t="str">
        <f t="shared" si="567"/>
        <v/>
      </c>
      <c r="GL84" s="174" t="str">
        <f t="shared" si="718"/>
        <v/>
      </c>
      <c r="GM84" s="177" t="str">
        <f t="shared" si="719"/>
        <v/>
      </c>
      <c r="GN84" s="280" t="str">
        <f t="shared" si="720"/>
        <v/>
      </c>
      <c r="GO84" s="4" t="str">
        <f t="shared" si="721"/>
        <v/>
      </c>
      <c r="GP84" s="8" t="str">
        <f t="shared" si="722"/>
        <v/>
      </c>
      <c r="GQ84" s="177" t="str">
        <f t="shared" si="723"/>
        <v/>
      </c>
      <c r="GR84" s="371" t="str">
        <f t="shared" si="724"/>
        <v/>
      </c>
      <c r="GS84" s="342" t="str">
        <f t="shared" si="568"/>
        <v/>
      </c>
      <c r="GT84" s="343" t="str">
        <f t="shared" si="569"/>
        <v/>
      </c>
      <c r="GU84" s="344" t="str">
        <f t="shared" si="570"/>
        <v/>
      </c>
      <c r="GV84" s="343" t="str">
        <f t="shared" si="725"/>
        <v/>
      </c>
      <c r="GW84" s="345" t="str">
        <f t="shared" si="571"/>
        <v/>
      </c>
      <c r="GX84" s="346" t="str">
        <f t="shared" si="572"/>
        <v/>
      </c>
      <c r="GY84" s="344" t="str">
        <f t="shared" si="573"/>
        <v/>
      </c>
      <c r="GZ84" s="345" t="str">
        <f t="shared" si="574"/>
        <v/>
      </c>
      <c r="HA84" s="342" t="str">
        <f t="shared" si="575"/>
        <v/>
      </c>
      <c r="HB84" s="5" t="str">
        <f t="shared" si="726"/>
        <v/>
      </c>
      <c r="HC84" s="343" t="str">
        <f t="shared" si="727"/>
        <v/>
      </c>
      <c r="HD84" s="363" t="str">
        <f t="shared" si="728"/>
        <v/>
      </c>
      <c r="HE84" s="344" t="str">
        <f t="shared" si="576"/>
        <v/>
      </c>
      <c r="HF84" s="5" t="str">
        <f t="shared" si="577"/>
        <v/>
      </c>
      <c r="HG84" s="343" t="str">
        <f t="shared" si="729"/>
        <v/>
      </c>
      <c r="HH84" s="349" t="str">
        <f t="shared" si="730"/>
        <v/>
      </c>
      <c r="HI84" s="317" t="str">
        <f t="shared" si="578"/>
        <v/>
      </c>
      <c r="HK84" s="310" t="str">
        <f t="shared" si="630"/>
        <v/>
      </c>
      <c r="HL84" s="348" t="str">
        <f t="shared" si="579"/>
        <v/>
      </c>
      <c r="HM84" s="909" t="str">
        <f t="shared" si="580"/>
        <v/>
      </c>
      <c r="HN84" s="910" t="str">
        <f t="shared" si="581"/>
        <v/>
      </c>
      <c r="HO84" s="911"/>
      <c r="HP84" s="912"/>
      <c r="HQ84" s="910" t="str">
        <f t="shared" si="582"/>
        <v/>
      </c>
      <c r="HR84" s="913" t="str">
        <f t="shared" si="583"/>
        <v/>
      </c>
      <c r="HS84" s="865" t="str">
        <f t="shared" si="631"/>
        <v/>
      </c>
      <c r="HT84" s="875" t="str">
        <f t="shared" si="584"/>
        <v/>
      </c>
      <c r="HU84" s="876" t="str">
        <f t="shared" si="585"/>
        <v/>
      </c>
      <c r="HV84" s="872" t="str">
        <f t="shared" si="586"/>
        <v/>
      </c>
      <c r="HW84" s="866" t="str">
        <f t="shared" si="587"/>
        <v/>
      </c>
      <c r="HX84" s="867" t="str">
        <f t="shared" si="588"/>
        <v/>
      </c>
      <c r="HY84" s="866" t="str">
        <f t="shared" si="589"/>
        <v/>
      </c>
      <c r="HZ84" s="868" t="str">
        <f t="shared" si="590"/>
        <v/>
      </c>
      <c r="IA84" s="869" t="str">
        <f t="shared" si="591"/>
        <v/>
      </c>
      <c r="IB84" s="870" t="str">
        <f t="shared" si="592"/>
        <v/>
      </c>
      <c r="IC84" s="841" t="str">
        <f t="shared" si="593"/>
        <v/>
      </c>
      <c r="ID84" s="351" t="str">
        <f t="shared" si="594"/>
        <v/>
      </c>
      <c r="IE84" s="843" t="str">
        <f t="shared" si="595"/>
        <v/>
      </c>
      <c r="IF84" s="844"/>
      <c r="IG84" s="790" t="str">
        <f>IFERROR(IF($IW84="","",IF($IW84&lt;(((Settings!$C$19/2)*-1)*$IG$8),"Taper","Nose")),"")</f>
        <v/>
      </c>
      <c r="IH84" s="482" t="str">
        <f>IFERROR(IF((((($IY84*COS(RADIANS(180-$JA84)))*COS(RADIANS($JA84)))-(($IZ84*SIN(RADIANS(180-$JA84)))*SIN(RADIANS($JA84))))+$IW84)&lt;(((Settings!$C$19+$IH$8)/2)*-1),"Gage",""),"")</f>
        <v/>
      </c>
      <c r="II84" s="788">
        <f t="shared" si="731"/>
        <v>5.2549999999999999</v>
      </c>
      <c r="IJ84" s="674" t="str" cm="1">
        <f t="array" ref="IJ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K84" s="677" t="str" cm="1">
        <f t="array" ref="IK84">IFERROR(ROUND(VALUE(IF($IJ84&lt;1,$IJ84+LARGE((IF($M$9:$M$150="",0,$M$9:$M$150)-MOD(IF($M$9:$M$150="",0,$M$9:$M$150),1)),1),$IJ84)),4),"")</f>
        <v/>
      </c>
      <c r="IL84" s="482">
        <f t="shared" si="596"/>
        <v>1313</v>
      </c>
      <c r="IM84" s="482" t="str">
        <f t="shared" si="732"/>
        <v/>
      </c>
      <c r="IN84" s="670" t="str">
        <f t="shared" si="597"/>
        <v/>
      </c>
      <c r="IO84" s="702"/>
      <c r="IP84" s="5" t="str">
        <f t="shared" si="598"/>
        <v/>
      </c>
      <c r="IQ84" s="714"/>
      <c r="IR84" s="9" t="str">
        <f t="shared" si="599"/>
        <v/>
      </c>
      <c r="IS84" s="5" t="str">
        <f t="shared" si="600"/>
        <v/>
      </c>
      <c r="IT84" s="5" t="str">
        <f t="shared" si="601"/>
        <v/>
      </c>
      <c r="IU84" s="5" t="str">
        <f t="shared" si="602"/>
        <v/>
      </c>
      <c r="IV84" s="670" t="str">
        <f t="shared" si="603"/>
        <v/>
      </c>
      <c r="IW84" s="9" t="str">
        <f t="shared" si="604"/>
        <v/>
      </c>
      <c r="IX84" s="5" t="str">
        <f t="shared" si="605"/>
        <v/>
      </c>
      <c r="IY84" s="5" t="str">
        <f t="shared" si="606"/>
        <v/>
      </c>
      <c r="IZ84" s="5" t="str">
        <f t="shared" si="607"/>
        <v/>
      </c>
      <c r="JA84" s="705" t="str">
        <f t="shared" si="608"/>
        <v/>
      </c>
    </row>
    <row r="85" spans="1:261" ht="15" customHeight="1" x14ac:dyDescent="0.25">
      <c r="A85" s="75">
        <f t="shared" si="256"/>
        <v>0.02</v>
      </c>
      <c r="B85" s="578">
        <f t="shared" si="515"/>
        <v>-2.2385468228646688</v>
      </c>
      <c r="C85" s="572">
        <f t="shared" si="516"/>
        <v>1.4767342225604725</v>
      </c>
      <c r="D85" s="576">
        <f t="shared" si="517"/>
        <v>-0.11237756793916173</v>
      </c>
      <c r="E85" s="580">
        <f t="shared" si="518"/>
        <v>-0.52222157471588571</v>
      </c>
      <c r="F85" s="572">
        <f t="shared" si="519"/>
        <v>-0.81096822806638758</v>
      </c>
      <c r="G85" s="579">
        <f t="shared" si="520"/>
        <v>0.26384684945650655</v>
      </c>
      <c r="H85" s="580">
        <f t="shared" si="521"/>
        <v>0.3125</v>
      </c>
      <c r="I85" s="572">
        <f t="shared" si="522"/>
        <v>0.52</v>
      </c>
      <c r="J85" s="483">
        <f t="shared" si="523"/>
        <v>6.1120000000000001</v>
      </c>
      <c r="K85" s="806">
        <f t="shared" si="524"/>
        <v>1613</v>
      </c>
      <c r="L85" s="309"/>
      <c r="M85" s="164">
        <f t="shared" si="526"/>
        <v>6.1120000000000001</v>
      </c>
      <c r="N85" s="575">
        <f t="shared" si="527"/>
        <v>-2.2385468228646688</v>
      </c>
      <c r="O85" s="572">
        <f t="shared" si="528"/>
        <v>1.4767342225604725</v>
      </c>
      <c r="P85" s="576">
        <f t="shared" si="529"/>
        <v>-0.11237756793916173</v>
      </c>
      <c r="Q85" s="528">
        <f t="shared" si="609"/>
        <v>146.58778993760001</v>
      </c>
      <c r="R85" s="572">
        <f t="shared" si="101"/>
        <v>2.6817598405224108</v>
      </c>
      <c r="S85" s="577">
        <f t="shared" si="102"/>
        <v>-0.11237756793916173</v>
      </c>
      <c r="T85" s="578">
        <f t="shared" si="103"/>
        <v>1.4597791842318597</v>
      </c>
      <c r="U85" s="572">
        <f t="shared" si="104"/>
        <v>2.249640099109667</v>
      </c>
      <c r="V85" s="579">
        <f t="shared" si="141"/>
        <v>-0.11237756793916173</v>
      </c>
      <c r="W85" s="528">
        <f t="shared" si="735"/>
        <v>57.020680783470993</v>
      </c>
      <c r="X85" s="572">
        <f t="shared" si="105"/>
        <v>2.6817598405224108</v>
      </c>
      <c r="Y85" s="573">
        <f t="shared" si="733"/>
        <v>-0.11237756793916173</v>
      </c>
      <c r="Z85" s="575">
        <f t="shared" si="530"/>
        <v>0.52222157471588571</v>
      </c>
      <c r="AA85" s="572">
        <f t="shared" si="531"/>
        <v>0.81096822806638758</v>
      </c>
      <c r="AB85" s="572">
        <f t="shared" si="532"/>
        <v>-0.26384684945650655</v>
      </c>
      <c r="AC85" s="579">
        <f t="shared" si="106"/>
        <v>1</v>
      </c>
      <c r="AD85" s="580">
        <f t="shared" si="142"/>
        <v>0.52222157471588571</v>
      </c>
      <c r="AE85" s="572">
        <f t="shared" si="107"/>
        <v>0.81096822806638758</v>
      </c>
      <c r="AF85" s="576">
        <f t="shared" si="108"/>
        <v>-0.26384684945650655</v>
      </c>
      <c r="AG85" s="545">
        <f t="shared" si="109"/>
        <v>71.97780881616734</v>
      </c>
      <c r="AH85" s="546">
        <f t="shared" si="110"/>
        <v>58.518611343364732</v>
      </c>
      <c r="AI85" s="528">
        <f t="shared" si="111"/>
        <v>-74.70155633347791</v>
      </c>
      <c r="AJ85" s="529">
        <f t="shared" si="112"/>
        <v>147.22056047742393</v>
      </c>
      <c r="AK85" s="578">
        <f t="shared" si="238"/>
        <v>0.96450576313377223</v>
      </c>
      <c r="AL85" s="572">
        <f t="shared" si="113"/>
        <v>1.0652366573461025E-2</v>
      </c>
      <c r="AM85" s="577">
        <f t="shared" si="114"/>
        <v>-0.26384684945650655</v>
      </c>
      <c r="AN85" s="524">
        <f t="shared" si="115"/>
        <v>2.3119637600075813</v>
      </c>
      <c r="AO85" s="525">
        <f t="shared" si="525"/>
        <v>15.311212110967897</v>
      </c>
      <c r="AP85" s="528">
        <f t="shared" si="117"/>
        <v>0.63277053982391973</v>
      </c>
      <c r="AQ85" s="529">
        <f t="shared" si="533"/>
        <v>1.6996733516983205</v>
      </c>
      <c r="AS85" s="932">
        <f t="shared" si="632"/>
        <v>57.020680783470993</v>
      </c>
      <c r="AT85" s="928">
        <f t="shared" si="534"/>
        <v>0.30470246123135447</v>
      </c>
      <c r="AU85" s="418"/>
      <c r="AV85" s="164" t="str">
        <f t="shared" si="535"/>
        <v/>
      </c>
      <c r="AW85" s="797" t="str">
        <f>IFERROR(INDEX(MassProp!C$9:C$150,MATCH($M85,MassProp!$B$9:$B$150,0)),"")</f>
        <v/>
      </c>
      <c r="AX85" s="744" t="str">
        <f>IFERROR(INDEX(MassProp!D$9:D$150,MATCH($M85,MassProp!$B$9:$B$150,0)),"")</f>
        <v/>
      </c>
      <c r="AY85" s="731" t="str">
        <f>IFERROR(INDEX(MassProp!E$9:E$150,MATCH($M85,MassProp!$B$9:$B$150,0)),"")</f>
        <v/>
      </c>
      <c r="AZ85" s="297" t="str">
        <f t="shared" si="633"/>
        <v/>
      </c>
      <c r="BA85" s="296" t="str">
        <f t="shared" si="536"/>
        <v/>
      </c>
      <c r="BB85" s="177" t="str">
        <f t="shared" si="610"/>
        <v/>
      </c>
      <c r="BC85" s="9"/>
      <c r="BD85" s="5" t="str">
        <f t="shared" si="611"/>
        <v/>
      </c>
      <c r="BE85" s="6" t="str">
        <f t="shared" si="537"/>
        <v/>
      </c>
      <c r="BF85" s="4" t="str">
        <f t="shared" si="538"/>
        <v/>
      </c>
      <c r="BG85" s="5" t="str">
        <f t="shared" si="539"/>
        <v/>
      </c>
      <c r="BH85" s="10" t="str">
        <f t="shared" si="540"/>
        <v/>
      </c>
      <c r="BI85" s="9" t="str">
        <f t="shared" si="634"/>
        <v/>
      </c>
      <c r="BJ85" s="5" t="str">
        <f t="shared" si="541"/>
        <v/>
      </c>
      <c r="BK85" s="8" t="str">
        <f t="shared" si="542"/>
        <v/>
      </c>
      <c r="BL85" s="173" t="str">
        <f t="shared" si="543"/>
        <v/>
      </c>
      <c r="BM85" s="5" t="str">
        <f t="shared" si="544"/>
        <v/>
      </c>
      <c r="BN85" s="6" t="str">
        <f t="shared" si="545"/>
        <v/>
      </c>
      <c r="BO85" s="4" t="str">
        <f t="shared" si="635"/>
        <v/>
      </c>
      <c r="BP85" s="5" t="str">
        <f t="shared" si="734"/>
        <v/>
      </c>
      <c r="BQ85" s="5" t="str">
        <f t="shared" si="636"/>
        <v/>
      </c>
      <c r="BR85" s="6" t="str">
        <f t="shared" si="637"/>
        <v/>
      </c>
      <c r="BS85" s="4" t="str">
        <f t="shared" si="612"/>
        <v/>
      </c>
      <c r="BT85" s="5" t="str">
        <f t="shared" si="612"/>
        <v/>
      </c>
      <c r="BU85" s="10" t="str">
        <f t="shared" si="613"/>
        <v/>
      </c>
      <c r="BV85" s="9" t="str">
        <f t="shared" si="614"/>
        <v/>
      </c>
      <c r="BW85" s="5" t="str">
        <f t="shared" si="615"/>
        <v/>
      </c>
      <c r="BX85" s="8" t="str">
        <f t="shared" si="616"/>
        <v/>
      </c>
      <c r="BY85" s="173" t="str">
        <f t="shared" si="617"/>
        <v/>
      </c>
      <c r="BZ85" s="5" t="str">
        <f t="shared" si="618"/>
        <v/>
      </c>
      <c r="CA85" s="6" t="str">
        <f t="shared" si="619"/>
        <v/>
      </c>
      <c r="CB85" s="4" t="str">
        <f t="shared" si="638"/>
        <v/>
      </c>
      <c r="CC85" s="5" t="str">
        <f t="shared" si="639"/>
        <v/>
      </c>
      <c r="CD85" s="5" t="str">
        <f t="shared" si="640"/>
        <v/>
      </c>
      <c r="CE85" s="6" t="str">
        <f t="shared" si="641"/>
        <v/>
      </c>
      <c r="CF85" s="4" t="str">
        <f t="shared" si="642"/>
        <v/>
      </c>
      <c r="CG85" s="5" t="str">
        <f t="shared" si="643"/>
        <v/>
      </c>
      <c r="CH85" s="5" t="str">
        <f t="shared" si="644"/>
        <v/>
      </c>
      <c r="CI85" s="4" t="str">
        <f t="shared" si="620"/>
        <v/>
      </c>
      <c r="CJ85" s="5" t="str">
        <f t="shared" si="621"/>
        <v/>
      </c>
      <c r="CK85" s="8" t="str">
        <f t="shared" si="622"/>
        <v/>
      </c>
      <c r="CL85" s="173" t="str">
        <f t="shared" si="623"/>
        <v/>
      </c>
      <c r="CM85" s="5" t="str">
        <f t="shared" si="624"/>
        <v/>
      </c>
      <c r="CN85" s="6" t="str">
        <f t="shared" si="625"/>
        <v/>
      </c>
      <c r="CO85" s="167" t="str">
        <f t="shared" si="546"/>
        <v/>
      </c>
      <c r="CP85" s="4" t="str">
        <f t="shared" si="645"/>
        <v/>
      </c>
      <c r="CQ85" s="5" t="str">
        <f t="shared" si="646"/>
        <v/>
      </c>
      <c r="CR85" s="5" t="str">
        <f t="shared" si="647"/>
        <v/>
      </c>
      <c r="CS85" s="8" t="str">
        <f t="shared" si="648"/>
        <v/>
      </c>
      <c r="CT85" s="9" t="str">
        <f t="shared" si="649"/>
        <v/>
      </c>
      <c r="CU85" s="6" t="str">
        <f t="shared" si="650"/>
        <v/>
      </c>
      <c r="CV85" s="4" t="str">
        <f t="shared" si="651"/>
        <v/>
      </c>
      <c r="CW85" s="5" t="str">
        <f t="shared" si="652"/>
        <v/>
      </c>
      <c r="CX85" s="8" t="str">
        <f t="shared" si="653"/>
        <v/>
      </c>
      <c r="CY85" s="9" t="str">
        <f t="shared" si="654"/>
        <v/>
      </c>
      <c r="CZ85" s="5" t="str">
        <f t="shared" si="655"/>
        <v/>
      </c>
      <c r="DA85" s="6" t="str">
        <f t="shared" si="656"/>
        <v/>
      </c>
      <c r="DB85" s="4" t="str">
        <f t="shared" si="657"/>
        <v/>
      </c>
      <c r="DC85" s="5" t="str">
        <f t="shared" si="657"/>
        <v/>
      </c>
      <c r="DD85" s="10" t="str">
        <f t="shared" si="658"/>
        <v/>
      </c>
      <c r="DE85" s="9" t="str">
        <f t="shared" si="659"/>
        <v/>
      </c>
      <c r="DF85" s="5" t="str">
        <f t="shared" si="659"/>
        <v/>
      </c>
      <c r="DG85" s="10" t="str">
        <f t="shared" si="660"/>
        <v/>
      </c>
      <c r="DH85" s="70" t="str">
        <f t="shared" si="661"/>
        <v/>
      </c>
      <c r="DI85" s="4" t="str">
        <f t="shared" si="662"/>
        <v/>
      </c>
      <c r="DJ85" s="5" t="str">
        <f t="shared" si="663"/>
        <v/>
      </c>
      <c r="DK85" s="10" t="str">
        <f t="shared" si="664"/>
        <v/>
      </c>
      <c r="DL85" s="9" t="str">
        <f t="shared" si="665"/>
        <v/>
      </c>
      <c r="DM85" s="173" t="str">
        <f t="shared" si="666"/>
        <v/>
      </c>
      <c r="DN85" s="178" t="str">
        <f t="shared" si="667"/>
        <v/>
      </c>
      <c r="DO85" s="9" t="str">
        <f t="shared" si="668"/>
        <v/>
      </c>
      <c r="DP85" s="173" t="str">
        <f t="shared" si="669"/>
        <v/>
      </c>
      <c r="DQ85" s="11" t="str">
        <f t="shared" si="670"/>
        <v/>
      </c>
      <c r="DR85" s="173" t="str">
        <f t="shared" si="671"/>
        <v/>
      </c>
      <c r="DS85" s="5" t="str">
        <f t="shared" si="672"/>
        <v/>
      </c>
      <c r="DT85" s="5" t="str">
        <f t="shared" si="673"/>
        <v/>
      </c>
      <c r="DU85" s="5" t="str">
        <f t="shared" si="674"/>
        <v/>
      </c>
      <c r="DV85" s="5" t="str">
        <f t="shared" si="675"/>
        <v/>
      </c>
      <c r="DW85" s="5" t="str">
        <f t="shared" si="676"/>
        <v/>
      </c>
      <c r="DX85" s="167" t="str">
        <f t="shared" si="677"/>
        <v/>
      </c>
      <c r="DY85" s="9" t="str">
        <f t="shared" si="678"/>
        <v/>
      </c>
      <c r="DZ85" s="5" t="str">
        <f t="shared" si="679"/>
        <v/>
      </c>
      <c r="EA85" s="10" t="str">
        <f t="shared" si="680"/>
        <v/>
      </c>
      <c r="EB85" s="6" t="str">
        <f t="shared" si="681"/>
        <v/>
      </c>
      <c r="EC85" s="173" t="str">
        <f t="shared" si="682"/>
        <v/>
      </c>
      <c r="ED85" s="5" t="str">
        <f t="shared" si="683"/>
        <v/>
      </c>
      <c r="EE85" s="4" t="str">
        <f t="shared" si="684"/>
        <v/>
      </c>
      <c r="EF85" s="5" t="str">
        <f t="shared" si="685"/>
        <v/>
      </c>
      <c r="EG85" s="10" t="str">
        <f t="shared" si="686"/>
        <v/>
      </c>
      <c r="EH85" s="9" t="str">
        <f t="shared" si="687"/>
        <v/>
      </c>
      <c r="EI85" s="5" t="str">
        <f t="shared" si="688"/>
        <v/>
      </c>
      <c r="EJ85" s="6" t="str">
        <f t="shared" si="689"/>
        <v/>
      </c>
      <c r="EK85" s="236" t="str">
        <f t="shared" si="690"/>
        <v/>
      </c>
      <c r="EL85" s="238" t="str">
        <f t="shared" si="691"/>
        <v/>
      </c>
      <c r="EM85" s="4" t="str">
        <f t="shared" si="692"/>
        <v/>
      </c>
      <c r="EN85" s="5" t="str">
        <f t="shared" si="693"/>
        <v/>
      </c>
      <c r="EO85" s="10" t="str">
        <f t="shared" si="694"/>
        <v/>
      </c>
      <c r="EP85" s="9" t="str">
        <f t="shared" si="695"/>
        <v/>
      </c>
      <c r="EQ85" s="5" t="str">
        <f t="shared" si="696"/>
        <v/>
      </c>
      <c r="ER85" s="7" t="str">
        <f t="shared" si="697"/>
        <v/>
      </c>
      <c r="ES85" s="21" t="str">
        <f t="shared" si="547"/>
        <v/>
      </c>
      <c r="ET85" s="5" t="str">
        <f t="shared" si="548"/>
        <v/>
      </c>
      <c r="EU85" s="10" t="str">
        <f t="shared" si="549"/>
        <v/>
      </c>
      <c r="EV85" s="174" t="str">
        <f t="shared" si="550"/>
        <v/>
      </c>
      <c r="EW85" s="9" t="str">
        <f t="shared" si="551"/>
        <v/>
      </c>
      <c r="EX85" s="5" t="str">
        <f t="shared" si="552"/>
        <v/>
      </c>
      <c r="EY85" s="6" t="str">
        <f t="shared" si="698"/>
        <v/>
      </c>
      <c r="EZ85" s="51" t="str">
        <f t="shared" si="699"/>
        <v/>
      </c>
      <c r="FA85" s="173" t="str">
        <f t="shared" si="553"/>
        <v/>
      </c>
      <c r="FB85" s="5" t="str">
        <f t="shared" si="554"/>
        <v/>
      </c>
      <c r="FC85" s="6" t="str">
        <f t="shared" si="555"/>
        <v/>
      </c>
      <c r="FD85" s="4" t="str">
        <f t="shared" si="556"/>
        <v/>
      </c>
      <c r="FE85" s="5" t="str">
        <f t="shared" si="557"/>
        <v/>
      </c>
      <c r="FF85" s="7" t="str">
        <f t="shared" si="700"/>
        <v/>
      </c>
      <c r="FG85" s="173" t="str">
        <f t="shared" si="558"/>
        <v/>
      </c>
      <c r="FH85" s="5" t="str">
        <f t="shared" si="559"/>
        <v/>
      </c>
      <c r="FI85" s="10" t="str">
        <f t="shared" si="560"/>
        <v/>
      </c>
      <c r="FJ85" s="279" t="str">
        <f t="shared" si="701"/>
        <v/>
      </c>
      <c r="FK85" s="4" t="str">
        <f t="shared" si="561"/>
        <v/>
      </c>
      <c r="FL85" s="5" t="str">
        <f t="shared" si="626"/>
        <v/>
      </c>
      <c r="FM85" s="8" t="str">
        <f t="shared" si="627"/>
        <v/>
      </c>
      <c r="FN85" s="9" t="str">
        <f t="shared" si="628"/>
        <v/>
      </c>
      <c r="FO85" s="10" t="str">
        <f t="shared" si="562"/>
        <v/>
      </c>
      <c r="FP85" s="277" t="str">
        <f t="shared" si="629"/>
        <v/>
      </c>
      <c r="FQ85" s="173" t="str">
        <f t="shared" si="702"/>
        <v/>
      </c>
      <c r="FR85" s="10" t="str">
        <f t="shared" si="703"/>
        <v/>
      </c>
      <c r="FS85" s="9" t="str">
        <f t="shared" si="704"/>
        <v/>
      </c>
      <c r="FT85" s="6" t="str">
        <f t="shared" si="705"/>
        <v/>
      </c>
      <c r="FU85" s="4" t="str">
        <f t="shared" si="706"/>
        <v/>
      </c>
      <c r="FV85" s="5" t="str">
        <f t="shared" si="707"/>
        <v/>
      </c>
      <c r="FW85" s="8" t="str">
        <f t="shared" si="708"/>
        <v/>
      </c>
      <c r="FX85" s="9" t="str">
        <f t="shared" si="709"/>
        <v/>
      </c>
      <c r="FY85" s="10" t="str">
        <f t="shared" si="563"/>
        <v/>
      </c>
      <c r="FZ85" s="277" t="str">
        <f t="shared" si="710"/>
        <v/>
      </c>
      <c r="GA85" s="177" t="str">
        <f t="shared" si="711"/>
        <v/>
      </c>
      <c r="GB85" s="4" t="str">
        <f t="shared" si="712"/>
        <v/>
      </c>
      <c r="GC85" s="5" t="str">
        <f t="shared" si="713"/>
        <v/>
      </c>
      <c r="GD85" s="10" t="str">
        <f t="shared" si="714"/>
        <v/>
      </c>
      <c r="GE85" s="311" t="str">
        <f t="shared" si="715"/>
        <v/>
      </c>
      <c r="GF85" s="341" t="str">
        <f t="shared" si="716"/>
        <v/>
      </c>
      <c r="GG85" s="285" t="str">
        <f t="shared" si="564"/>
        <v/>
      </c>
      <c r="GH85" s="286" t="str">
        <f t="shared" si="565"/>
        <v/>
      </c>
      <c r="GI85" s="281" t="str">
        <f t="shared" si="566"/>
        <v/>
      </c>
      <c r="GJ85" s="167" t="str">
        <f t="shared" si="717"/>
        <v/>
      </c>
      <c r="GK85" s="174" t="str">
        <f t="shared" si="567"/>
        <v/>
      </c>
      <c r="GL85" s="174" t="str">
        <f t="shared" si="718"/>
        <v/>
      </c>
      <c r="GM85" s="177" t="str">
        <f t="shared" si="719"/>
        <v/>
      </c>
      <c r="GN85" s="280" t="str">
        <f t="shared" si="720"/>
        <v/>
      </c>
      <c r="GO85" s="4" t="str">
        <f t="shared" si="721"/>
        <v/>
      </c>
      <c r="GP85" s="8" t="str">
        <f t="shared" si="722"/>
        <v/>
      </c>
      <c r="GQ85" s="177" t="str">
        <f t="shared" si="723"/>
        <v/>
      </c>
      <c r="GR85" s="371" t="str">
        <f t="shared" si="724"/>
        <v/>
      </c>
      <c r="GS85" s="342" t="str">
        <f t="shared" si="568"/>
        <v/>
      </c>
      <c r="GT85" s="343" t="str">
        <f t="shared" si="569"/>
        <v/>
      </c>
      <c r="GU85" s="344" t="str">
        <f t="shared" si="570"/>
        <v/>
      </c>
      <c r="GV85" s="343" t="str">
        <f t="shared" si="725"/>
        <v/>
      </c>
      <c r="GW85" s="345" t="str">
        <f t="shared" si="571"/>
        <v/>
      </c>
      <c r="GX85" s="346" t="str">
        <f t="shared" si="572"/>
        <v/>
      </c>
      <c r="GY85" s="344" t="str">
        <f t="shared" si="573"/>
        <v/>
      </c>
      <c r="GZ85" s="345" t="str">
        <f t="shared" si="574"/>
        <v/>
      </c>
      <c r="HA85" s="342" t="str">
        <f t="shared" si="575"/>
        <v/>
      </c>
      <c r="HB85" s="5" t="str">
        <f t="shared" si="726"/>
        <v/>
      </c>
      <c r="HC85" s="343" t="str">
        <f t="shared" si="727"/>
        <v/>
      </c>
      <c r="HD85" s="363" t="str">
        <f t="shared" si="728"/>
        <v/>
      </c>
      <c r="HE85" s="344" t="str">
        <f t="shared" si="576"/>
        <v/>
      </c>
      <c r="HF85" s="5" t="str">
        <f t="shared" si="577"/>
        <v/>
      </c>
      <c r="HG85" s="343" t="str">
        <f t="shared" si="729"/>
        <v/>
      </c>
      <c r="HH85" s="349" t="str">
        <f t="shared" si="730"/>
        <v/>
      </c>
      <c r="HI85" s="317" t="str">
        <f t="shared" si="578"/>
        <v/>
      </c>
      <c r="HK85" s="310" t="str">
        <f t="shared" si="630"/>
        <v/>
      </c>
      <c r="HL85" s="348" t="str">
        <f t="shared" si="579"/>
        <v/>
      </c>
      <c r="HM85" s="909" t="str">
        <f t="shared" si="580"/>
        <v/>
      </c>
      <c r="HN85" s="910" t="str">
        <f t="shared" si="581"/>
        <v/>
      </c>
      <c r="HO85" s="911"/>
      <c r="HP85" s="912"/>
      <c r="HQ85" s="910" t="str">
        <f t="shared" si="582"/>
        <v/>
      </c>
      <c r="HR85" s="913" t="str">
        <f t="shared" si="583"/>
        <v/>
      </c>
      <c r="HS85" s="865" t="str">
        <f t="shared" si="631"/>
        <v/>
      </c>
      <c r="HT85" s="875" t="str">
        <f t="shared" si="584"/>
        <v/>
      </c>
      <c r="HU85" s="876" t="str">
        <f t="shared" si="585"/>
        <v/>
      </c>
      <c r="HV85" s="872" t="str">
        <f t="shared" si="586"/>
        <v/>
      </c>
      <c r="HW85" s="866" t="str">
        <f t="shared" si="587"/>
        <v/>
      </c>
      <c r="HX85" s="867" t="str">
        <f t="shared" si="588"/>
        <v/>
      </c>
      <c r="HY85" s="866" t="str">
        <f t="shared" si="589"/>
        <v/>
      </c>
      <c r="HZ85" s="868" t="str">
        <f t="shared" si="590"/>
        <v/>
      </c>
      <c r="IA85" s="869" t="str">
        <f t="shared" si="591"/>
        <v/>
      </c>
      <c r="IB85" s="870" t="str">
        <f t="shared" si="592"/>
        <v/>
      </c>
      <c r="IC85" s="841" t="str">
        <f t="shared" si="593"/>
        <v/>
      </c>
      <c r="ID85" s="351" t="str">
        <f t="shared" si="594"/>
        <v/>
      </c>
      <c r="IE85" s="843" t="str">
        <f t="shared" si="595"/>
        <v/>
      </c>
      <c r="IF85" s="844"/>
      <c r="IG85" s="790" t="str">
        <f>IFERROR(IF($IW85="","",IF($IW85&lt;(((Settings!$C$19/2)*-1)*$IG$8),"Taper","Nose")),"")</f>
        <v/>
      </c>
      <c r="IH85" s="482" t="str">
        <f>IFERROR(IF((((($IY85*COS(RADIANS(180-$JA85)))*COS(RADIANS($JA85)))-(($IZ85*SIN(RADIANS(180-$JA85)))*SIN(RADIANS($JA85))))+$IW85)&lt;(((Settings!$C$19+$IH$8)/2)*-1),"Gage",""),"")</f>
        <v/>
      </c>
      <c r="II85" s="788">
        <f t="shared" si="731"/>
        <v>6.1120000000000001</v>
      </c>
      <c r="IJ85" s="674" t="str" cm="1">
        <f t="array" ref="IJ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K85" s="677" t="str" cm="1">
        <f t="array" ref="IK85">IFERROR(ROUND(VALUE(IF($IJ85&lt;1,$IJ85+LARGE((IF($M$9:$M$150="",0,$M$9:$M$150)-MOD(IF($M$9:$M$150="",0,$M$9:$M$150),1)),1),$IJ85)),4),"")</f>
        <v/>
      </c>
      <c r="IL85" s="482">
        <f t="shared" si="596"/>
        <v>1613</v>
      </c>
      <c r="IM85" s="482" t="str">
        <f t="shared" si="732"/>
        <v/>
      </c>
      <c r="IN85" s="670" t="str">
        <f t="shared" si="597"/>
        <v/>
      </c>
      <c r="IO85" s="702"/>
      <c r="IP85" s="5" t="str">
        <f t="shared" si="598"/>
        <v/>
      </c>
      <c r="IQ85" s="714"/>
      <c r="IR85" s="9" t="str">
        <f t="shared" si="599"/>
        <v/>
      </c>
      <c r="IS85" s="5" t="str">
        <f t="shared" si="600"/>
        <v/>
      </c>
      <c r="IT85" s="5" t="str">
        <f t="shared" si="601"/>
        <v/>
      </c>
      <c r="IU85" s="5" t="str">
        <f t="shared" si="602"/>
        <v/>
      </c>
      <c r="IV85" s="670" t="str">
        <f t="shared" si="603"/>
        <v/>
      </c>
      <c r="IW85" s="9" t="str">
        <f t="shared" si="604"/>
        <v/>
      </c>
      <c r="IX85" s="5" t="str">
        <f t="shared" si="605"/>
        <v/>
      </c>
      <c r="IY85" s="5" t="str">
        <f t="shared" si="606"/>
        <v/>
      </c>
      <c r="IZ85" s="5" t="str">
        <f t="shared" si="607"/>
        <v/>
      </c>
      <c r="JA85" s="705" t="str">
        <f t="shared" si="608"/>
        <v/>
      </c>
    </row>
    <row r="86" spans="1:261" ht="15" customHeight="1" x14ac:dyDescent="0.25">
      <c r="A86" s="75">
        <f t="shared" si="256"/>
        <v>0.02</v>
      </c>
      <c r="B86" s="578">
        <f t="shared" si="515"/>
        <v>-2.8737614477319382</v>
      </c>
      <c r="C86" s="572">
        <f t="shared" si="516"/>
        <v>1.9028087397080125</v>
      </c>
      <c r="D86" s="576">
        <f t="shared" si="517"/>
        <v>-0.16842423538663553</v>
      </c>
      <c r="E86" s="580">
        <f t="shared" si="518"/>
        <v>-0.59572352404201612</v>
      </c>
      <c r="F86" s="572">
        <f t="shared" si="519"/>
        <v>-0.75954408206156487</v>
      </c>
      <c r="G86" s="579">
        <f t="shared" si="520"/>
        <v>0.26116330199363064</v>
      </c>
      <c r="H86" s="580">
        <f t="shared" si="521"/>
        <v>0.3125</v>
      </c>
      <c r="I86" s="572">
        <f t="shared" si="522"/>
        <v>0.52</v>
      </c>
      <c r="J86" s="483">
        <f t="shared" si="523"/>
        <v>6.1180000000000003</v>
      </c>
      <c r="K86" s="806">
        <f t="shared" si="524"/>
        <v>1613</v>
      </c>
      <c r="L86" s="309"/>
      <c r="M86" s="164">
        <f t="shared" si="526"/>
        <v>6.1180000000000003</v>
      </c>
      <c r="N86" s="575">
        <f t="shared" si="527"/>
        <v>-2.8737614477319382</v>
      </c>
      <c r="O86" s="572">
        <f t="shared" si="528"/>
        <v>1.9028087397080125</v>
      </c>
      <c r="P86" s="576">
        <f t="shared" si="529"/>
        <v>-0.16842423538663553</v>
      </c>
      <c r="Q86" s="528">
        <f t="shared" si="609"/>
        <v>146.49019197783045</v>
      </c>
      <c r="R86" s="572">
        <f t="shared" si="101"/>
        <v>3.4466194971855479</v>
      </c>
      <c r="S86" s="577">
        <f t="shared" si="102"/>
        <v>-0.16842423538663553</v>
      </c>
      <c r="T86" s="578">
        <f t="shared" si="103"/>
        <v>1.8810423042809519</v>
      </c>
      <c r="U86" s="572">
        <f t="shared" si="104"/>
        <v>2.8880557141241177</v>
      </c>
      <c r="V86" s="579">
        <f t="shared" si="141"/>
        <v>-0.16842423538663553</v>
      </c>
      <c r="W86" s="528">
        <f t="shared" si="735"/>
        <v>56.923082823701435</v>
      </c>
      <c r="X86" s="572">
        <f t="shared" si="105"/>
        <v>3.4466194971855479</v>
      </c>
      <c r="Y86" s="573">
        <f t="shared" si="733"/>
        <v>-0.16842423538663553</v>
      </c>
      <c r="Z86" s="575">
        <f t="shared" si="530"/>
        <v>0.59572352404201612</v>
      </c>
      <c r="AA86" s="572">
        <f t="shared" si="531"/>
        <v>0.75954408206156487</v>
      </c>
      <c r="AB86" s="572">
        <f t="shared" si="532"/>
        <v>-0.26116330199363064</v>
      </c>
      <c r="AC86" s="579">
        <f t="shared" si="106"/>
        <v>1</v>
      </c>
      <c r="AD86" s="580">
        <f t="shared" si="142"/>
        <v>0.59572352404201612</v>
      </c>
      <c r="AE86" s="572">
        <f t="shared" si="107"/>
        <v>0.75954408206156487</v>
      </c>
      <c r="AF86" s="576">
        <f t="shared" si="108"/>
        <v>-0.26116330199363064</v>
      </c>
      <c r="AG86" s="545">
        <f t="shared" si="109"/>
        <v>71.024868327464262</v>
      </c>
      <c r="AH86" s="546">
        <f t="shared" si="110"/>
        <v>53.435772310161987</v>
      </c>
      <c r="AI86" s="528">
        <f t="shared" si="111"/>
        <v>-74.860900438067503</v>
      </c>
      <c r="AJ86" s="529">
        <f t="shared" si="112"/>
        <v>141.89229817145966</v>
      </c>
      <c r="AK86" s="578">
        <f t="shared" si="238"/>
        <v>0.9621881474257038</v>
      </c>
      <c r="AL86" s="572">
        <f t="shared" si="113"/>
        <v>-7.7380221279573835E-2</v>
      </c>
      <c r="AM86" s="577">
        <f t="shared" si="114"/>
        <v>-0.26116330199363064</v>
      </c>
      <c r="AN86" s="524">
        <f t="shared" si="115"/>
        <v>-16.504059297615232</v>
      </c>
      <c r="AO86" s="525">
        <f t="shared" si="525"/>
        <v>15.806279282856705</v>
      </c>
      <c r="AP86" s="528">
        <f t="shared" si="117"/>
        <v>-4.5978938063707835</v>
      </c>
      <c r="AQ86" s="529">
        <f t="shared" si="533"/>
        <v>1.3226418930129535</v>
      </c>
      <c r="AS86" s="932">
        <f t="shared" si="632"/>
        <v>56.923082823701435</v>
      </c>
      <c r="AT86" s="928">
        <f t="shared" si="534"/>
        <v>0.24879134650578283</v>
      </c>
      <c r="AU86" s="418"/>
      <c r="AV86" s="164" t="str">
        <f t="shared" si="535"/>
        <v/>
      </c>
      <c r="AW86" s="797" t="str">
        <f>IFERROR(INDEX(MassProp!C$9:C$150,MATCH($M86,MassProp!$B$9:$B$150,0)),"")</f>
        <v/>
      </c>
      <c r="AX86" s="744" t="str">
        <f>IFERROR(INDEX(MassProp!D$9:D$150,MATCH($M86,MassProp!$B$9:$B$150,0)),"")</f>
        <v/>
      </c>
      <c r="AY86" s="731" t="str">
        <f>IFERROR(INDEX(MassProp!E$9:E$150,MATCH($M86,MassProp!$B$9:$B$150,0)),"")</f>
        <v/>
      </c>
      <c r="AZ86" s="297" t="str">
        <f t="shared" si="633"/>
        <v/>
      </c>
      <c r="BA86" s="296" t="str">
        <f t="shared" si="536"/>
        <v/>
      </c>
      <c r="BB86" s="177" t="str">
        <f t="shared" si="610"/>
        <v/>
      </c>
      <c r="BC86" s="9"/>
      <c r="BD86" s="5" t="str">
        <f t="shared" si="611"/>
        <v/>
      </c>
      <c r="BE86" s="6" t="str">
        <f t="shared" si="537"/>
        <v/>
      </c>
      <c r="BF86" s="4" t="str">
        <f t="shared" si="538"/>
        <v/>
      </c>
      <c r="BG86" s="5" t="str">
        <f t="shared" si="539"/>
        <v/>
      </c>
      <c r="BH86" s="10" t="str">
        <f t="shared" si="540"/>
        <v/>
      </c>
      <c r="BI86" s="9" t="str">
        <f t="shared" si="634"/>
        <v/>
      </c>
      <c r="BJ86" s="5" t="str">
        <f t="shared" si="541"/>
        <v/>
      </c>
      <c r="BK86" s="8" t="str">
        <f t="shared" si="542"/>
        <v/>
      </c>
      <c r="BL86" s="173" t="str">
        <f t="shared" si="543"/>
        <v/>
      </c>
      <c r="BM86" s="5" t="str">
        <f t="shared" si="544"/>
        <v/>
      </c>
      <c r="BN86" s="6" t="str">
        <f t="shared" si="545"/>
        <v/>
      </c>
      <c r="BO86" s="4" t="str">
        <f t="shared" si="635"/>
        <v/>
      </c>
      <c r="BP86" s="5" t="str">
        <f t="shared" si="734"/>
        <v/>
      </c>
      <c r="BQ86" s="5" t="str">
        <f t="shared" si="636"/>
        <v/>
      </c>
      <c r="BR86" s="6" t="str">
        <f t="shared" si="637"/>
        <v/>
      </c>
      <c r="BS86" s="4" t="str">
        <f t="shared" si="612"/>
        <v/>
      </c>
      <c r="BT86" s="5" t="str">
        <f t="shared" si="612"/>
        <v/>
      </c>
      <c r="BU86" s="10" t="str">
        <f t="shared" si="613"/>
        <v/>
      </c>
      <c r="BV86" s="9" t="str">
        <f t="shared" si="614"/>
        <v/>
      </c>
      <c r="BW86" s="5" t="str">
        <f t="shared" si="615"/>
        <v/>
      </c>
      <c r="BX86" s="8" t="str">
        <f t="shared" si="616"/>
        <v/>
      </c>
      <c r="BY86" s="173" t="str">
        <f t="shared" si="617"/>
        <v/>
      </c>
      <c r="BZ86" s="5" t="str">
        <f t="shared" si="618"/>
        <v/>
      </c>
      <c r="CA86" s="6" t="str">
        <f t="shared" si="619"/>
        <v/>
      </c>
      <c r="CB86" s="4" t="str">
        <f t="shared" si="638"/>
        <v/>
      </c>
      <c r="CC86" s="5" t="str">
        <f t="shared" si="639"/>
        <v/>
      </c>
      <c r="CD86" s="5" t="str">
        <f t="shared" si="640"/>
        <v/>
      </c>
      <c r="CE86" s="6" t="str">
        <f t="shared" si="641"/>
        <v/>
      </c>
      <c r="CF86" s="4" t="str">
        <f t="shared" si="642"/>
        <v/>
      </c>
      <c r="CG86" s="5" t="str">
        <f t="shared" si="643"/>
        <v/>
      </c>
      <c r="CH86" s="5" t="str">
        <f t="shared" si="644"/>
        <v/>
      </c>
      <c r="CI86" s="4" t="str">
        <f t="shared" si="620"/>
        <v/>
      </c>
      <c r="CJ86" s="5" t="str">
        <f t="shared" si="621"/>
        <v/>
      </c>
      <c r="CK86" s="8" t="str">
        <f t="shared" si="622"/>
        <v/>
      </c>
      <c r="CL86" s="173" t="str">
        <f t="shared" si="623"/>
        <v/>
      </c>
      <c r="CM86" s="5" t="str">
        <f t="shared" si="624"/>
        <v/>
      </c>
      <c r="CN86" s="6" t="str">
        <f t="shared" si="625"/>
        <v/>
      </c>
      <c r="CO86" s="167" t="str">
        <f t="shared" si="546"/>
        <v/>
      </c>
      <c r="CP86" s="4" t="str">
        <f t="shared" si="645"/>
        <v/>
      </c>
      <c r="CQ86" s="5" t="str">
        <f t="shared" si="646"/>
        <v/>
      </c>
      <c r="CR86" s="5" t="str">
        <f t="shared" si="647"/>
        <v/>
      </c>
      <c r="CS86" s="8" t="str">
        <f t="shared" si="648"/>
        <v/>
      </c>
      <c r="CT86" s="9" t="str">
        <f t="shared" si="649"/>
        <v/>
      </c>
      <c r="CU86" s="6" t="str">
        <f t="shared" si="650"/>
        <v/>
      </c>
      <c r="CV86" s="4" t="str">
        <f t="shared" si="651"/>
        <v/>
      </c>
      <c r="CW86" s="5" t="str">
        <f t="shared" si="652"/>
        <v/>
      </c>
      <c r="CX86" s="8" t="str">
        <f t="shared" si="653"/>
        <v/>
      </c>
      <c r="CY86" s="9" t="str">
        <f t="shared" si="654"/>
        <v/>
      </c>
      <c r="CZ86" s="5" t="str">
        <f t="shared" si="655"/>
        <v/>
      </c>
      <c r="DA86" s="6" t="str">
        <f t="shared" si="656"/>
        <v/>
      </c>
      <c r="DB86" s="4" t="str">
        <f t="shared" si="657"/>
        <v/>
      </c>
      <c r="DC86" s="5" t="str">
        <f t="shared" si="657"/>
        <v/>
      </c>
      <c r="DD86" s="10" t="str">
        <f t="shared" si="658"/>
        <v/>
      </c>
      <c r="DE86" s="9" t="str">
        <f t="shared" si="659"/>
        <v/>
      </c>
      <c r="DF86" s="5" t="str">
        <f t="shared" si="659"/>
        <v/>
      </c>
      <c r="DG86" s="10" t="str">
        <f t="shared" si="660"/>
        <v/>
      </c>
      <c r="DH86" s="70" t="str">
        <f t="shared" si="661"/>
        <v/>
      </c>
      <c r="DI86" s="4" t="str">
        <f t="shared" si="662"/>
        <v/>
      </c>
      <c r="DJ86" s="5" t="str">
        <f t="shared" si="663"/>
        <v/>
      </c>
      <c r="DK86" s="10" t="str">
        <f t="shared" si="664"/>
        <v/>
      </c>
      <c r="DL86" s="9" t="str">
        <f t="shared" si="665"/>
        <v/>
      </c>
      <c r="DM86" s="173" t="str">
        <f t="shared" si="666"/>
        <v/>
      </c>
      <c r="DN86" s="178" t="str">
        <f t="shared" si="667"/>
        <v/>
      </c>
      <c r="DO86" s="9" t="str">
        <f t="shared" si="668"/>
        <v/>
      </c>
      <c r="DP86" s="173" t="str">
        <f t="shared" si="669"/>
        <v/>
      </c>
      <c r="DQ86" s="11" t="str">
        <f t="shared" si="670"/>
        <v/>
      </c>
      <c r="DR86" s="173" t="str">
        <f t="shared" si="671"/>
        <v/>
      </c>
      <c r="DS86" s="5" t="str">
        <f t="shared" si="672"/>
        <v/>
      </c>
      <c r="DT86" s="5" t="str">
        <f t="shared" si="673"/>
        <v/>
      </c>
      <c r="DU86" s="5" t="str">
        <f t="shared" si="674"/>
        <v/>
      </c>
      <c r="DV86" s="5" t="str">
        <f t="shared" si="675"/>
        <v/>
      </c>
      <c r="DW86" s="5" t="str">
        <f t="shared" si="676"/>
        <v/>
      </c>
      <c r="DX86" s="167" t="str">
        <f t="shared" si="677"/>
        <v/>
      </c>
      <c r="DY86" s="9" t="str">
        <f t="shared" si="678"/>
        <v/>
      </c>
      <c r="DZ86" s="5" t="str">
        <f t="shared" si="679"/>
        <v/>
      </c>
      <c r="EA86" s="10" t="str">
        <f t="shared" si="680"/>
        <v/>
      </c>
      <c r="EB86" s="6" t="str">
        <f t="shared" si="681"/>
        <v/>
      </c>
      <c r="EC86" s="173" t="str">
        <f t="shared" si="682"/>
        <v/>
      </c>
      <c r="ED86" s="5" t="str">
        <f t="shared" si="683"/>
        <v/>
      </c>
      <c r="EE86" s="4" t="str">
        <f t="shared" si="684"/>
        <v/>
      </c>
      <c r="EF86" s="5" t="str">
        <f t="shared" si="685"/>
        <v/>
      </c>
      <c r="EG86" s="10" t="str">
        <f t="shared" si="686"/>
        <v/>
      </c>
      <c r="EH86" s="9" t="str">
        <f t="shared" si="687"/>
        <v/>
      </c>
      <c r="EI86" s="5" t="str">
        <f t="shared" si="688"/>
        <v/>
      </c>
      <c r="EJ86" s="6" t="str">
        <f t="shared" si="689"/>
        <v/>
      </c>
      <c r="EK86" s="236" t="str">
        <f t="shared" si="690"/>
        <v/>
      </c>
      <c r="EL86" s="238" t="str">
        <f t="shared" si="691"/>
        <v/>
      </c>
      <c r="EM86" s="4" t="str">
        <f t="shared" si="692"/>
        <v/>
      </c>
      <c r="EN86" s="5" t="str">
        <f t="shared" si="693"/>
        <v/>
      </c>
      <c r="EO86" s="10" t="str">
        <f t="shared" si="694"/>
        <v/>
      </c>
      <c r="EP86" s="9" t="str">
        <f t="shared" si="695"/>
        <v/>
      </c>
      <c r="EQ86" s="5" t="str">
        <f t="shared" si="696"/>
        <v/>
      </c>
      <c r="ER86" s="7" t="str">
        <f t="shared" si="697"/>
        <v/>
      </c>
      <c r="ES86" s="21" t="str">
        <f t="shared" si="547"/>
        <v/>
      </c>
      <c r="ET86" s="5" t="str">
        <f t="shared" si="548"/>
        <v/>
      </c>
      <c r="EU86" s="10" t="str">
        <f t="shared" si="549"/>
        <v/>
      </c>
      <c r="EV86" s="174" t="str">
        <f t="shared" si="550"/>
        <v/>
      </c>
      <c r="EW86" s="9" t="str">
        <f t="shared" si="551"/>
        <v/>
      </c>
      <c r="EX86" s="5" t="str">
        <f t="shared" si="552"/>
        <v/>
      </c>
      <c r="EY86" s="6" t="str">
        <f t="shared" si="698"/>
        <v/>
      </c>
      <c r="EZ86" s="51" t="str">
        <f t="shared" si="699"/>
        <v/>
      </c>
      <c r="FA86" s="173" t="str">
        <f t="shared" si="553"/>
        <v/>
      </c>
      <c r="FB86" s="5" t="str">
        <f t="shared" si="554"/>
        <v/>
      </c>
      <c r="FC86" s="6" t="str">
        <f t="shared" si="555"/>
        <v/>
      </c>
      <c r="FD86" s="4" t="str">
        <f t="shared" si="556"/>
        <v/>
      </c>
      <c r="FE86" s="5" t="str">
        <f t="shared" si="557"/>
        <v/>
      </c>
      <c r="FF86" s="7" t="str">
        <f t="shared" si="700"/>
        <v/>
      </c>
      <c r="FG86" s="173" t="str">
        <f t="shared" si="558"/>
        <v/>
      </c>
      <c r="FH86" s="5" t="str">
        <f t="shared" si="559"/>
        <v/>
      </c>
      <c r="FI86" s="10" t="str">
        <f t="shared" si="560"/>
        <v/>
      </c>
      <c r="FJ86" s="279" t="str">
        <f t="shared" si="701"/>
        <v/>
      </c>
      <c r="FK86" s="4" t="str">
        <f t="shared" si="561"/>
        <v/>
      </c>
      <c r="FL86" s="5" t="str">
        <f t="shared" si="626"/>
        <v/>
      </c>
      <c r="FM86" s="8" t="str">
        <f t="shared" si="627"/>
        <v/>
      </c>
      <c r="FN86" s="9" t="str">
        <f t="shared" si="628"/>
        <v/>
      </c>
      <c r="FO86" s="10" t="str">
        <f t="shared" si="562"/>
        <v/>
      </c>
      <c r="FP86" s="277" t="str">
        <f t="shared" si="629"/>
        <v/>
      </c>
      <c r="FQ86" s="173" t="str">
        <f t="shared" si="702"/>
        <v/>
      </c>
      <c r="FR86" s="10" t="str">
        <f t="shared" si="703"/>
        <v/>
      </c>
      <c r="FS86" s="9" t="str">
        <f t="shared" si="704"/>
        <v/>
      </c>
      <c r="FT86" s="6" t="str">
        <f t="shared" si="705"/>
        <v/>
      </c>
      <c r="FU86" s="4" t="str">
        <f t="shared" si="706"/>
        <v/>
      </c>
      <c r="FV86" s="5" t="str">
        <f t="shared" si="707"/>
        <v/>
      </c>
      <c r="FW86" s="8" t="str">
        <f t="shared" si="708"/>
        <v/>
      </c>
      <c r="FX86" s="9" t="str">
        <f t="shared" si="709"/>
        <v/>
      </c>
      <c r="FY86" s="10" t="str">
        <f t="shared" si="563"/>
        <v/>
      </c>
      <c r="FZ86" s="277" t="str">
        <f t="shared" si="710"/>
        <v/>
      </c>
      <c r="GA86" s="177" t="str">
        <f t="shared" si="711"/>
        <v/>
      </c>
      <c r="GB86" s="4" t="str">
        <f t="shared" si="712"/>
        <v/>
      </c>
      <c r="GC86" s="5" t="str">
        <f t="shared" si="713"/>
        <v/>
      </c>
      <c r="GD86" s="10" t="str">
        <f t="shared" si="714"/>
        <v/>
      </c>
      <c r="GE86" s="311" t="str">
        <f t="shared" si="715"/>
        <v/>
      </c>
      <c r="GF86" s="341" t="str">
        <f t="shared" si="716"/>
        <v/>
      </c>
      <c r="GG86" s="285" t="str">
        <f t="shared" si="564"/>
        <v/>
      </c>
      <c r="GH86" s="286" t="str">
        <f t="shared" si="565"/>
        <v/>
      </c>
      <c r="GI86" s="281" t="str">
        <f t="shared" si="566"/>
        <v/>
      </c>
      <c r="GJ86" s="167" t="str">
        <f t="shared" si="717"/>
        <v/>
      </c>
      <c r="GK86" s="174" t="str">
        <f t="shared" si="567"/>
        <v/>
      </c>
      <c r="GL86" s="174" t="str">
        <f t="shared" si="718"/>
        <v/>
      </c>
      <c r="GM86" s="177" t="str">
        <f t="shared" si="719"/>
        <v/>
      </c>
      <c r="GN86" s="280" t="str">
        <f t="shared" si="720"/>
        <v/>
      </c>
      <c r="GO86" s="4" t="str">
        <f t="shared" si="721"/>
        <v/>
      </c>
      <c r="GP86" s="8" t="str">
        <f t="shared" si="722"/>
        <v/>
      </c>
      <c r="GQ86" s="177" t="str">
        <f t="shared" si="723"/>
        <v/>
      </c>
      <c r="GR86" s="371" t="str">
        <f t="shared" si="724"/>
        <v/>
      </c>
      <c r="GS86" s="342" t="str">
        <f t="shared" si="568"/>
        <v/>
      </c>
      <c r="GT86" s="343" t="str">
        <f t="shared" si="569"/>
        <v/>
      </c>
      <c r="GU86" s="344" t="str">
        <f t="shared" si="570"/>
        <v/>
      </c>
      <c r="GV86" s="343" t="str">
        <f t="shared" si="725"/>
        <v/>
      </c>
      <c r="GW86" s="345" t="str">
        <f t="shared" si="571"/>
        <v/>
      </c>
      <c r="GX86" s="346" t="str">
        <f t="shared" si="572"/>
        <v/>
      </c>
      <c r="GY86" s="344" t="str">
        <f t="shared" si="573"/>
        <v/>
      </c>
      <c r="GZ86" s="345" t="str">
        <f t="shared" si="574"/>
        <v/>
      </c>
      <c r="HA86" s="342" t="str">
        <f t="shared" si="575"/>
        <v/>
      </c>
      <c r="HB86" s="5" t="str">
        <f t="shared" si="726"/>
        <v/>
      </c>
      <c r="HC86" s="343" t="str">
        <f t="shared" si="727"/>
        <v/>
      </c>
      <c r="HD86" s="363" t="str">
        <f t="shared" si="728"/>
        <v/>
      </c>
      <c r="HE86" s="344" t="str">
        <f t="shared" si="576"/>
        <v/>
      </c>
      <c r="HF86" s="5" t="str">
        <f t="shared" si="577"/>
        <v/>
      </c>
      <c r="HG86" s="343" t="str">
        <f t="shared" si="729"/>
        <v/>
      </c>
      <c r="HH86" s="349" t="str">
        <f t="shared" si="730"/>
        <v/>
      </c>
      <c r="HI86" s="317" t="str">
        <f t="shared" si="578"/>
        <v/>
      </c>
      <c r="HK86" s="310" t="str">
        <f t="shared" si="630"/>
        <v/>
      </c>
      <c r="HL86" s="348" t="str">
        <f t="shared" si="579"/>
        <v/>
      </c>
      <c r="HM86" s="909" t="str">
        <f t="shared" si="580"/>
        <v/>
      </c>
      <c r="HN86" s="910" t="str">
        <f t="shared" si="581"/>
        <v/>
      </c>
      <c r="HO86" s="911"/>
      <c r="HP86" s="912"/>
      <c r="HQ86" s="910" t="str">
        <f t="shared" si="582"/>
        <v/>
      </c>
      <c r="HR86" s="913" t="str">
        <f t="shared" si="583"/>
        <v/>
      </c>
      <c r="HS86" s="865" t="str">
        <f t="shared" si="631"/>
        <v/>
      </c>
      <c r="HT86" s="875" t="str">
        <f t="shared" si="584"/>
        <v/>
      </c>
      <c r="HU86" s="876" t="str">
        <f t="shared" si="585"/>
        <v/>
      </c>
      <c r="HV86" s="872" t="str">
        <f t="shared" si="586"/>
        <v/>
      </c>
      <c r="HW86" s="866" t="str">
        <f t="shared" si="587"/>
        <v/>
      </c>
      <c r="HX86" s="867" t="str">
        <f t="shared" si="588"/>
        <v/>
      </c>
      <c r="HY86" s="866" t="str">
        <f t="shared" si="589"/>
        <v/>
      </c>
      <c r="HZ86" s="868" t="str">
        <f t="shared" si="590"/>
        <v/>
      </c>
      <c r="IA86" s="869" t="str">
        <f t="shared" si="591"/>
        <v/>
      </c>
      <c r="IB86" s="870" t="str">
        <f t="shared" si="592"/>
        <v/>
      </c>
      <c r="IC86" s="841" t="str">
        <f t="shared" si="593"/>
        <v/>
      </c>
      <c r="ID86" s="351" t="str">
        <f t="shared" si="594"/>
        <v/>
      </c>
      <c r="IE86" s="843" t="str">
        <f t="shared" si="595"/>
        <v/>
      </c>
      <c r="IF86" s="844"/>
      <c r="IG86" s="790" t="str">
        <f>IFERROR(IF($IW86="","",IF($IW86&lt;(((Settings!$C$19/2)*-1)*$IG$8),"Taper","Nose")),"")</f>
        <v/>
      </c>
      <c r="IH86" s="482" t="str">
        <f>IFERROR(IF((((($IY86*COS(RADIANS(180-$JA86)))*COS(RADIANS($JA86)))-(($IZ86*SIN(RADIANS(180-$JA86)))*SIN(RADIANS($JA86))))+$IW86)&lt;(((Settings!$C$19+$IH$8)/2)*-1),"Gage",""),"")</f>
        <v/>
      </c>
      <c r="II86" s="788">
        <f t="shared" si="731"/>
        <v>6.1180000000000003</v>
      </c>
      <c r="IJ86" s="674" t="str" cm="1">
        <f t="array" ref="IJ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K86" s="677" t="str" cm="1">
        <f t="array" ref="IK86">IFERROR(ROUND(VALUE(IF($IJ86&lt;1,$IJ86+LARGE((IF($M$9:$M$150="",0,$M$9:$M$150)-MOD(IF($M$9:$M$150="",0,$M$9:$M$150),1)),1),$IJ86)),4),"")</f>
        <v/>
      </c>
      <c r="IL86" s="482">
        <f t="shared" si="596"/>
        <v>1613</v>
      </c>
      <c r="IM86" s="482" t="str">
        <f t="shared" si="732"/>
        <v/>
      </c>
      <c r="IN86" s="670" t="str">
        <f t="shared" si="597"/>
        <v/>
      </c>
      <c r="IO86" s="702"/>
      <c r="IP86" s="5" t="str">
        <f t="shared" si="598"/>
        <v/>
      </c>
      <c r="IQ86" s="714"/>
      <c r="IR86" s="9" t="str">
        <f t="shared" si="599"/>
        <v/>
      </c>
      <c r="IS86" s="5" t="str">
        <f t="shared" si="600"/>
        <v/>
      </c>
      <c r="IT86" s="5" t="str">
        <f t="shared" si="601"/>
        <v/>
      </c>
      <c r="IU86" s="5" t="str">
        <f t="shared" si="602"/>
        <v/>
      </c>
      <c r="IV86" s="670" t="str">
        <f t="shared" si="603"/>
        <v/>
      </c>
      <c r="IW86" s="9" t="str">
        <f t="shared" si="604"/>
        <v/>
      </c>
      <c r="IX86" s="5" t="str">
        <f t="shared" si="605"/>
        <v/>
      </c>
      <c r="IY86" s="5" t="str">
        <f t="shared" si="606"/>
        <v/>
      </c>
      <c r="IZ86" s="5" t="str">
        <f t="shared" si="607"/>
        <v/>
      </c>
      <c r="JA86" s="705" t="str">
        <f t="shared" si="608"/>
        <v/>
      </c>
    </row>
    <row r="87" spans="1:261" ht="15" customHeight="1" x14ac:dyDescent="0.25">
      <c r="A87" s="75">
        <f t="shared" si="256"/>
        <v>0.02</v>
      </c>
      <c r="B87" s="578">
        <f t="shared" si="515"/>
        <v>-3.4280378673302239</v>
      </c>
      <c r="C87" s="572">
        <f t="shared" si="516"/>
        <v>2.3226311821380947</v>
      </c>
      <c r="D87" s="576">
        <f t="shared" si="517"/>
        <v>-0.49376062179459534</v>
      </c>
      <c r="E87" s="580">
        <f t="shared" si="518"/>
        <v>-0.68716718689088374</v>
      </c>
      <c r="F87" s="572">
        <f t="shared" si="519"/>
        <v>-0.67530669300495516</v>
      </c>
      <c r="G87" s="579">
        <f t="shared" si="520"/>
        <v>0.26788454162788272</v>
      </c>
      <c r="H87" s="580">
        <f t="shared" si="521"/>
        <v>0.3125</v>
      </c>
      <c r="I87" s="572">
        <f t="shared" si="522"/>
        <v>0.52</v>
      </c>
      <c r="J87" s="483">
        <f t="shared" si="523"/>
        <v>6.1239999999999997</v>
      </c>
      <c r="K87" s="806">
        <f t="shared" si="524"/>
        <v>1613</v>
      </c>
      <c r="L87" s="309"/>
      <c r="M87" s="164">
        <f t="shared" si="526"/>
        <v>6.1239999999999997</v>
      </c>
      <c r="N87" s="575">
        <f t="shared" si="527"/>
        <v>-3.4280378673302239</v>
      </c>
      <c r="O87" s="572">
        <f t="shared" si="528"/>
        <v>2.3226311821380947</v>
      </c>
      <c r="P87" s="576">
        <f t="shared" si="529"/>
        <v>-0.49376062179459534</v>
      </c>
      <c r="Q87" s="528">
        <f t="shared" si="609"/>
        <v>145.88080744508488</v>
      </c>
      <c r="R87" s="572">
        <f t="shared" si="101"/>
        <v>4.1407800265276293</v>
      </c>
      <c r="S87" s="577">
        <f t="shared" si="102"/>
        <v>-0.49376062179459534</v>
      </c>
      <c r="T87" s="578">
        <f t="shared" si="103"/>
        <v>2.2966650403727988</v>
      </c>
      <c r="U87" s="572">
        <f t="shared" si="104"/>
        <v>3.4454881976897793</v>
      </c>
      <c r="V87" s="579">
        <f t="shared" si="141"/>
        <v>-0.49376062179459534</v>
      </c>
      <c r="W87" s="528">
        <f t="shared" si="735"/>
        <v>56.31369829095587</v>
      </c>
      <c r="X87" s="572">
        <f t="shared" si="105"/>
        <v>4.1407800265276293</v>
      </c>
      <c r="Y87" s="573">
        <f t="shared" si="733"/>
        <v>-0.49376062179459534</v>
      </c>
      <c r="Z87" s="575">
        <f t="shared" si="530"/>
        <v>0.68716718689088374</v>
      </c>
      <c r="AA87" s="572">
        <f t="shared" si="531"/>
        <v>0.67530669300495516</v>
      </c>
      <c r="AB87" s="572">
        <f t="shared" si="532"/>
        <v>-0.26788454162788272</v>
      </c>
      <c r="AC87" s="579">
        <f t="shared" si="106"/>
        <v>1</v>
      </c>
      <c r="AD87" s="580">
        <f t="shared" si="142"/>
        <v>0.68716718689088374</v>
      </c>
      <c r="AE87" s="572">
        <f t="shared" si="107"/>
        <v>0.67530669300495516</v>
      </c>
      <c r="AF87" s="576">
        <f t="shared" si="108"/>
        <v>-0.26788454162788272</v>
      </c>
      <c r="AG87" s="545">
        <f t="shared" si="109"/>
        <v>68.362477855003988</v>
      </c>
      <c r="AH87" s="546">
        <f t="shared" si="110"/>
        <v>46.593716626247151</v>
      </c>
      <c r="AI87" s="528">
        <f t="shared" si="111"/>
        <v>-74.461576551958515</v>
      </c>
      <c r="AJ87" s="529">
        <f t="shared" si="112"/>
        <v>134.50124616109304</v>
      </c>
      <c r="AK87" s="578">
        <f t="shared" si="238"/>
        <v>0.94451113709054191</v>
      </c>
      <c r="AL87" s="572">
        <f t="shared" si="113"/>
        <v>-0.1900962500123321</v>
      </c>
      <c r="AM87" s="577">
        <f t="shared" si="114"/>
        <v>-0.26788454162788272</v>
      </c>
      <c r="AN87" s="524">
        <f t="shared" si="115"/>
        <v>-35.360276952469491</v>
      </c>
      <c r="AO87" s="525">
        <f t="shared" si="525"/>
        <v>19.176506828006705</v>
      </c>
      <c r="AP87" s="528">
        <f t="shared" si="117"/>
        <v>-11.379561283991846</v>
      </c>
      <c r="AQ87" s="529">
        <f t="shared" si="533"/>
        <v>1.1009742229714663</v>
      </c>
      <c r="AS87" s="932">
        <f t="shared" si="632"/>
        <v>56.31369829095587</v>
      </c>
      <c r="AT87" s="928">
        <f t="shared" si="534"/>
        <v>-7.5698672495585984E-2</v>
      </c>
      <c r="AU87" s="418"/>
      <c r="AV87" s="164" t="str">
        <f t="shared" si="535"/>
        <v/>
      </c>
      <c r="AW87" s="797" t="str">
        <f>IFERROR(INDEX(MassProp!C$9:C$150,MATCH($M87,MassProp!$B$9:$B$150,0)),"")</f>
        <v/>
      </c>
      <c r="AX87" s="744" t="str">
        <f>IFERROR(INDEX(MassProp!D$9:D$150,MATCH($M87,MassProp!$B$9:$B$150,0)),"")</f>
        <v/>
      </c>
      <c r="AY87" s="731" t="str">
        <f>IFERROR(INDEX(MassProp!E$9:E$150,MATCH($M87,MassProp!$B$9:$B$150,0)),"")</f>
        <v/>
      </c>
      <c r="AZ87" s="297" t="str">
        <f t="shared" si="633"/>
        <v/>
      </c>
      <c r="BA87" s="296" t="str">
        <f t="shared" si="536"/>
        <v/>
      </c>
      <c r="BB87" s="177" t="str">
        <f t="shared" si="610"/>
        <v/>
      </c>
      <c r="BC87" s="9"/>
      <c r="BD87" s="5" t="str">
        <f t="shared" si="611"/>
        <v/>
      </c>
      <c r="BE87" s="6" t="str">
        <f t="shared" si="537"/>
        <v/>
      </c>
      <c r="BF87" s="4" t="str">
        <f t="shared" si="538"/>
        <v/>
      </c>
      <c r="BG87" s="5" t="str">
        <f t="shared" si="539"/>
        <v/>
      </c>
      <c r="BH87" s="10" t="str">
        <f t="shared" si="540"/>
        <v/>
      </c>
      <c r="BI87" s="9" t="str">
        <f t="shared" si="634"/>
        <v/>
      </c>
      <c r="BJ87" s="5" t="str">
        <f t="shared" si="541"/>
        <v/>
      </c>
      <c r="BK87" s="8" t="str">
        <f t="shared" si="542"/>
        <v/>
      </c>
      <c r="BL87" s="173" t="str">
        <f t="shared" si="543"/>
        <v/>
      </c>
      <c r="BM87" s="5" t="str">
        <f t="shared" si="544"/>
        <v/>
      </c>
      <c r="BN87" s="6" t="str">
        <f t="shared" si="545"/>
        <v/>
      </c>
      <c r="BO87" s="4" t="str">
        <f t="shared" si="635"/>
        <v/>
      </c>
      <c r="BP87" s="5" t="str">
        <f t="shared" si="734"/>
        <v/>
      </c>
      <c r="BQ87" s="5" t="str">
        <f t="shared" si="636"/>
        <v/>
      </c>
      <c r="BR87" s="6" t="str">
        <f t="shared" si="637"/>
        <v/>
      </c>
      <c r="BS87" s="4" t="str">
        <f t="shared" si="612"/>
        <v/>
      </c>
      <c r="BT87" s="5" t="str">
        <f t="shared" si="612"/>
        <v/>
      </c>
      <c r="BU87" s="10" t="str">
        <f t="shared" si="613"/>
        <v/>
      </c>
      <c r="BV87" s="9" t="str">
        <f t="shared" si="614"/>
        <v/>
      </c>
      <c r="BW87" s="5" t="str">
        <f t="shared" si="615"/>
        <v/>
      </c>
      <c r="BX87" s="8" t="str">
        <f t="shared" si="616"/>
        <v/>
      </c>
      <c r="BY87" s="173" t="str">
        <f t="shared" si="617"/>
        <v/>
      </c>
      <c r="BZ87" s="5" t="str">
        <f t="shared" si="618"/>
        <v/>
      </c>
      <c r="CA87" s="6" t="str">
        <f t="shared" si="619"/>
        <v/>
      </c>
      <c r="CB87" s="4" t="str">
        <f t="shared" si="638"/>
        <v/>
      </c>
      <c r="CC87" s="5" t="str">
        <f t="shared" si="639"/>
        <v/>
      </c>
      <c r="CD87" s="5" t="str">
        <f t="shared" si="640"/>
        <v/>
      </c>
      <c r="CE87" s="6" t="str">
        <f t="shared" si="641"/>
        <v/>
      </c>
      <c r="CF87" s="4" t="str">
        <f t="shared" si="642"/>
        <v/>
      </c>
      <c r="CG87" s="5" t="str">
        <f t="shared" si="643"/>
        <v/>
      </c>
      <c r="CH87" s="5" t="str">
        <f t="shared" si="644"/>
        <v/>
      </c>
      <c r="CI87" s="4" t="str">
        <f t="shared" si="620"/>
        <v/>
      </c>
      <c r="CJ87" s="5" t="str">
        <f t="shared" si="621"/>
        <v/>
      </c>
      <c r="CK87" s="8" t="str">
        <f t="shared" si="622"/>
        <v/>
      </c>
      <c r="CL87" s="173" t="str">
        <f t="shared" si="623"/>
        <v/>
      </c>
      <c r="CM87" s="5" t="str">
        <f t="shared" si="624"/>
        <v/>
      </c>
      <c r="CN87" s="6" t="str">
        <f t="shared" si="625"/>
        <v/>
      </c>
      <c r="CO87" s="167" t="str">
        <f t="shared" si="546"/>
        <v/>
      </c>
      <c r="CP87" s="4" t="str">
        <f t="shared" si="645"/>
        <v/>
      </c>
      <c r="CQ87" s="5" t="str">
        <f t="shared" si="646"/>
        <v/>
      </c>
      <c r="CR87" s="5" t="str">
        <f t="shared" si="647"/>
        <v/>
      </c>
      <c r="CS87" s="8" t="str">
        <f t="shared" si="648"/>
        <v/>
      </c>
      <c r="CT87" s="9" t="str">
        <f t="shared" si="649"/>
        <v/>
      </c>
      <c r="CU87" s="6" t="str">
        <f t="shared" si="650"/>
        <v/>
      </c>
      <c r="CV87" s="4" t="str">
        <f t="shared" si="651"/>
        <v/>
      </c>
      <c r="CW87" s="5" t="str">
        <f t="shared" si="652"/>
        <v/>
      </c>
      <c r="CX87" s="8" t="str">
        <f t="shared" si="653"/>
        <v/>
      </c>
      <c r="CY87" s="9" t="str">
        <f t="shared" si="654"/>
        <v/>
      </c>
      <c r="CZ87" s="5" t="str">
        <f t="shared" si="655"/>
        <v/>
      </c>
      <c r="DA87" s="6" t="str">
        <f t="shared" si="656"/>
        <v/>
      </c>
      <c r="DB87" s="4" t="str">
        <f t="shared" si="657"/>
        <v/>
      </c>
      <c r="DC87" s="5" t="str">
        <f t="shared" si="657"/>
        <v/>
      </c>
      <c r="DD87" s="10" t="str">
        <f t="shared" si="658"/>
        <v/>
      </c>
      <c r="DE87" s="9" t="str">
        <f t="shared" si="659"/>
        <v/>
      </c>
      <c r="DF87" s="5" t="str">
        <f t="shared" si="659"/>
        <v/>
      </c>
      <c r="DG87" s="10" t="str">
        <f t="shared" si="660"/>
        <v/>
      </c>
      <c r="DH87" s="70" t="str">
        <f t="shared" si="661"/>
        <v/>
      </c>
      <c r="DI87" s="4" t="str">
        <f t="shared" si="662"/>
        <v/>
      </c>
      <c r="DJ87" s="5" t="str">
        <f t="shared" si="663"/>
        <v/>
      </c>
      <c r="DK87" s="10" t="str">
        <f t="shared" si="664"/>
        <v/>
      </c>
      <c r="DL87" s="9" t="str">
        <f t="shared" si="665"/>
        <v/>
      </c>
      <c r="DM87" s="173" t="str">
        <f t="shared" si="666"/>
        <v/>
      </c>
      <c r="DN87" s="178" t="str">
        <f t="shared" si="667"/>
        <v/>
      </c>
      <c r="DO87" s="9" t="str">
        <f t="shared" si="668"/>
        <v/>
      </c>
      <c r="DP87" s="173" t="str">
        <f t="shared" si="669"/>
        <v/>
      </c>
      <c r="DQ87" s="11" t="str">
        <f t="shared" si="670"/>
        <v/>
      </c>
      <c r="DR87" s="173" t="str">
        <f t="shared" si="671"/>
        <v/>
      </c>
      <c r="DS87" s="5" t="str">
        <f t="shared" si="672"/>
        <v/>
      </c>
      <c r="DT87" s="5" t="str">
        <f t="shared" si="673"/>
        <v/>
      </c>
      <c r="DU87" s="5" t="str">
        <f t="shared" si="674"/>
        <v/>
      </c>
      <c r="DV87" s="5" t="str">
        <f t="shared" si="675"/>
        <v/>
      </c>
      <c r="DW87" s="5" t="str">
        <f t="shared" si="676"/>
        <v/>
      </c>
      <c r="DX87" s="167" t="str">
        <f t="shared" si="677"/>
        <v/>
      </c>
      <c r="DY87" s="9" t="str">
        <f t="shared" si="678"/>
        <v/>
      </c>
      <c r="DZ87" s="5" t="str">
        <f t="shared" si="679"/>
        <v/>
      </c>
      <c r="EA87" s="10" t="str">
        <f t="shared" si="680"/>
        <v/>
      </c>
      <c r="EB87" s="6" t="str">
        <f t="shared" si="681"/>
        <v/>
      </c>
      <c r="EC87" s="173" t="str">
        <f t="shared" si="682"/>
        <v/>
      </c>
      <c r="ED87" s="5" t="str">
        <f t="shared" si="683"/>
        <v/>
      </c>
      <c r="EE87" s="4" t="str">
        <f t="shared" si="684"/>
        <v/>
      </c>
      <c r="EF87" s="5" t="str">
        <f t="shared" si="685"/>
        <v/>
      </c>
      <c r="EG87" s="10" t="str">
        <f t="shared" si="686"/>
        <v/>
      </c>
      <c r="EH87" s="9" t="str">
        <f t="shared" si="687"/>
        <v/>
      </c>
      <c r="EI87" s="5" t="str">
        <f t="shared" si="688"/>
        <v/>
      </c>
      <c r="EJ87" s="6" t="str">
        <f t="shared" si="689"/>
        <v/>
      </c>
      <c r="EK87" s="236" t="str">
        <f t="shared" si="690"/>
        <v/>
      </c>
      <c r="EL87" s="238" t="str">
        <f t="shared" si="691"/>
        <v/>
      </c>
      <c r="EM87" s="4" t="str">
        <f t="shared" si="692"/>
        <v/>
      </c>
      <c r="EN87" s="5" t="str">
        <f t="shared" si="693"/>
        <v/>
      </c>
      <c r="EO87" s="10" t="str">
        <f t="shared" si="694"/>
        <v/>
      </c>
      <c r="EP87" s="9" t="str">
        <f t="shared" si="695"/>
        <v/>
      </c>
      <c r="EQ87" s="5" t="str">
        <f t="shared" si="696"/>
        <v/>
      </c>
      <c r="ER87" s="7" t="str">
        <f t="shared" si="697"/>
        <v/>
      </c>
      <c r="ES87" s="21" t="str">
        <f t="shared" si="547"/>
        <v/>
      </c>
      <c r="ET87" s="5" t="str">
        <f t="shared" si="548"/>
        <v/>
      </c>
      <c r="EU87" s="10" t="str">
        <f t="shared" si="549"/>
        <v/>
      </c>
      <c r="EV87" s="174" t="str">
        <f t="shared" si="550"/>
        <v/>
      </c>
      <c r="EW87" s="9" t="str">
        <f t="shared" si="551"/>
        <v/>
      </c>
      <c r="EX87" s="5" t="str">
        <f t="shared" si="552"/>
        <v/>
      </c>
      <c r="EY87" s="6" t="str">
        <f t="shared" si="698"/>
        <v/>
      </c>
      <c r="EZ87" s="51" t="str">
        <f t="shared" si="699"/>
        <v/>
      </c>
      <c r="FA87" s="173" t="str">
        <f t="shared" si="553"/>
        <v/>
      </c>
      <c r="FB87" s="5" t="str">
        <f t="shared" si="554"/>
        <v/>
      </c>
      <c r="FC87" s="6" t="str">
        <f t="shared" si="555"/>
        <v/>
      </c>
      <c r="FD87" s="4" t="str">
        <f t="shared" si="556"/>
        <v/>
      </c>
      <c r="FE87" s="5" t="str">
        <f t="shared" si="557"/>
        <v/>
      </c>
      <c r="FF87" s="7" t="str">
        <f t="shared" si="700"/>
        <v/>
      </c>
      <c r="FG87" s="173" t="str">
        <f t="shared" si="558"/>
        <v/>
      </c>
      <c r="FH87" s="5" t="str">
        <f t="shared" si="559"/>
        <v/>
      </c>
      <c r="FI87" s="10" t="str">
        <f t="shared" si="560"/>
        <v/>
      </c>
      <c r="FJ87" s="279" t="str">
        <f t="shared" si="701"/>
        <v/>
      </c>
      <c r="FK87" s="4" t="str">
        <f t="shared" si="561"/>
        <v/>
      </c>
      <c r="FL87" s="5" t="str">
        <f t="shared" si="626"/>
        <v/>
      </c>
      <c r="FM87" s="8" t="str">
        <f t="shared" si="627"/>
        <v/>
      </c>
      <c r="FN87" s="9" t="str">
        <f t="shared" si="628"/>
        <v/>
      </c>
      <c r="FO87" s="10" t="str">
        <f t="shared" si="562"/>
        <v/>
      </c>
      <c r="FP87" s="277" t="str">
        <f t="shared" si="629"/>
        <v/>
      </c>
      <c r="FQ87" s="173" t="str">
        <f t="shared" si="702"/>
        <v/>
      </c>
      <c r="FR87" s="10" t="str">
        <f t="shared" si="703"/>
        <v/>
      </c>
      <c r="FS87" s="9" t="str">
        <f t="shared" si="704"/>
        <v/>
      </c>
      <c r="FT87" s="6" t="str">
        <f t="shared" si="705"/>
        <v/>
      </c>
      <c r="FU87" s="4" t="str">
        <f t="shared" si="706"/>
        <v/>
      </c>
      <c r="FV87" s="5" t="str">
        <f t="shared" si="707"/>
        <v/>
      </c>
      <c r="FW87" s="8" t="str">
        <f t="shared" si="708"/>
        <v/>
      </c>
      <c r="FX87" s="9" t="str">
        <f t="shared" si="709"/>
        <v/>
      </c>
      <c r="FY87" s="10" t="str">
        <f t="shared" si="563"/>
        <v/>
      </c>
      <c r="FZ87" s="277" t="str">
        <f t="shared" si="710"/>
        <v/>
      </c>
      <c r="GA87" s="177" t="str">
        <f t="shared" si="711"/>
        <v/>
      </c>
      <c r="GB87" s="4" t="str">
        <f t="shared" si="712"/>
        <v/>
      </c>
      <c r="GC87" s="5" t="str">
        <f t="shared" si="713"/>
        <v/>
      </c>
      <c r="GD87" s="10" t="str">
        <f t="shared" si="714"/>
        <v/>
      </c>
      <c r="GE87" s="311" t="str">
        <f t="shared" si="715"/>
        <v/>
      </c>
      <c r="GF87" s="341" t="str">
        <f t="shared" si="716"/>
        <v/>
      </c>
      <c r="GG87" s="285" t="str">
        <f t="shared" si="564"/>
        <v/>
      </c>
      <c r="GH87" s="286" t="str">
        <f t="shared" si="565"/>
        <v/>
      </c>
      <c r="GI87" s="281" t="str">
        <f t="shared" si="566"/>
        <v/>
      </c>
      <c r="GJ87" s="167" t="str">
        <f t="shared" si="717"/>
        <v/>
      </c>
      <c r="GK87" s="174" t="str">
        <f t="shared" si="567"/>
        <v/>
      </c>
      <c r="GL87" s="174" t="str">
        <f t="shared" si="718"/>
        <v/>
      </c>
      <c r="GM87" s="177" t="str">
        <f t="shared" si="719"/>
        <v/>
      </c>
      <c r="GN87" s="280" t="str">
        <f t="shared" si="720"/>
        <v/>
      </c>
      <c r="GO87" s="4" t="str">
        <f t="shared" si="721"/>
        <v/>
      </c>
      <c r="GP87" s="8" t="str">
        <f t="shared" si="722"/>
        <v/>
      </c>
      <c r="GQ87" s="177" t="str">
        <f t="shared" si="723"/>
        <v/>
      </c>
      <c r="GR87" s="371" t="str">
        <f t="shared" si="724"/>
        <v/>
      </c>
      <c r="GS87" s="342" t="str">
        <f t="shared" si="568"/>
        <v/>
      </c>
      <c r="GT87" s="343" t="str">
        <f t="shared" si="569"/>
        <v/>
      </c>
      <c r="GU87" s="344" t="str">
        <f t="shared" si="570"/>
        <v/>
      </c>
      <c r="GV87" s="343" t="str">
        <f t="shared" si="725"/>
        <v/>
      </c>
      <c r="GW87" s="345" t="str">
        <f t="shared" si="571"/>
        <v/>
      </c>
      <c r="GX87" s="346" t="str">
        <f t="shared" si="572"/>
        <v/>
      </c>
      <c r="GY87" s="344" t="str">
        <f t="shared" si="573"/>
        <v/>
      </c>
      <c r="GZ87" s="345" t="str">
        <f t="shared" si="574"/>
        <v/>
      </c>
      <c r="HA87" s="342" t="str">
        <f t="shared" si="575"/>
        <v/>
      </c>
      <c r="HB87" s="5" t="str">
        <f t="shared" si="726"/>
        <v/>
      </c>
      <c r="HC87" s="343" t="str">
        <f t="shared" si="727"/>
        <v/>
      </c>
      <c r="HD87" s="363" t="str">
        <f t="shared" si="728"/>
        <v/>
      </c>
      <c r="HE87" s="344" t="str">
        <f t="shared" si="576"/>
        <v/>
      </c>
      <c r="HF87" s="5" t="str">
        <f t="shared" si="577"/>
        <v/>
      </c>
      <c r="HG87" s="343" t="str">
        <f t="shared" si="729"/>
        <v/>
      </c>
      <c r="HH87" s="349" t="str">
        <f t="shared" si="730"/>
        <v/>
      </c>
      <c r="HI87" s="317" t="str">
        <f t="shared" si="578"/>
        <v/>
      </c>
      <c r="HK87" s="310" t="str">
        <f t="shared" si="630"/>
        <v/>
      </c>
      <c r="HL87" s="348" t="str">
        <f t="shared" si="579"/>
        <v/>
      </c>
      <c r="HM87" s="909" t="str">
        <f t="shared" si="580"/>
        <v/>
      </c>
      <c r="HN87" s="910" t="str">
        <f t="shared" si="581"/>
        <v/>
      </c>
      <c r="HO87" s="911"/>
      <c r="HP87" s="912"/>
      <c r="HQ87" s="910" t="str">
        <f t="shared" si="582"/>
        <v/>
      </c>
      <c r="HR87" s="913" t="str">
        <f t="shared" si="583"/>
        <v/>
      </c>
      <c r="HS87" s="865" t="str">
        <f t="shared" si="631"/>
        <v/>
      </c>
      <c r="HT87" s="875" t="str">
        <f t="shared" si="584"/>
        <v/>
      </c>
      <c r="HU87" s="876" t="str">
        <f t="shared" si="585"/>
        <v/>
      </c>
      <c r="HV87" s="872" t="str">
        <f t="shared" si="586"/>
        <v/>
      </c>
      <c r="HW87" s="866" t="str">
        <f t="shared" si="587"/>
        <v/>
      </c>
      <c r="HX87" s="867" t="str">
        <f t="shared" si="588"/>
        <v/>
      </c>
      <c r="HY87" s="866" t="str">
        <f t="shared" si="589"/>
        <v/>
      </c>
      <c r="HZ87" s="868" t="str">
        <f t="shared" si="590"/>
        <v/>
      </c>
      <c r="IA87" s="869" t="str">
        <f t="shared" si="591"/>
        <v/>
      </c>
      <c r="IB87" s="870" t="str">
        <f t="shared" si="592"/>
        <v/>
      </c>
      <c r="IC87" s="841" t="str">
        <f t="shared" si="593"/>
        <v/>
      </c>
      <c r="ID87" s="351" t="str">
        <f t="shared" si="594"/>
        <v/>
      </c>
      <c r="IE87" s="843" t="str">
        <f t="shared" si="595"/>
        <v/>
      </c>
      <c r="IF87" s="844"/>
      <c r="IG87" s="790" t="str">
        <f>IFERROR(IF($IW87="","",IF($IW87&lt;(((Settings!$C$19/2)*-1)*$IG$8),"Taper","Nose")),"")</f>
        <v/>
      </c>
      <c r="IH87" s="482" t="str">
        <f>IFERROR(IF((((($IY87*COS(RADIANS(180-$JA87)))*COS(RADIANS($JA87)))-(($IZ87*SIN(RADIANS(180-$JA87)))*SIN(RADIANS($JA87))))+$IW87)&lt;(((Settings!$C$19+$IH$8)/2)*-1),"Gage",""),"")</f>
        <v/>
      </c>
      <c r="II87" s="788">
        <f t="shared" si="731"/>
        <v>6.1239999999999997</v>
      </c>
      <c r="IJ87" s="674" t="str" cm="1">
        <f t="array" ref="IJ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K87" s="677" t="str" cm="1">
        <f t="array" ref="IK87">IFERROR(ROUND(VALUE(IF($IJ87&lt;1,$IJ87+LARGE((IF($M$9:$M$150="",0,$M$9:$M$150)-MOD(IF($M$9:$M$150="",0,$M$9:$M$150),1)),1),$IJ87)),4),"")</f>
        <v/>
      </c>
      <c r="IL87" s="482">
        <f t="shared" si="596"/>
        <v>1613</v>
      </c>
      <c r="IM87" s="482" t="str">
        <f t="shared" si="732"/>
        <v/>
      </c>
      <c r="IN87" s="670" t="str">
        <f t="shared" si="597"/>
        <v/>
      </c>
      <c r="IO87" s="702"/>
      <c r="IP87" s="5" t="str">
        <f t="shared" si="598"/>
        <v/>
      </c>
      <c r="IQ87" s="714"/>
      <c r="IR87" s="9" t="str">
        <f t="shared" si="599"/>
        <v/>
      </c>
      <c r="IS87" s="5" t="str">
        <f t="shared" si="600"/>
        <v/>
      </c>
      <c r="IT87" s="5" t="str">
        <f t="shared" si="601"/>
        <v/>
      </c>
      <c r="IU87" s="5" t="str">
        <f t="shared" si="602"/>
        <v/>
      </c>
      <c r="IV87" s="670" t="str">
        <f t="shared" si="603"/>
        <v/>
      </c>
      <c r="IW87" s="9" t="str">
        <f t="shared" si="604"/>
        <v/>
      </c>
      <c r="IX87" s="5" t="str">
        <f t="shared" si="605"/>
        <v/>
      </c>
      <c r="IY87" s="5" t="str">
        <f t="shared" si="606"/>
        <v/>
      </c>
      <c r="IZ87" s="5" t="str">
        <f t="shared" si="607"/>
        <v/>
      </c>
      <c r="JA87" s="705" t="str">
        <f t="shared" si="608"/>
        <v/>
      </c>
    </row>
    <row r="88" spans="1:261" ht="15" customHeight="1" x14ac:dyDescent="0.25">
      <c r="A88" s="75">
        <f t="shared" si="256"/>
        <v>0.02</v>
      </c>
      <c r="B88" s="578">
        <f t="shared" si="515"/>
        <v>-3.8375264757361545</v>
      </c>
      <c r="C88" s="572">
        <f t="shared" si="516"/>
        <v>2.6672708884445955</v>
      </c>
      <c r="D88" s="576">
        <f t="shared" si="517"/>
        <v>-1.0446207994544796</v>
      </c>
      <c r="E88" s="580">
        <f t="shared" si="518"/>
        <v>-0.78603894357677295</v>
      </c>
      <c r="F88" s="572">
        <f t="shared" si="519"/>
        <v>-0.57350484074695474</v>
      </c>
      <c r="G88" s="579">
        <f t="shared" si="520"/>
        <v>0.23072706130950654</v>
      </c>
      <c r="H88" s="580">
        <f t="shared" si="521"/>
        <v>0.3125</v>
      </c>
      <c r="I88" s="572">
        <f t="shared" si="522"/>
        <v>0.52</v>
      </c>
      <c r="J88" s="483">
        <f t="shared" si="523"/>
        <v>6.13</v>
      </c>
      <c r="K88" s="806">
        <f t="shared" si="524"/>
        <v>1613</v>
      </c>
      <c r="L88" s="309"/>
      <c r="M88" s="164">
        <f t="shared" si="526"/>
        <v>6.13</v>
      </c>
      <c r="N88" s="575">
        <f t="shared" si="527"/>
        <v>-3.8375264757361545</v>
      </c>
      <c r="O88" s="572">
        <f t="shared" si="528"/>
        <v>2.6672708884445955</v>
      </c>
      <c r="P88" s="576">
        <f t="shared" si="529"/>
        <v>-1.0446207994544796</v>
      </c>
      <c r="Q88" s="528">
        <f t="shared" si="609"/>
        <v>145.19878682720446</v>
      </c>
      <c r="R88" s="572">
        <f t="shared" si="101"/>
        <v>4.6734295163530577</v>
      </c>
      <c r="S88" s="577">
        <f t="shared" si="102"/>
        <v>-1.0446207994544796</v>
      </c>
      <c r="T88" s="578">
        <f t="shared" si="103"/>
        <v>2.6382011013413234</v>
      </c>
      <c r="U88" s="572">
        <f t="shared" si="104"/>
        <v>3.857568974522867</v>
      </c>
      <c r="V88" s="579">
        <f t="shared" si="141"/>
        <v>-1.0446207994544796</v>
      </c>
      <c r="W88" s="528">
        <f t="shared" si="735"/>
        <v>55.631677673075444</v>
      </c>
      <c r="X88" s="572">
        <f t="shared" si="105"/>
        <v>4.6734295163530577</v>
      </c>
      <c r="Y88" s="573">
        <f t="shared" si="733"/>
        <v>-1.0446207994544796</v>
      </c>
      <c r="Z88" s="575">
        <f t="shared" si="530"/>
        <v>0.78603894357677295</v>
      </c>
      <c r="AA88" s="572">
        <f t="shared" si="531"/>
        <v>0.57350484074695474</v>
      </c>
      <c r="AB88" s="572">
        <f t="shared" si="532"/>
        <v>-0.23072706130950654</v>
      </c>
      <c r="AC88" s="579">
        <f t="shared" si="106"/>
        <v>1</v>
      </c>
      <c r="AD88" s="580">
        <f t="shared" si="142"/>
        <v>0.78603894357677295</v>
      </c>
      <c r="AE88" s="572">
        <f t="shared" si="107"/>
        <v>0.57350484074695474</v>
      </c>
      <c r="AF88" s="576">
        <f t="shared" si="108"/>
        <v>-0.23072706130950654</v>
      </c>
      <c r="AG88" s="545">
        <f t="shared" si="109"/>
        <v>68.084555571471427</v>
      </c>
      <c r="AH88" s="546">
        <f t="shared" si="110"/>
        <v>38.183129802784705</v>
      </c>
      <c r="AI88" s="528">
        <f t="shared" si="111"/>
        <v>-76.660119346299595</v>
      </c>
      <c r="AJ88" s="529">
        <f t="shared" si="112"/>
        <v>126.1150054026092</v>
      </c>
      <c r="AK88" s="578">
        <f t="shared" si="238"/>
        <v>0.91954287246186528</v>
      </c>
      <c r="AL88" s="572">
        <f t="shared" si="113"/>
        <v>-0.31812879291893892</v>
      </c>
      <c r="AM88" s="577">
        <f t="shared" si="114"/>
        <v>-0.23072706130950654</v>
      </c>
      <c r="AN88" s="524">
        <f t="shared" si="115"/>
        <v>-54.048010045486649</v>
      </c>
      <c r="AO88" s="525">
        <f t="shared" si="525"/>
        <v>23.140655756290503</v>
      </c>
      <c r="AP88" s="528">
        <f t="shared" si="117"/>
        <v>-19.083781424595255</v>
      </c>
      <c r="AQ88" s="529">
        <f t="shared" si="533"/>
        <v>0.97551758679175549</v>
      </c>
      <c r="AS88" s="932">
        <f t="shared" si="632"/>
        <v>55.631677673075444</v>
      </c>
      <c r="AT88" s="928">
        <f t="shared" si="534"/>
        <v>-0.62561159929730303</v>
      </c>
      <c r="AU88" s="418"/>
      <c r="AV88" s="164" t="str">
        <f t="shared" si="535"/>
        <v/>
      </c>
      <c r="AW88" s="797" t="str">
        <f>IFERROR(INDEX(MassProp!C$9:C$150,MATCH($M88,MassProp!$B$9:$B$150,0)),"")</f>
        <v/>
      </c>
      <c r="AX88" s="744" t="str">
        <f>IFERROR(INDEX(MassProp!D$9:D$150,MATCH($M88,MassProp!$B$9:$B$150,0)),"")</f>
        <v/>
      </c>
      <c r="AY88" s="731" t="str">
        <f>IFERROR(INDEX(MassProp!E$9:E$150,MATCH($M88,MassProp!$B$9:$B$150,0)),"")</f>
        <v/>
      </c>
      <c r="AZ88" s="297" t="str">
        <f t="shared" si="633"/>
        <v/>
      </c>
      <c r="BA88" s="296" t="str">
        <f t="shared" si="536"/>
        <v/>
      </c>
      <c r="BB88" s="177" t="str">
        <f t="shared" si="610"/>
        <v/>
      </c>
      <c r="BC88" s="9"/>
      <c r="BD88" s="5" t="str">
        <f t="shared" si="611"/>
        <v/>
      </c>
      <c r="BE88" s="6" t="str">
        <f t="shared" si="537"/>
        <v/>
      </c>
      <c r="BF88" s="4" t="str">
        <f t="shared" si="538"/>
        <v/>
      </c>
      <c r="BG88" s="5" t="str">
        <f t="shared" si="539"/>
        <v/>
      </c>
      <c r="BH88" s="10" t="str">
        <f t="shared" si="540"/>
        <v/>
      </c>
      <c r="BI88" s="9" t="str">
        <f t="shared" si="634"/>
        <v/>
      </c>
      <c r="BJ88" s="5" t="str">
        <f t="shared" si="541"/>
        <v/>
      </c>
      <c r="BK88" s="8" t="str">
        <f t="shared" si="542"/>
        <v/>
      </c>
      <c r="BL88" s="173" t="str">
        <f t="shared" si="543"/>
        <v/>
      </c>
      <c r="BM88" s="5" t="str">
        <f t="shared" si="544"/>
        <v/>
      </c>
      <c r="BN88" s="6" t="str">
        <f t="shared" si="545"/>
        <v/>
      </c>
      <c r="BO88" s="4" t="str">
        <f t="shared" si="635"/>
        <v/>
      </c>
      <c r="BP88" s="5" t="str">
        <f t="shared" si="734"/>
        <v/>
      </c>
      <c r="BQ88" s="5" t="str">
        <f t="shared" si="636"/>
        <v/>
      </c>
      <c r="BR88" s="6" t="str">
        <f t="shared" si="637"/>
        <v/>
      </c>
      <c r="BS88" s="4" t="str">
        <f t="shared" si="612"/>
        <v/>
      </c>
      <c r="BT88" s="5" t="str">
        <f t="shared" si="612"/>
        <v/>
      </c>
      <c r="BU88" s="10" t="str">
        <f t="shared" si="613"/>
        <v/>
      </c>
      <c r="BV88" s="9" t="str">
        <f t="shared" si="614"/>
        <v/>
      </c>
      <c r="BW88" s="5" t="str">
        <f t="shared" si="615"/>
        <v/>
      </c>
      <c r="BX88" s="8" t="str">
        <f t="shared" si="616"/>
        <v/>
      </c>
      <c r="BY88" s="173" t="str">
        <f t="shared" si="617"/>
        <v/>
      </c>
      <c r="BZ88" s="5" t="str">
        <f t="shared" si="618"/>
        <v/>
      </c>
      <c r="CA88" s="6" t="str">
        <f t="shared" si="619"/>
        <v/>
      </c>
      <c r="CB88" s="4" t="str">
        <f t="shared" si="638"/>
        <v/>
      </c>
      <c r="CC88" s="5" t="str">
        <f t="shared" si="639"/>
        <v/>
      </c>
      <c r="CD88" s="5" t="str">
        <f t="shared" si="640"/>
        <v/>
      </c>
      <c r="CE88" s="6" t="str">
        <f t="shared" si="641"/>
        <v/>
      </c>
      <c r="CF88" s="4" t="str">
        <f t="shared" si="642"/>
        <v/>
      </c>
      <c r="CG88" s="5" t="str">
        <f t="shared" si="643"/>
        <v/>
      </c>
      <c r="CH88" s="5" t="str">
        <f t="shared" si="644"/>
        <v/>
      </c>
      <c r="CI88" s="4" t="str">
        <f t="shared" si="620"/>
        <v/>
      </c>
      <c r="CJ88" s="5" t="str">
        <f t="shared" si="621"/>
        <v/>
      </c>
      <c r="CK88" s="8" t="str">
        <f t="shared" si="622"/>
        <v/>
      </c>
      <c r="CL88" s="173" t="str">
        <f t="shared" si="623"/>
        <v/>
      </c>
      <c r="CM88" s="5" t="str">
        <f t="shared" si="624"/>
        <v/>
      </c>
      <c r="CN88" s="6" t="str">
        <f t="shared" si="625"/>
        <v/>
      </c>
      <c r="CO88" s="167" t="str">
        <f t="shared" si="546"/>
        <v/>
      </c>
      <c r="CP88" s="4" t="str">
        <f t="shared" si="645"/>
        <v/>
      </c>
      <c r="CQ88" s="5" t="str">
        <f t="shared" si="646"/>
        <v/>
      </c>
      <c r="CR88" s="5" t="str">
        <f t="shared" si="647"/>
        <v/>
      </c>
      <c r="CS88" s="8" t="str">
        <f t="shared" si="648"/>
        <v/>
      </c>
      <c r="CT88" s="9" t="str">
        <f t="shared" si="649"/>
        <v/>
      </c>
      <c r="CU88" s="6" t="str">
        <f t="shared" si="650"/>
        <v/>
      </c>
      <c r="CV88" s="4" t="str">
        <f t="shared" si="651"/>
        <v/>
      </c>
      <c r="CW88" s="5" t="str">
        <f t="shared" si="652"/>
        <v/>
      </c>
      <c r="CX88" s="8" t="str">
        <f t="shared" si="653"/>
        <v/>
      </c>
      <c r="CY88" s="9" t="str">
        <f t="shared" si="654"/>
        <v/>
      </c>
      <c r="CZ88" s="5" t="str">
        <f t="shared" si="655"/>
        <v/>
      </c>
      <c r="DA88" s="6" t="str">
        <f t="shared" si="656"/>
        <v/>
      </c>
      <c r="DB88" s="4" t="str">
        <f t="shared" si="657"/>
        <v/>
      </c>
      <c r="DC88" s="5" t="str">
        <f t="shared" si="657"/>
        <v/>
      </c>
      <c r="DD88" s="10" t="str">
        <f t="shared" si="658"/>
        <v/>
      </c>
      <c r="DE88" s="9" t="str">
        <f t="shared" si="659"/>
        <v/>
      </c>
      <c r="DF88" s="5" t="str">
        <f t="shared" si="659"/>
        <v/>
      </c>
      <c r="DG88" s="10" t="str">
        <f t="shared" si="660"/>
        <v/>
      </c>
      <c r="DH88" s="70" t="str">
        <f t="shared" si="661"/>
        <v/>
      </c>
      <c r="DI88" s="4" t="str">
        <f t="shared" si="662"/>
        <v/>
      </c>
      <c r="DJ88" s="5" t="str">
        <f t="shared" si="663"/>
        <v/>
      </c>
      <c r="DK88" s="10" t="str">
        <f t="shared" si="664"/>
        <v/>
      </c>
      <c r="DL88" s="9" t="str">
        <f t="shared" si="665"/>
        <v/>
      </c>
      <c r="DM88" s="173" t="str">
        <f t="shared" si="666"/>
        <v/>
      </c>
      <c r="DN88" s="178" t="str">
        <f t="shared" si="667"/>
        <v/>
      </c>
      <c r="DO88" s="9" t="str">
        <f t="shared" si="668"/>
        <v/>
      </c>
      <c r="DP88" s="173" t="str">
        <f t="shared" si="669"/>
        <v/>
      </c>
      <c r="DQ88" s="11" t="str">
        <f t="shared" si="670"/>
        <v/>
      </c>
      <c r="DR88" s="173" t="str">
        <f t="shared" si="671"/>
        <v/>
      </c>
      <c r="DS88" s="5" t="str">
        <f t="shared" si="672"/>
        <v/>
      </c>
      <c r="DT88" s="5" t="str">
        <f t="shared" si="673"/>
        <v/>
      </c>
      <c r="DU88" s="5" t="str">
        <f t="shared" si="674"/>
        <v/>
      </c>
      <c r="DV88" s="5" t="str">
        <f t="shared" si="675"/>
        <v/>
      </c>
      <c r="DW88" s="5" t="str">
        <f t="shared" si="676"/>
        <v/>
      </c>
      <c r="DX88" s="167" t="str">
        <f t="shared" si="677"/>
        <v/>
      </c>
      <c r="DY88" s="9" t="str">
        <f t="shared" si="678"/>
        <v/>
      </c>
      <c r="DZ88" s="5" t="str">
        <f t="shared" si="679"/>
        <v/>
      </c>
      <c r="EA88" s="10" t="str">
        <f t="shared" si="680"/>
        <v/>
      </c>
      <c r="EB88" s="6" t="str">
        <f t="shared" si="681"/>
        <v/>
      </c>
      <c r="EC88" s="173" t="str">
        <f t="shared" si="682"/>
        <v/>
      </c>
      <c r="ED88" s="5" t="str">
        <f t="shared" si="683"/>
        <v/>
      </c>
      <c r="EE88" s="4" t="str">
        <f t="shared" si="684"/>
        <v/>
      </c>
      <c r="EF88" s="5" t="str">
        <f t="shared" si="685"/>
        <v/>
      </c>
      <c r="EG88" s="10" t="str">
        <f t="shared" si="686"/>
        <v/>
      </c>
      <c r="EH88" s="9" t="str">
        <f t="shared" si="687"/>
        <v/>
      </c>
      <c r="EI88" s="5" t="str">
        <f t="shared" si="688"/>
        <v/>
      </c>
      <c r="EJ88" s="6" t="str">
        <f t="shared" si="689"/>
        <v/>
      </c>
      <c r="EK88" s="236" t="str">
        <f t="shared" si="690"/>
        <v/>
      </c>
      <c r="EL88" s="238" t="str">
        <f t="shared" si="691"/>
        <v/>
      </c>
      <c r="EM88" s="4" t="str">
        <f t="shared" si="692"/>
        <v/>
      </c>
      <c r="EN88" s="5" t="str">
        <f t="shared" si="693"/>
        <v/>
      </c>
      <c r="EO88" s="10" t="str">
        <f t="shared" si="694"/>
        <v/>
      </c>
      <c r="EP88" s="9" t="str">
        <f t="shared" si="695"/>
        <v/>
      </c>
      <c r="EQ88" s="5" t="str">
        <f t="shared" si="696"/>
        <v/>
      </c>
      <c r="ER88" s="7" t="str">
        <f t="shared" si="697"/>
        <v/>
      </c>
      <c r="ES88" s="21" t="str">
        <f t="shared" si="547"/>
        <v/>
      </c>
      <c r="ET88" s="5" t="str">
        <f t="shared" si="548"/>
        <v/>
      </c>
      <c r="EU88" s="10" t="str">
        <f t="shared" si="549"/>
        <v/>
      </c>
      <c r="EV88" s="174" t="str">
        <f t="shared" si="550"/>
        <v/>
      </c>
      <c r="EW88" s="9" t="str">
        <f t="shared" si="551"/>
        <v/>
      </c>
      <c r="EX88" s="5" t="str">
        <f t="shared" si="552"/>
        <v/>
      </c>
      <c r="EY88" s="6" t="str">
        <f t="shared" si="698"/>
        <v/>
      </c>
      <c r="EZ88" s="51" t="str">
        <f t="shared" si="699"/>
        <v/>
      </c>
      <c r="FA88" s="173" t="str">
        <f t="shared" si="553"/>
        <v/>
      </c>
      <c r="FB88" s="5" t="str">
        <f t="shared" si="554"/>
        <v/>
      </c>
      <c r="FC88" s="6" t="str">
        <f t="shared" si="555"/>
        <v/>
      </c>
      <c r="FD88" s="4" t="str">
        <f t="shared" si="556"/>
        <v/>
      </c>
      <c r="FE88" s="5" t="str">
        <f t="shared" si="557"/>
        <v/>
      </c>
      <c r="FF88" s="7" t="str">
        <f t="shared" si="700"/>
        <v/>
      </c>
      <c r="FG88" s="173" t="str">
        <f t="shared" si="558"/>
        <v/>
      </c>
      <c r="FH88" s="5" t="str">
        <f t="shared" si="559"/>
        <v/>
      </c>
      <c r="FI88" s="10" t="str">
        <f t="shared" si="560"/>
        <v/>
      </c>
      <c r="FJ88" s="279" t="str">
        <f t="shared" si="701"/>
        <v/>
      </c>
      <c r="FK88" s="4" t="str">
        <f t="shared" si="561"/>
        <v/>
      </c>
      <c r="FL88" s="5" t="str">
        <f t="shared" si="626"/>
        <v/>
      </c>
      <c r="FM88" s="8" t="str">
        <f t="shared" si="627"/>
        <v/>
      </c>
      <c r="FN88" s="9" t="str">
        <f t="shared" si="628"/>
        <v/>
      </c>
      <c r="FO88" s="10" t="str">
        <f t="shared" si="562"/>
        <v/>
      </c>
      <c r="FP88" s="277" t="str">
        <f t="shared" si="629"/>
        <v/>
      </c>
      <c r="FQ88" s="173" t="str">
        <f t="shared" si="702"/>
        <v/>
      </c>
      <c r="FR88" s="10" t="str">
        <f t="shared" si="703"/>
        <v/>
      </c>
      <c r="FS88" s="9" t="str">
        <f t="shared" si="704"/>
        <v/>
      </c>
      <c r="FT88" s="6" t="str">
        <f t="shared" si="705"/>
        <v/>
      </c>
      <c r="FU88" s="4" t="str">
        <f t="shared" si="706"/>
        <v/>
      </c>
      <c r="FV88" s="5" t="str">
        <f t="shared" si="707"/>
        <v/>
      </c>
      <c r="FW88" s="8" t="str">
        <f t="shared" si="708"/>
        <v/>
      </c>
      <c r="FX88" s="9" t="str">
        <f t="shared" si="709"/>
        <v/>
      </c>
      <c r="FY88" s="10" t="str">
        <f t="shared" si="563"/>
        <v/>
      </c>
      <c r="FZ88" s="277" t="str">
        <f t="shared" si="710"/>
        <v/>
      </c>
      <c r="GA88" s="177" t="str">
        <f t="shared" si="711"/>
        <v/>
      </c>
      <c r="GB88" s="4" t="str">
        <f t="shared" si="712"/>
        <v/>
      </c>
      <c r="GC88" s="5" t="str">
        <f t="shared" si="713"/>
        <v/>
      </c>
      <c r="GD88" s="10" t="str">
        <f t="shared" si="714"/>
        <v/>
      </c>
      <c r="GE88" s="311" t="str">
        <f t="shared" si="715"/>
        <v/>
      </c>
      <c r="GF88" s="341" t="str">
        <f t="shared" si="716"/>
        <v/>
      </c>
      <c r="GG88" s="285" t="str">
        <f t="shared" si="564"/>
        <v/>
      </c>
      <c r="GH88" s="286" t="str">
        <f t="shared" si="565"/>
        <v/>
      </c>
      <c r="GI88" s="281" t="str">
        <f t="shared" si="566"/>
        <v/>
      </c>
      <c r="GJ88" s="167" t="str">
        <f t="shared" si="717"/>
        <v/>
      </c>
      <c r="GK88" s="174" t="str">
        <f t="shared" si="567"/>
        <v/>
      </c>
      <c r="GL88" s="174" t="str">
        <f t="shared" si="718"/>
        <v/>
      </c>
      <c r="GM88" s="177" t="str">
        <f t="shared" si="719"/>
        <v/>
      </c>
      <c r="GN88" s="280" t="str">
        <f t="shared" si="720"/>
        <v/>
      </c>
      <c r="GO88" s="4" t="str">
        <f t="shared" si="721"/>
        <v/>
      </c>
      <c r="GP88" s="8" t="str">
        <f t="shared" si="722"/>
        <v/>
      </c>
      <c r="GQ88" s="177" t="str">
        <f t="shared" si="723"/>
        <v/>
      </c>
      <c r="GR88" s="371" t="str">
        <f t="shared" si="724"/>
        <v/>
      </c>
      <c r="GS88" s="342" t="str">
        <f t="shared" si="568"/>
        <v/>
      </c>
      <c r="GT88" s="343" t="str">
        <f t="shared" si="569"/>
        <v/>
      </c>
      <c r="GU88" s="344" t="str">
        <f t="shared" si="570"/>
        <v/>
      </c>
      <c r="GV88" s="343" t="str">
        <f t="shared" si="725"/>
        <v/>
      </c>
      <c r="GW88" s="345" t="str">
        <f t="shared" si="571"/>
        <v/>
      </c>
      <c r="GX88" s="346" t="str">
        <f t="shared" si="572"/>
        <v/>
      </c>
      <c r="GY88" s="344" t="str">
        <f t="shared" si="573"/>
        <v/>
      </c>
      <c r="GZ88" s="345" t="str">
        <f t="shared" si="574"/>
        <v/>
      </c>
      <c r="HA88" s="342" t="str">
        <f t="shared" si="575"/>
        <v/>
      </c>
      <c r="HB88" s="5" t="str">
        <f t="shared" si="726"/>
        <v/>
      </c>
      <c r="HC88" s="343" t="str">
        <f t="shared" si="727"/>
        <v/>
      </c>
      <c r="HD88" s="363" t="str">
        <f t="shared" si="728"/>
        <v/>
      </c>
      <c r="HE88" s="344" t="str">
        <f t="shared" si="576"/>
        <v/>
      </c>
      <c r="HF88" s="5" t="str">
        <f t="shared" si="577"/>
        <v/>
      </c>
      <c r="HG88" s="343" t="str">
        <f t="shared" si="729"/>
        <v/>
      </c>
      <c r="HH88" s="349" t="str">
        <f t="shared" si="730"/>
        <v/>
      </c>
      <c r="HI88" s="317" t="str">
        <f t="shared" si="578"/>
        <v/>
      </c>
      <c r="HK88" s="310" t="str">
        <f t="shared" si="630"/>
        <v/>
      </c>
      <c r="HL88" s="348" t="str">
        <f t="shared" si="579"/>
        <v/>
      </c>
      <c r="HM88" s="909" t="str">
        <f t="shared" si="580"/>
        <v/>
      </c>
      <c r="HN88" s="910" t="str">
        <f t="shared" si="581"/>
        <v/>
      </c>
      <c r="HO88" s="911"/>
      <c r="HP88" s="912"/>
      <c r="HQ88" s="910" t="str">
        <f t="shared" si="582"/>
        <v/>
      </c>
      <c r="HR88" s="913" t="str">
        <f t="shared" si="583"/>
        <v/>
      </c>
      <c r="HS88" s="865" t="str">
        <f t="shared" si="631"/>
        <v/>
      </c>
      <c r="HT88" s="875" t="str">
        <f t="shared" si="584"/>
        <v/>
      </c>
      <c r="HU88" s="876" t="str">
        <f t="shared" si="585"/>
        <v/>
      </c>
      <c r="HV88" s="872" t="str">
        <f t="shared" si="586"/>
        <v/>
      </c>
      <c r="HW88" s="866" t="str">
        <f t="shared" si="587"/>
        <v/>
      </c>
      <c r="HX88" s="867" t="str">
        <f t="shared" si="588"/>
        <v/>
      </c>
      <c r="HY88" s="866" t="str">
        <f t="shared" si="589"/>
        <v/>
      </c>
      <c r="HZ88" s="868" t="str">
        <f t="shared" si="590"/>
        <v/>
      </c>
      <c r="IA88" s="869" t="str">
        <f t="shared" si="591"/>
        <v/>
      </c>
      <c r="IB88" s="870" t="str">
        <f t="shared" si="592"/>
        <v/>
      </c>
      <c r="IC88" s="841" t="str">
        <f t="shared" si="593"/>
        <v/>
      </c>
      <c r="ID88" s="351" t="str">
        <f t="shared" si="594"/>
        <v/>
      </c>
      <c r="IE88" s="843" t="str">
        <f t="shared" si="595"/>
        <v/>
      </c>
      <c r="IF88" s="844"/>
      <c r="IG88" s="790" t="str">
        <f>IFERROR(IF($IW88="","",IF($IW88&lt;(((Settings!$C$19/2)*-1)*$IG$8),"Taper","Nose")),"")</f>
        <v/>
      </c>
      <c r="IH88" s="482" t="str">
        <f>IFERROR(IF((((($IY88*COS(RADIANS(180-$JA88)))*COS(RADIANS($JA88)))-(($IZ88*SIN(RADIANS(180-$JA88)))*SIN(RADIANS($JA88))))+$IW88)&lt;(((Settings!$C$19+$IH$8)/2)*-1),"Gage",""),"")</f>
        <v/>
      </c>
      <c r="II88" s="788">
        <f t="shared" si="731"/>
        <v>6.13</v>
      </c>
      <c r="IJ88" s="674" t="str" cm="1">
        <f t="array" ref="IJ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K88" s="677" t="str" cm="1">
        <f t="array" ref="IK88">IFERROR(ROUND(VALUE(IF($IJ88&lt;1,$IJ88+LARGE((IF($M$9:$M$150="",0,$M$9:$M$150)-MOD(IF($M$9:$M$150="",0,$M$9:$M$150),1)),1),$IJ88)),4),"")</f>
        <v/>
      </c>
      <c r="IL88" s="482">
        <f t="shared" si="596"/>
        <v>1613</v>
      </c>
      <c r="IM88" s="482" t="str">
        <f t="shared" si="732"/>
        <v/>
      </c>
      <c r="IN88" s="670" t="str">
        <f t="shared" si="597"/>
        <v/>
      </c>
      <c r="IO88" s="702"/>
      <c r="IP88" s="5" t="str">
        <f t="shared" si="598"/>
        <v/>
      </c>
      <c r="IQ88" s="714"/>
      <c r="IR88" s="9" t="str">
        <f t="shared" si="599"/>
        <v/>
      </c>
      <c r="IS88" s="5" t="str">
        <f t="shared" si="600"/>
        <v/>
      </c>
      <c r="IT88" s="5" t="str">
        <f t="shared" si="601"/>
        <v/>
      </c>
      <c r="IU88" s="5" t="str">
        <f t="shared" si="602"/>
        <v/>
      </c>
      <c r="IV88" s="670" t="str">
        <f t="shared" si="603"/>
        <v/>
      </c>
      <c r="IW88" s="9" t="str">
        <f t="shared" si="604"/>
        <v/>
      </c>
      <c r="IX88" s="5" t="str">
        <f t="shared" si="605"/>
        <v/>
      </c>
      <c r="IY88" s="5" t="str">
        <f t="shared" si="606"/>
        <v/>
      </c>
      <c r="IZ88" s="5" t="str">
        <f t="shared" si="607"/>
        <v/>
      </c>
      <c r="JA88" s="705" t="str">
        <f t="shared" si="608"/>
        <v/>
      </c>
    </row>
    <row r="89" spans="1:261" ht="15" customHeight="1" x14ac:dyDescent="0.25">
      <c r="A89" s="75">
        <f t="shared" si="256"/>
        <v>0.02</v>
      </c>
      <c r="B89" s="578">
        <f t="shared" si="515"/>
        <v>-4.0631364596484598</v>
      </c>
      <c r="C89" s="572">
        <f t="shared" si="516"/>
        <v>2.8709767457719542</v>
      </c>
      <c r="D89" s="576">
        <f t="shared" si="517"/>
        <v>-1.7486335618917748</v>
      </c>
      <c r="E89" s="580">
        <f t="shared" si="518"/>
        <v>-0.86894573790422225</v>
      </c>
      <c r="F89" s="572">
        <f t="shared" si="519"/>
        <v>-0.47581074018385494</v>
      </c>
      <c r="G89" s="579">
        <f t="shared" si="520"/>
        <v>0.13615228277109037</v>
      </c>
      <c r="H89" s="580">
        <f t="shared" si="521"/>
        <v>0.3125</v>
      </c>
      <c r="I89" s="572">
        <f t="shared" si="522"/>
        <v>0.52</v>
      </c>
      <c r="J89" s="483">
        <f t="shared" si="523"/>
        <v>6.1360000000000001</v>
      </c>
      <c r="K89" s="806">
        <f t="shared" si="524"/>
        <v>1613</v>
      </c>
      <c r="L89" s="309"/>
      <c r="M89" s="164">
        <f t="shared" si="526"/>
        <v>6.1360000000000001</v>
      </c>
      <c r="N89" s="575">
        <f t="shared" si="527"/>
        <v>-4.0631364596484598</v>
      </c>
      <c r="O89" s="572">
        <f t="shared" si="528"/>
        <v>2.8709767457719542</v>
      </c>
      <c r="P89" s="576">
        <f t="shared" si="529"/>
        <v>-1.7486335618917748</v>
      </c>
      <c r="Q89" s="528">
        <f t="shared" si="609"/>
        <v>144.75530623081272</v>
      </c>
      <c r="R89" s="572">
        <f t="shared" si="101"/>
        <v>4.9750965181077582</v>
      </c>
      <c r="S89" s="577">
        <f t="shared" si="102"/>
        <v>-1.7486335618917748</v>
      </c>
      <c r="T89" s="578">
        <f t="shared" si="103"/>
        <v>2.8401965937481335</v>
      </c>
      <c r="U89" s="572">
        <f t="shared" si="104"/>
        <v>4.0847115777432119</v>
      </c>
      <c r="V89" s="579">
        <f t="shared" si="141"/>
        <v>-1.7486335618917748</v>
      </c>
      <c r="W89" s="528">
        <f t="shared" si="735"/>
        <v>55.188197076683707</v>
      </c>
      <c r="X89" s="572">
        <f t="shared" si="105"/>
        <v>4.9750965181077582</v>
      </c>
      <c r="Y89" s="573">
        <f t="shared" si="733"/>
        <v>-1.7486335618917748</v>
      </c>
      <c r="Z89" s="575">
        <f t="shared" si="530"/>
        <v>0.86894573790422225</v>
      </c>
      <c r="AA89" s="572">
        <f t="shared" si="531"/>
        <v>0.47581074018385494</v>
      </c>
      <c r="AB89" s="572">
        <f t="shared" si="532"/>
        <v>-0.13615228277109037</v>
      </c>
      <c r="AC89" s="579">
        <f t="shared" si="106"/>
        <v>1</v>
      </c>
      <c r="AD89" s="580">
        <f t="shared" si="142"/>
        <v>0.86894573790422225</v>
      </c>
      <c r="AE89" s="572">
        <f t="shared" si="107"/>
        <v>0.47581074018385494</v>
      </c>
      <c r="AF89" s="576">
        <f t="shared" si="108"/>
        <v>-0.13615228277109037</v>
      </c>
      <c r="AG89" s="545">
        <f t="shared" si="109"/>
        <v>74.031633197405057</v>
      </c>
      <c r="AH89" s="546">
        <f t="shared" si="110"/>
        <v>29.663642376393533</v>
      </c>
      <c r="AI89" s="528">
        <f t="shared" si="111"/>
        <v>-82.174743911203365</v>
      </c>
      <c r="AJ89" s="529">
        <f t="shared" si="112"/>
        <v>118.70389826900866</v>
      </c>
      <c r="AK89" s="578">
        <f t="shared" si="238"/>
        <v>0.89003438568025506</v>
      </c>
      <c r="AL89" s="572">
        <f t="shared" si="113"/>
        <v>-0.43508774770497982</v>
      </c>
      <c r="AM89" s="577">
        <f t="shared" si="114"/>
        <v>-0.13615228277109037</v>
      </c>
      <c r="AN89" s="524">
        <f t="shared" si="115"/>
        <v>-72.623499997444313</v>
      </c>
      <c r="AO89" s="525">
        <f t="shared" si="525"/>
        <v>27.122431911212644</v>
      </c>
      <c r="AP89" s="528">
        <f t="shared" si="117"/>
        <v>-26.051407961804056</v>
      </c>
      <c r="AQ89" s="529">
        <f t="shared" si="533"/>
        <v>0.91637709317458382</v>
      </c>
      <c r="AS89" s="932">
        <f t="shared" si="632"/>
        <v>55.188197076683707</v>
      </c>
      <c r="AT89" s="928">
        <f t="shared" si="534"/>
        <v>-1.3290084164618319</v>
      </c>
      <c r="AU89" s="418"/>
      <c r="AV89" s="164" t="str">
        <f t="shared" si="535"/>
        <v/>
      </c>
      <c r="AW89" s="797" t="str">
        <f>IFERROR(INDEX(MassProp!C$9:C$150,MATCH($M89,MassProp!$B$9:$B$150,0)),"")</f>
        <v/>
      </c>
      <c r="AX89" s="744" t="str">
        <f>IFERROR(INDEX(MassProp!D$9:D$150,MATCH($M89,MassProp!$B$9:$B$150,0)),"")</f>
        <v/>
      </c>
      <c r="AY89" s="731" t="str">
        <f>IFERROR(INDEX(MassProp!E$9:E$150,MATCH($M89,MassProp!$B$9:$B$150,0)),"")</f>
        <v/>
      </c>
      <c r="AZ89" s="297" t="str">
        <f t="shared" si="633"/>
        <v/>
      </c>
      <c r="BA89" s="296" t="str">
        <f t="shared" si="536"/>
        <v/>
      </c>
      <c r="BB89" s="177" t="str">
        <f t="shared" si="610"/>
        <v/>
      </c>
      <c r="BC89" s="9"/>
      <c r="BD89" s="5" t="str">
        <f t="shared" si="611"/>
        <v/>
      </c>
      <c r="BE89" s="6" t="str">
        <f t="shared" si="537"/>
        <v/>
      </c>
      <c r="BF89" s="4" t="str">
        <f t="shared" si="538"/>
        <v/>
      </c>
      <c r="BG89" s="5" t="str">
        <f t="shared" si="539"/>
        <v/>
      </c>
      <c r="BH89" s="10" t="str">
        <f t="shared" si="540"/>
        <v/>
      </c>
      <c r="BI89" s="9" t="str">
        <f t="shared" si="634"/>
        <v/>
      </c>
      <c r="BJ89" s="5" t="str">
        <f t="shared" si="541"/>
        <v/>
      </c>
      <c r="BK89" s="8" t="str">
        <f t="shared" si="542"/>
        <v/>
      </c>
      <c r="BL89" s="173" t="str">
        <f t="shared" si="543"/>
        <v/>
      </c>
      <c r="BM89" s="5" t="str">
        <f t="shared" si="544"/>
        <v/>
      </c>
      <c r="BN89" s="6" t="str">
        <f t="shared" si="545"/>
        <v/>
      </c>
      <c r="BO89" s="4" t="str">
        <f t="shared" si="635"/>
        <v/>
      </c>
      <c r="BP89" s="5" t="str">
        <f t="shared" si="734"/>
        <v/>
      </c>
      <c r="BQ89" s="5" t="str">
        <f t="shared" si="636"/>
        <v/>
      </c>
      <c r="BR89" s="6" t="str">
        <f t="shared" si="637"/>
        <v/>
      </c>
      <c r="BS89" s="4" t="str">
        <f t="shared" si="612"/>
        <v/>
      </c>
      <c r="BT89" s="5" t="str">
        <f t="shared" si="612"/>
        <v/>
      </c>
      <c r="BU89" s="10" t="str">
        <f t="shared" si="613"/>
        <v/>
      </c>
      <c r="BV89" s="9" t="str">
        <f t="shared" si="614"/>
        <v/>
      </c>
      <c r="BW89" s="5" t="str">
        <f t="shared" si="615"/>
        <v/>
      </c>
      <c r="BX89" s="8" t="str">
        <f t="shared" si="616"/>
        <v/>
      </c>
      <c r="BY89" s="173" t="str">
        <f t="shared" si="617"/>
        <v/>
      </c>
      <c r="BZ89" s="5" t="str">
        <f t="shared" si="618"/>
        <v/>
      </c>
      <c r="CA89" s="6" t="str">
        <f t="shared" si="619"/>
        <v/>
      </c>
      <c r="CB89" s="4" t="str">
        <f t="shared" si="638"/>
        <v/>
      </c>
      <c r="CC89" s="5" t="str">
        <f t="shared" si="639"/>
        <v/>
      </c>
      <c r="CD89" s="5" t="str">
        <f t="shared" si="640"/>
        <v/>
      </c>
      <c r="CE89" s="6" t="str">
        <f t="shared" si="641"/>
        <v/>
      </c>
      <c r="CF89" s="4" t="str">
        <f t="shared" si="642"/>
        <v/>
      </c>
      <c r="CG89" s="5" t="str">
        <f t="shared" si="643"/>
        <v/>
      </c>
      <c r="CH89" s="5" t="str">
        <f t="shared" si="644"/>
        <v/>
      </c>
      <c r="CI89" s="4" t="str">
        <f t="shared" si="620"/>
        <v/>
      </c>
      <c r="CJ89" s="5" t="str">
        <f t="shared" si="621"/>
        <v/>
      </c>
      <c r="CK89" s="8" t="str">
        <f t="shared" si="622"/>
        <v/>
      </c>
      <c r="CL89" s="173" t="str">
        <f t="shared" si="623"/>
        <v/>
      </c>
      <c r="CM89" s="5" t="str">
        <f t="shared" si="624"/>
        <v/>
      </c>
      <c r="CN89" s="6" t="str">
        <f t="shared" si="625"/>
        <v/>
      </c>
      <c r="CO89" s="167" t="str">
        <f t="shared" si="546"/>
        <v/>
      </c>
      <c r="CP89" s="4" t="str">
        <f t="shared" si="645"/>
        <v/>
      </c>
      <c r="CQ89" s="5" t="str">
        <f t="shared" si="646"/>
        <v/>
      </c>
      <c r="CR89" s="5" t="str">
        <f t="shared" si="647"/>
        <v/>
      </c>
      <c r="CS89" s="8" t="str">
        <f t="shared" si="648"/>
        <v/>
      </c>
      <c r="CT89" s="9" t="str">
        <f t="shared" si="649"/>
        <v/>
      </c>
      <c r="CU89" s="6" t="str">
        <f t="shared" si="650"/>
        <v/>
      </c>
      <c r="CV89" s="4" t="str">
        <f t="shared" si="651"/>
        <v/>
      </c>
      <c r="CW89" s="5" t="str">
        <f t="shared" si="652"/>
        <v/>
      </c>
      <c r="CX89" s="8" t="str">
        <f t="shared" si="653"/>
        <v/>
      </c>
      <c r="CY89" s="9" t="str">
        <f t="shared" si="654"/>
        <v/>
      </c>
      <c r="CZ89" s="5" t="str">
        <f t="shared" si="655"/>
        <v/>
      </c>
      <c r="DA89" s="6" t="str">
        <f t="shared" si="656"/>
        <v/>
      </c>
      <c r="DB89" s="4" t="str">
        <f t="shared" si="657"/>
        <v/>
      </c>
      <c r="DC89" s="5" t="str">
        <f t="shared" si="657"/>
        <v/>
      </c>
      <c r="DD89" s="10" t="str">
        <f t="shared" si="658"/>
        <v/>
      </c>
      <c r="DE89" s="9" t="str">
        <f t="shared" si="659"/>
        <v/>
      </c>
      <c r="DF89" s="5" t="str">
        <f t="shared" si="659"/>
        <v/>
      </c>
      <c r="DG89" s="10" t="str">
        <f t="shared" si="660"/>
        <v/>
      </c>
      <c r="DH89" s="70" t="str">
        <f t="shared" si="661"/>
        <v/>
      </c>
      <c r="DI89" s="4" t="str">
        <f t="shared" si="662"/>
        <v/>
      </c>
      <c r="DJ89" s="5" t="str">
        <f t="shared" si="663"/>
        <v/>
      </c>
      <c r="DK89" s="10" t="str">
        <f t="shared" si="664"/>
        <v/>
      </c>
      <c r="DL89" s="9" t="str">
        <f t="shared" si="665"/>
        <v/>
      </c>
      <c r="DM89" s="173" t="str">
        <f t="shared" si="666"/>
        <v/>
      </c>
      <c r="DN89" s="178" t="str">
        <f t="shared" si="667"/>
        <v/>
      </c>
      <c r="DO89" s="9" t="str">
        <f t="shared" si="668"/>
        <v/>
      </c>
      <c r="DP89" s="173" t="str">
        <f t="shared" si="669"/>
        <v/>
      </c>
      <c r="DQ89" s="11" t="str">
        <f t="shared" si="670"/>
        <v/>
      </c>
      <c r="DR89" s="173" t="str">
        <f t="shared" si="671"/>
        <v/>
      </c>
      <c r="DS89" s="5" t="str">
        <f t="shared" si="672"/>
        <v/>
      </c>
      <c r="DT89" s="5" t="str">
        <f t="shared" si="673"/>
        <v/>
      </c>
      <c r="DU89" s="5" t="str">
        <f t="shared" si="674"/>
        <v/>
      </c>
      <c r="DV89" s="5" t="str">
        <f t="shared" si="675"/>
        <v/>
      </c>
      <c r="DW89" s="5" t="str">
        <f t="shared" si="676"/>
        <v/>
      </c>
      <c r="DX89" s="167" t="str">
        <f t="shared" si="677"/>
        <v/>
      </c>
      <c r="DY89" s="9" t="str">
        <f t="shared" si="678"/>
        <v/>
      </c>
      <c r="DZ89" s="5" t="str">
        <f t="shared" si="679"/>
        <v/>
      </c>
      <c r="EA89" s="10" t="str">
        <f t="shared" si="680"/>
        <v/>
      </c>
      <c r="EB89" s="6" t="str">
        <f t="shared" si="681"/>
        <v/>
      </c>
      <c r="EC89" s="173" t="str">
        <f t="shared" si="682"/>
        <v/>
      </c>
      <c r="ED89" s="5" t="str">
        <f t="shared" si="683"/>
        <v/>
      </c>
      <c r="EE89" s="4" t="str">
        <f t="shared" si="684"/>
        <v/>
      </c>
      <c r="EF89" s="5" t="str">
        <f t="shared" si="685"/>
        <v/>
      </c>
      <c r="EG89" s="10" t="str">
        <f t="shared" si="686"/>
        <v/>
      </c>
      <c r="EH89" s="9" t="str">
        <f t="shared" si="687"/>
        <v/>
      </c>
      <c r="EI89" s="5" t="str">
        <f t="shared" si="688"/>
        <v/>
      </c>
      <c r="EJ89" s="6" t="str">
        <f t="shared" si="689"/>
        <v/>
      </c>
      <c r="EK89" s="236" t="str">
        <f t="shared" si="690"/>
        <v/>
      </c>
      <c r="EL89" s="238" t="str">
        <f t="shared" si="691"/>
        <v/>
      </c>
      <c r="EM89" s="4" t="str">
        <f t="shared" si="692"/>
        <v/>
      </c>
      <c r="EN89" s="5" t="str">
        <f t="shared" si="693"/>
        <v/>
      </c>
      <c r="EO89" s="10" t="str">
        <f t="shared" si="694"/>
        <v/>
      </c>
      <c r="EP89" s="9" t="str">
        <f t="shared" si="695"/>
        <v/>
      </c>
      <c r="EQ89" s="5" t="str">
        <f t="shared" si="696"/>
        <v/>
      </c>
      <c r="ER89" s="7" t="str">
        <f t="shared" si="697"/>
        <v/>
      </c>
      <c r="ES89" s="21" t="str">
        <f t="shared" si="547"/>
        <v/>
      </c>
      <c r="ET89" s="5" t="str">
        <f t="shared" si="548"/>
        <v/>
      </c>
      <c r="EU89" s="10" t="str">
        <f t="shared" si="549"/>
        <v/>
      </c>
      <c r="EV89" s="174" t="str">
        <f t="shared" si="550"/>
        <v/>
      </c>
      <c r="EW89" s="9" t="str">
        <f t="shared" si="551"/>
        <v/>
      </c>
      <c r="EX89" s="5" t="str">
        <f t="shared" si="552"/>
        <v/>
      </c>
      <c r="EY89" s="6" t="str">
        <f t="shared" si="698"/>
        <v/>
      </c>
      <c r="EZ89" s="51" t="str">
        <f t="shared" si="699"/>
        <v/>
      </c>
      <c r="FA89" s="173" t="str">
        <f t="shared" si="553"/>
        <v/>
      </c>
      <c r="FB89" s="5" t="str">
        <f t="shared" si="554"/>
        <v/>
      </c>
      <c r="FC89" s="6" t="str">
        <f t="shared" si="555"/>
        <v/>
      </c>
      <c r="FD89" s="4" t="str">
        <f t="shared" si="556"/>
        <v/>
      </c>
      <c r="FE89" s="5" t="str">
        <f t="shared" si="557"/>
        <v/>
      </c>
      <c r="FF89" s="7" t="str">
        <f t="shared" si="700"/>
        <v/>
      </c>
      <c r="FG89" s="173" t="str">
        <f t="shared" si="558"/>
        <v/>
      </c>
      <c r="FH89" s="5" t="str">
        <f t="shared" si="559"/>
        <v/>
      </c>
      <c r="FI89" s="10" t="str">
        <f t="shared" si="560"/>
        <v/>
      </c>
      <c r="FJ89" s="279" t="str">
        <f t="shared" si="701"/>
        <v/>
      </c>
      <c r="FK89" s="4" t="str">
        <f t="shared" si="561"/>
        <v/>
      </c>
      <c r="FL89" s="5" t="str">
        <f t="shared" si="626"/>
        <v/>
      </c>
      <c r="FM89" s="8" t="str">
        <f t="shared" si="627"/>
        <v/>
      </c>
      <c r="FN89" s="9" t="str">
        <f t="shared" si="628"/>
        <v/>
      </c>
      <c r="FO89" s="10" t="str">
        <f t="shared" si="562"/>
        <v/>
      </c>
      <c r="FP89" s="277" t="str">
        <f t="shared" si="629"/>
        <v/>
      </c>
      <c r="FQ89" s="173" t="str">
        <f t="shared" si="702"/>
        <v/>
      </c>
      <c r="FR89" s="10" t="str">
        <f t="shared" si="703"/>
        <v/>
      </c>
      <c r="FS89" s="9" t="str">
        <f t="shared" si="704"/>
        <v/>
      </c>
      <c r="FT89" s="6" t="str">
        <f t="shared" si="705"/>
        <v/>
      </c>
      <c r="FU89" s="4" t="str">
        <f t="shared" si="706"/>
        <v/>
      </c>
      <c r="FV89" s="5" t="str">
        <f t="shared" si="707"/>
        <v/>
      </c>
      <c r="FW89" s="8" t="str">
        <f t="shared" si="708"/>
        <v/>
      </c>
      <c r="FX89" s="9" t="str">
        <f t="shared" si="709"/>
        <v/>
      </c>
      <c r="FY89" s="10" t="str">
        <f t="shared" si="563"/>
        <v/>
      </c>
      <c r="FZ89" s="277" t="str">
        <f t="shared" si="710"/>
        <v/>
      </c>
      <c r="GA89" s="177" t="str">
        <f t="shared" si="711"/>
        <v/>
      </c>
      <c r="GB89" s="4" t="str">
        <f t="shared" si="712"/>
        <v/>
      </c>
      <c r="GC89" s="5" t="str">
        <f t="shared" si="713"/>
        <v/>
      </c>
      <c r="GD89" s="10" t="str">
        <f t="shared" si="714"/>
        <v/>
      </c>
      <c r="GE89" s="311" t="str">
        <f t="shared" si="715"/>
        <v/>
      </c>
      <c r="GF89" s="341" t="str">
        <f t="shared" si="716"/>
        <v/>
      </c>
      <c r="GG89" s="285" t="str">
        <f t="shared" si="564"/>
        <v/>
      </c>
      <c r="GH89" s="286" t="str">
        <f t="shared" si="565"/>
        <v/>
      </c>
      <c r="GI89" s="281" t="str">
        <f t="shared" si="566"/>
        <v/>
      </c>
      <c r="GJ89" s="167" t="str">
        <f t="shared" si="717"/>
        <v/>
      </c>
      <c r="GK89" s="174" t="str">
        <f t="shared" si="567"/>
        <v/>
      </c>
      <c r="GL89" s="174" t="str">
        <f t="shared" si="718"/>
        <v/>
      </c>
      <c r="GM89" s="177" t="str">
        <f t="shared" si="719"/>
        <v/>
      </c>
      <c r="GN89" s="280" t="str">
        <f t="shared" si="720"/>
        <v/>
      </c>
      <c r="GO89" s="4" t="str">
        <f t="shared" si="721"/>
        <v/>
      </c>
      <c r="GP89" s="8" t="str">
        <f t="shared" si="722"/>
        <v/>
      </c>
      <c r="GQ89" s="177" t="str">
        <f t="shared" si="723"/>
        <v/>
      </c>
      <c r="GR89" s="371" t="str">
        <f t="shared" si="724"/>
        <v/>
      </c>
      <c r="GS89" s="342" t="str">
        <f t="shared" si="568"/>
        <v/>
      </c>
      <c r="GT89" s="343" t="str">
        <f t="shared" si="569"/>
        <v/>
      </c>
      <c r="GU89" s="344" t="str">
        <f t="shared" si="570"/>
        <v/>
      </c>
      <c r="GV89" s="343" t="str">
        <f t="shared" si="725"/>
        <v/>
      </c>
      <c r="GW89" s="345" t="str">
        <f t="shared" si="571"/>
        <v/>
      </c>
      <c r="GX89" s="346" t="str">
        <f t="shared" si="572"/>
        <v/>
      </c>
      <c r="GY89" s="344" t="str">
        <f t="shared" si="573"/>
        <v/>
      </c>
      <c r="GZ89" s="345" t="str">
        <f t="shared" si="574"/>
        <v/>
      </c>
      <c r="HA89" s="342" t="str">
        <f t="shared" si="575"/>
        <v/>
      </c>
      <c r="HB89" s="5" t="str">
        <f t="shared" si="726"/>
        <v/>
      </c>
      <c r="HC89" s="343" t="str">
        <f t="shared" si="727"/>
        <v/>
      </c>
      <c r="HD89" s="363" t="str">
        <f t="shared" si="728"/>
        <v/>
      </c>
      <c r="HE89" s="344" t="str">
        <f t="shared" si="576"/>
        <v/>
      </c>
      <c r="HF89" s="5" t="str">
        <f t="shared" si="577"/>
        <v/>
      </c>
      <c r="HG89" s="343" t="str">
        <f t="shared" si="729"/>
        <v/>
      </c>
      <c r="HH89" s="349" t="str">
        <f t="shared" si="730"/>
        <v/>
      </c>
      <c r="HI89" s="317" t="str">
        <f t="shared" si="578"/>
        <v/>
      </c>
      <c r="HK89" s="310" t="str">
        <f t="shared" si="630"/>
        <v/>
      </c>
      <c r="HL89" s="348" t="str">
        <f t="shared" si="579"/>
        <v/>
      </c>
      <c r="HM89" s="909" t="str">
        <f t="shared" si="580"/>
        <v/>
      </c>
      <c r="HN89" s="910" t="str">
        <f t="shared" si="581"/>
        <v/>
      </c>
      <c r="HO89" s="911"/>
      <c r="HP89" s="912"/>
      <c r="HQ89" s="910" t="str">
        <f t="shared" si="582"/>
        <v/>
      </c>
      <c r="HR89" s="913" t="str">
        <f t="shared" si="583"/>
        <v/>
      </c>
      <c r="HS89" s="865" t="str">
        <f t="shared" si="631"/>
        <v/>
      </c>
      <c r="HT89" s="875" t="str">
        <f t="shared" si="584"/>
        <v/>
      </c>
      <c r="HU89" s="876" t="str">
        <f t="shared" si="585"/>
        <v/>
      </c>
      <c r="HV89" s="872" t="str">
        <f t="shared" si="586"/>
        <v/>
      </c>
      <c r="HW89" s="866" t="str">
        <f t="shared" si="587"/>
        <v/>
      </c>
      <c r="HX89" s="867" t="str">
        <f t="shared" si="588"/>
        <v/>
      </c>
      <c r="HY89" s="866" t="str">
        <f t="shared" si="589"/>
        <v/>
      </c>
      <c r="HZ89" s="868" t="str">
        <f t="shared" si="590"/>
        <v/>
      </c>
      <c r="IA89" s="869" t="str">
        <f t="shared" si="591"/>
        <v/>
      </c>
      <c r="IB89" s="870" t="str">
        <f t="shared" si="592"/>
        <v/>
      </c>
      <c r="IC89" s="841" t="str">
        <f t="shared" si="593"/>
        <v/>
      </c>
      <c r="ID89" s="351" t="str">
        <f t="shared" si="594"/>
        <v/>
      </c>
      <c r="IE89" s="843" t="str">
        <f t="shared" si="595"/>
        <v/>
      </c>
      <c r="IF89" s="844"/>
      <c r="IG89" s="790" t="str">
        <f>IFERROR(IF($IW89="","",IF($IW89&lt;(((Settings!$C$19/2)*-1)*$IG$8),"Taper","Nose")),"")</f>
        <v/>
      </c>
      <c r="IH89" s="482" t="str">
        <f>IFERROR(IF((((($IY89*COS(RADIANS(180-$JA89)))*COS(RADIANS($JA89)))-(($IZ89*SIN(RADIANS(180-$JA89)))*SIN(RADIANS($JA89))))+$IW89)&lt;(((Settings!$C$19+$IH$8)/2)*-1),"Gage",""),"")</f>
        <v/>
      </c>
      <c r="II89" s="788">
        <f t="shared" si="731"/>
        <v>6.1360000000000001</v>
      </c>
      <c r="IJ89" s="674" t="str" cm="1">
        <f t="array" ref="IJ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K89" s="677" t="str" cm="1">
        <f t="array" ref="IK89">IFERROR(ROUND(VALUE(IF($IJ89&lt;1,$IJ89+LARGE((IF($M$9:$M$150="",0,$M$9:$M$150)-MOD(IF($M$9:$M$150="",0,$M$9:$M$150),1)),1),$IJ89)),4),"")</f>
        <v/>
      </c>
      <c r="IL89" s="482">
        <f t="shared" si="596"/>
        <v>1613</v>
      </c>
      <c r="IM89" s="482" t="str">
        <f t="shared" si="732"/>
        <v/>
      </c>
      <c r="IN89" s="670" t="str">
        <f t="shared" si="597"/>
        <v/>
      </c>
      <c r="IO89" s="702"/>
      <c r="IP89" s="5" t="str">
        <f t="shared" si="598"/>
        <v/>
      </c>
      <c r="IQ89" s="714"/>
      <c r="IR89" s="9" t="str">
        <f t="shared" si="599"/>
        <v/>
      </c>
      <c r="IS89" s="5" t="str">
        <f t="shared" si="600"/>
        <v/>
      </c>
      <c r="IT89" s="5" t="str">
        <f t="shared" si="601"/>
        <v/>
      </c>
      <c r="IU89" s="5" t="str">
        <f t="shared" si="602"/>
        <v/>
      </c>
      <c r="IV89" s="670" t="str">
        <f t="shared" si="603"/>
        <v/>
      </c>
      <c r="IW89" s="9" t="str">
        <f t="shared" si="604"/>
        <v/>
      </c>
      <c r="IX89" s="5" t="str">
        <f t="shared" si="605"/>
        <v/>
      </c>
      <c r="IY89" s="5" t="str">
        <f t="shared" si="606"/>
        <v/>
      </c>
      <c r="IZ89" s="5" t="str">
        <f t="shared" si="607"/>
        <v/>
      </c>
      <c r="JA89" s="705" t="str">
        <f t="shared" si="608"/>
        <v/>
      </c>
    </row>
    <row r="90" spans="1:261" ht="15" customHeight="1" x14ac:dyDescent="0.25">
      <c r="A90" s="75">
        <f t="shared" si="256"/>
        <v>0.02</v>
      </c>
      <c r="B90" s="578">
        <f t="shared" si="515"/>
        <v>-4.1016365744610725</v>
      </c>
      <c r="C90" s="572">
        <f t="shared" si="516"/>
        <v>2.906432054595856</v>
      </c>
      <c r="D90" s="576">
        <f t="shared" si="517"/>
        <v>-2.5090861683839214</v>
      </c>
      <c r="E90" s="580">
        <f t="shared" si="518"/>
        <v>-0.90552443723870402</v>
      </c>
      <c r="F90" s="572">
        <f t="shared" si="519"/>
        <v>-0.42205290684618751</v>
      </c>
      <c r="G90" s="579">
        <f t="shared" si="520"/>
        <v>4.3552696658322884E-2</v>
      </c>
      <c r="H90" s="580">
        <f t="shared" si="521"/>
        <v>0.3125</v>
      </c>
      <c r="I90" s="572">
        <f t="shared" si="522"/>
        <v>0.52</v>
      </c>
      <c r="J90" s="483">
        <f t="shared" si="523"/>
        <v>6.1420000000000003</v>
      </c>
      <c r="K90" s="806">
        <f t="shared" si="524"/>
        <v>1613</v>
      </c>
      <c r="L90" s="309"/>
      <c r="M90" s="164">
        <f t="shared" si="526"/>
        <v>6.1420000000000003</v>
      </c>
      <c r="N90" s="575">
        <f t="shared" si="527"/>
        <v>-4.1016365744610725</v>
      </c>
      <c r="O90" s="572">
        <f t="shared" si="528"/>
        <v>2.906432054595856</v>
      </c>
      <c r="P90" s="576">
        <f t="shared" si="529"/>
        <v>-2.5090861683839214</v>
      </c>
      <c r="Q90" s="528">
        <f t="shared" si="609"/>
        <v>144.67849859007771</v>
      </c>
      <c r="R90" s="572">
        <f t="shared" si="101"/>
        <v>5.0270040657372705</v>
      </c>
      <c r="S90" s="577">
        <f t="shared" si="102"/>
        <v>-2.5090861683839214</v>
      </c>
      <c r="T90" s="578">
        <f t="shared" si="103"/>
        <v>2.8753600107514186</v>
      </c>
      <c r="U90" s="572">
        <f t="shared" si="104"/>
        <v>4.1234784691460016</v>
      </c>
      <c r="V90" s="579">
        <f t="shared" si="141"/>
        <v>-2.5090861683839214</v>
      </c>
      <c r="W90" s="528">
        <f t="shared" si="735"/>
        <v>55.111389435948695</v>
      </c>
      <c r="X90" s="572">
        <f t="shared" si="105"/>
        <v>5.0270040657372705</v>
      </c>
      <c r="Y90" s="573">
        <f t="shared" si="733"/>
        <v>-2.5090861683839214</v>
      </c>
      <c r="Z90" s="575">
        <f t="shared" si="530"/>
        <v>0.90552443723870402</v>
      </c>
      <c r="AA90" s="572">
        <f t="shared" si="531"/>
        <v>0.42205290684618751</v>
      </c>
      <c r="AB90" s="572">
        <f t="shared" si="532"/>
        <v>-4.3552696658322884E-2</v>
      </c>
      <c r="AC90" s="579">
        <f t="shared" si="106"/>
        <v>1</v>
      </c>
      <c r="AD90" s="580">
        <f t="shared" si="142"/>
        <v>0.90552443723870402</v>
      </c>
      <c r="AE90" s="572">
        <f t="shared" si="107"/>
        <v>0.42205290684618751</v>
      </c>
      <c r="AF90" s="576">
        <f t="shared" si="108"/>
        <v>-4.3552696658322884E-2</v>
      </c>
      <c r="AG90" s="545">
        <f t="shared" si="109"/>
        <v>84.108358695767961</v>
      </c>
      <c r="AH90" s="546">
        <f t="shared" si="110"/>
        <v>25.105991188442996</v>
      </c>
      <c r="AI90" s="528">
        <f t="shared" si="111"/>
        <v>-87.50382473077525</v>
      </c>
      <c r="AJ90" s="529">
        <f t="shared" si="112"/>
        <v>114.98960082553347</v>
      </c>
      <c r="AK90" s="578">
        <f t="shared" si="238"/>
        <v>0.8679031949516629</v>
      </c>
      <c r="AL90" s="572">
        <f t="shared" si="113"/>
        <v>-0.49482037832579612</v>
      </c>
      <c r="AM90" s="577">
        <f t="shared" si="114"/>
        <v>-4.3552696658322884E-2</v>
      </c>
      <c r="AN90" s="524">
        <f t="shared" si="115"/>
        <v>-84.96994937215598</v>
      </c>
      <c r="AO90" s="525">
        <f t="shared" si="525"/>
        <v>29.78411602484832</v>
      </c>
      <c r="AP90" s="528">
        <f t="shared" si="117"/>
        <v>-29.688897764544247</v>
      </c>
      <c r="AQ90" s="529">
        <f t="shared" si="533"/>
        <v>0.90691640828340914</v>
      </c>
      <c r="AS90" s="932">
        <f t="shared" si="632"/>
        <v>55.111389435948695</v>
      </c>
      <c r="AT90" s="928">
        <f t="shared" si="534"/>
        <v>-2.0893543456751797</v>
      </c>
      <c r="AU90" s="418"/>
      <c r="AV90" s="164" t="str">
        <f t="shared" si="535"/>
        <v/>
      </c>
      <c r="AW90" s="797" t="str">
        <f>IFERROR(INDEX(MassProp!C$9:C$150,MATCH($M90,MassProp!$B$9:$B$150,0)),"")</f>
        <v/>
      </c>
      <c r="AX90" s="744" t="str">
        <f>IFERROR(INDEX(MassProp!D$9:D$150,MATCH($M90,MassProp!$B$9:$B$150,0)),"")</f>
        <v/>
      </c>
      <c r="AY90" s="731" t="str">
        <f>IFERROR(INDEX(MassProp!E$9:E$150,MATCH($M90,MassProp!$B$9:$B$150,0)),"")</f>
        <v/>
      </c>
      <c r="AZ90" s="297" t="str">
        <f t="shared" si="633"/>
        <v/>
      </c>
      <c r="BA90" s="296" t="str">
        <f t="shared" si="536"/>
        <v/>
      </c>
      <c r="BB90" s="177" t="str">
        <f t="shared" si="610"/>
        <v/>
      </c>
      <c r="BC90" s="9"/>
      <c r="BD90" s="5" t="str">
        <f t="shared" si="611"/>
        <v/>
      </c>
      <c r="BE90" s="6" t="str">
        <f t="shared" si="537"/>
        <v/>
      </c>
      <c r="BF90" s="4" t="str">
        <f t="shared" si="538"/>
        <v/>
      </c>
      <c r="BG90" s="5" t="str">
        <f t="shared" si="539"/>
        <v/>
      </c>
      <c r="BH90" s="10" t="str">
        <f t="shared" si="540"/>
        <v/>
      </c>
      <c r="BI90" s="9" t="str">
        <f t="shared" si="634"/>
        <v/>
      </c>
      <c r="BJ90" s="5" t="str">
        <f t="shared" si="541"/>
        <v/>
      </c>
      <c r="BK90" s="8" t="str">
        <f t="shared" si="542"/>
        <v/>
      </c>
      <c r="BL90" s="173" t="str">
        <f t="shared" si="543"/>
        <v/>
      </c>
      <c r="BM90" s="5" t="str">
        <f t="shared" si="544"/>
        <v/>
      </c>
      <c r="BN90" s="6" t="str">
        <f t="shared" si="545"/>
        <v/>
      </c>
      <c r="BO90" s="4" t="str">
        <f t="shared" si="635"/>
        <v/>
      </c>
      <c r="BP90" s="5" t="str">
        <f t="shared" si="734"/>
        <v/>
      </c>
      <c r="BQ90" s="5" t="str">
        <f t="shared" si="636"/>
        <v/>
      </c>
      <c r="BR90" s="6" t="str">
        <f t="shared" si="637"/>
        <v/>
      </c>
      <c r="BS90" s="4" t="str">
        <f t="shared" si="612"/>
        <v/>
      </c>
      <c r="BT90" s="5" t="str">
        <f t="shared" si="612"/>
        <v/>
      </c>
      <c r="BU90" s="10" t="str">
        <f t="shared" si="613"/>
        <v/>
      </c>
      <c r="BV90" s="9" t="str">
        <f t="shared" si="614"/>
        <v/>
      </c>
      <c r="BW90" s="5" t="str">
        <f t="shared" si="615"/>
        <v/>
      </c>
      <c r="BX90" s="8" t="str">
        <f t="shared" si="616"/>
        <v/>
      </c>
      <c r="BY90" s="173" t="str">
        <f t="shared" si="617"/>
        <v/>
      </c>
      <c r="BZ90" s="5" t="str">
        <f t="shared" si="618"/>
        <v/>
      </c>
      <c r="CA90" s="6" t="str">
        <f t="shared" si="619"/>
        <v/>
      </c>
      <c r="CB90" s="4" t="str">
        <f t="shared" si="638"/>
        <v/>
      </c>
      <c r="CC90" s="5" t="str">
        <f t="shared" si="639"/>
        <v/>
      </c>
      <c r="CD90" s="5" t="str">
        <f t="shared" si="640"/>
        <v/>
      </c>
      <c r="CE90" s="6" t="str">
        <f t="shared" si="641"/>
        <v/>
      </c>
      <c r="CF90" s="4" t="str">
        <f t="shared" si="642"/>
        <v/>
      </c>
      <c r="CG90" s="5" t="str">
        <f t="shared" si="643"/>
        <v/>
      </c>
      <c r="CH90" s="5" t="str">
        <f t="shared" si="644"/>
        <v/>
      </c>
      <c r="CI90" s="4" t="str">
        <f t="shared" si="620"/>
        <v/>
      </c>
      <c r="CJ90" s="5" t="str">
        <f t="shared" si="621"/>
        <v/>
      </c>
      <c r="CK90" s="8" t="str">
        <f t="shared" si="622"/>
        <v/>
      </c>
      <c r="CL90" s="173" t="str">
        <f t="shared" si="623"/>
        <v/>
      </c>
      <c r="CM90" s="5" t="str">
        <f t="shared" si="624"/>
        <v/>
      </c>
      <c r="CN90" s="6" t="str">
        <f t="shared" si="625"/>
        <v/>
      </c>
      <c r="CO90" s="167" t="str">
        <f t="shared" si="546"/>
        <v/>
      </c>
      <c r="CP90" s="4" t="str">
        <f t="shared" si="645"/>
        <v/>
      </c>
      <c r="CQ90" s="5" t="str">
        <f t="shared" si="646"/>
        <v/>
      </c>
      <c r="CR90" s="5" t="str">
        <f t="shared" si="647"/>
        <v/>
      </c>
      <c r="CS90" s="8" t="str">
        <f t="shared" si="648"/>
        <v/>
      </c>
      <c r="CT90" s="9" t="str">
        <f t="shared" si="649"/>
        <v/>
      </c>
      <c r="CU90" s="6" t="str">
        <f t="shared" si="650"/>
        <v/>
      </c>
      <c r="CV90" s="4" t="str">
        <f t="shared" si="651"/>
        <v/>
      </c>
      <c r="CW90" s="5" t="str">
        <f t="shared" si="652"/>
        <v/>
      </c>
      <c r="CX90" s="8" t="str">
        <f t="shared" si="653"/>
        <v/>
      </c>
      <c r="CY90" s="9" t="str">
        <f t="shared" si="654"/>
        <v/>
      </c>
      <c r="CZ90" s="5" t="str">
        <f t="shared" si="655"/>
        <v/>
      </c>
      <c r="DA90" s="6" t="str">
        <f t="shared" si="656"/>
        <v/>
      </c>
      <c r="DB90" s="4" t="str">
        <f t="shared" si="657"/>
        <v/>
      </c>
      <c r="DC90" s="5" t="str">
        <f t="shared" si="657"/>
        <v/>
      </c>
      <c r="DD90" s="10" t="str">
        <f t="shared" si="658"/>
        <v/>
      </c>
      <c r="DE90" s="9" t="str">
        <f t="shared" si="659"/>
        <v/>
      </c>
      <c r="DF90" s="5" t="str">
        <f t="shared" si="659"/>
        <v/>
      </c>
      <c r="DG90" s="10" t="str">
        <f t="shared" si="660"/>
        <v/>
      </c>
      <c r="DH90" s="70" t="str">
        <f t="shared" si="661"/>
        <v/>
      </c>
      <c r="DI90" s="4" t="str">
        <f t="shared" si="662"/>
        <v/>
      </c>
      <c r="DJ90" s="5" t="str">
        <f t="shared" si="663"/>
        <v/>
      </c>
      <c r="DK90" s="10" t="str">
        <f t="shared" si="664"/>
        <v/>
      </c>
      <c r="DL90" s="9" t="str">
        <f t="shared" si="665"/>
        <v/>
      </c>
      <c r="DM90" s="173" t="str">
        <f t="shared" si="666"/>
        <v/>
      </c>
      <c r="DN90" s="178" t="str">
        <f t="shared" si="667"/>
        <v/>
      </c>
      <c r="DO90" s="9" t="str">
        <f t="shared" si="668"/>
        <v/>
      </c>
      <c r="DP90" s="173" t="str">
        <f t="shared" si="669"/>
        <v/>
      </c>
      <c r="DQ90" s="11" t="str">
        <f t="shared" si="670"/>
        <v/>
      </c>
      <c r="DR90" s="173" t="str">
        <f t="shared" si="671"/>
        <v/>
      </c>
      <c r="DS90" s="5" t="str">
        <f t="shared" si="672"/>
        <v/>
      </c>
      <c r="DT90" s="5" t="str">
        <f t="shared" si="673"/>
        <v/>
      </c>
      <c r="DU90" s="5" t="str">
        <f t="shared" si="674"/>
        <v/>
      </c>
      <c r="DV90" s="5" t="str">
        <f t="shared" si="675"/>
        <v/>
      </c>
      <c r="DW90" s="5" t="str">
        <f t="shared" si="676"/>
        <v/>
      </c>
      <c r="DX90" s="167" t="str">
        <f t="shared" si="677"/>
        <v/>
      </c>
      <c r="DY90" s="9" t="str">
        <f t="shared" si="678"/>
        <v/>
      </c>
      <c r="DZ90" s="5" t="str">
        <f t="shared" si="679"/>
        <v/>
      </c>
      <c r="EA90" s="10" t="str">
        <f t="shared" si="680"/>
        <v/>
      </c>
      <c r="EB90" s="6" t="str">
        <f t="shared" si="681"/>
        <v/>
      </c>
      <c r="EC90" s="173" t="str">
        <f t="shared" si="682"/>
        <v/>
      </c>
      <c r="ED90" s="5" t="str">
        <f t="shared" si="683"/>
        <v/>
      </c>
      <c r="EE90" s="4" t="str">
        <f t="shared" si="684"/>
        <v/>
      </c>
      <c r="EF90" s="5" t="str">
        <f t="shared" si="685"/>
        <v/>
      </c>
      <c r="EG90" s="10" t="str">
        <f t="shared" si="686"/>
        <v/>
      </c>
      <c r="EH90" s="9" t="str">
        <f t="shared" si="687"/>
        <v/>
      </c>
      <c r="EI90" s="5" t="str">
        <f t="shared" si="688"/>
        <v/>
      </c>
      <c r="EJ90" s="6" t="str">
        <f t="shared" si="689"/>
        <v/>
      </c>
      <c r="EK90" s="236" t="str">
        <f t="shared" si="690"/>
        <v/>
      </c>
      <c r="EL90" s="238" t="str">
        <f t="shared" si="691"/>
        <v/>
      </c>
      <c r="EM90" s="4" t="str">
        <f t="shared" si="692"/>
        <v/>
      </c>
      <c r="EN90" s="5" t="str">
        <f t="shared" si="693"/>
        <v/>
      </c>
      <c r="EO90" s="10" t="str">
        <f t="shared" si="694"/>
        <v/>
      </c>
      <c r="EP90" s="9" t="str">
        <f t="shared" si="695"/>
        <v/>
      </c>
      <c r="EQ90" s="5" t="str">
        <f t="shared" si="696"/>
        <v/>
      </c>
      <c r="ER90" s="7" t="str">
        <f t="shared" si="697"/>
        <v/>
      </c>
      <c r="ES90" s="21" t="str">
        <f t="shared" si="547"/>
        <v/>
      </c>
      <c r="ET90" s="5" t="str">
        <f t="shared" si="548"/>
        <v/>
      </c>
      <c r="EU90" s="10" t="str">
        <f t="shared" si="549"/>
        <v/>
      </c>
      <c r="EV90" s="174" t="str">
        <f t="shared" si="550"/>
        <v/>
      </c>
      <c r="EW90" s="9" t="str">
        <f t="shared" si="551"/>
        <v/>
      </c>
      <c r="EX90" s="5" t="str">
        <f t="shared" si="552"/>
        <v/>
      </c>
      <c r="EY90" s="6" t="str">
        <f t="shared" si="698"/>
        <v/>
      </c>
      <c r="EZ90" s="51" t="str">
        <f t="shared" si="699"/>
        <v/>
      </c>
      <c r="FA90" s="173" t="str">
        <f t="shared" si="553"/>
        <v/>
      </c>
      <c r="FB90" s="5" t="str">
        <f t="shared" si="554"/>
        <v/>
      </c>
      <c r="FC90" s="6" t="str">
        <f t="shared" si="555"/>
        <v/>
      </c>
      <c r="FD90" s="4" t="str">
        <f t="shared" si="556"/>
        <v/>
      </c>
      <c r="FE90" s="5" t="str">
        <f t="shared" si="557"/>
        <v/>
      </c>
      <c r="FF90" s="7" t="str">
        <f t="shared" si="700"/>
        <v/>
      </c>
      <c r="FG90" s="173" t="str">
        <f t="shared" si="558"/>
        <v/>
      </c>
      <c r="FH90" s="5" t="str">
        <f t="shared" si="559"/>
        <v/>
      </c>
      <c r="FI90" s="10" t="str">
        <f t="shared" si="560"/>
        <v/>
      </c>
      <c r="FJ90" s="279" t="str">
        <f t="shared" si="701"/>
        <v/>
      </c>
      <c r="FK90" s="4" t="str">
        <f t="shared" si="561"/>
        <v/>
      </c>
      <c r="FL90" s="5" t="str">
        <f t="shared" si="626"/>
        <v/>
      </c>
      <c r="FM90" s="8" t="str">
        <f t="shared" si="627"/>
        <v/>
      </c>
      <c r="FN90" s="9" t="str">
        <f t="shared" si="628"/>
        <v/>
      </c>
      <c r="FO90" s="10" t="str">
        <f t="shared" si="562"/>
        <v/>
      </c>
      <c r="FP90" s="277" t="str">
        <f t="shared" si="629"/>
        <v/>
      </c>
      <c r="FQ90" s="173" t="str">
        <f t="shared" si="702"/>
        <v/>
      </c>
      <c r="FR90" s="10" t="str">
        <f t="shared" si="703"/>
        <v/>
      </c>
      <c r="FS90" s="9" t="str">
        <f t="shared" si="704"/>
        <v/>
      </c>
      <c r="FT90" s="6" t="str">
        <f t="shared" si="705"/>
        <v/>
      </c>
      <c r="FU90" s="4" t="str">
        <f t="shared" si="706"/>
        <v/>
      </c>
      <c r="FV90" s="5" t="str">
        <f t="shared" si="707"/>
        <v/>
      </c>
      <c r="FW90" s="8" t="str">
        <f t="shared" si="708"/>
        <v/>
      </c>
      <c r="FX90" s="9" t="str">
        <f t="shared" si="709"/>
        <v/>
      </c>
      <c r="FY90" s="10" t="str">
        <f t="shared" si="563"/>
        <v/>
      </c>
      <c r="FZ90" s="277" t="str">
        <f t="shared" si="710"/>
        <v/>
      </c>
      <c r="GA90" s="177" t="str">
        <f t="shared" si="711"/>
        <v/>
      </c>
      <c r="GB90" s="4" t="str">
        <f t="shared" si="712"/>
        <v/>
      </c>
      <c r="GC90" s="5" t="str">
        <f t="shared" si="713"/>
        <v/>
      </c>
      <c r="GD90" s="10" t="str">
        <f t="shared" si="714"/>
        <v/>
      </c>
      <c r="GE90" s="311" t="str">
        <f t="shared" si="715"/>
        <v/>
      </c>
      <c r="GF90" s="341" t="str">
        <f t="shared" si="716"/>
        <v/>
      </c>
      <c r="GG90" s="285" t="str">
        <f t="shared" si="564"/>
        <v/>
      </c>
      <c r="GH90" s="286" t="str">
        <f t="shared" si="565"/>
        <v/>
      </c>
      <c r="GI90" s="281" t="str">
        <f t="shared" si="566"/>
        <v/>
      </c>
      <c r="GJ90" s="167" t="str">
        <f t="shared" si="717"/>
        <v/>
      </c>
      <c r="GK90" s="174" t="str">
        <f t="shared" si="567"/>
        <v/>
      </c>
      <c r="GL90" s="174" t="str">
        <f t="shared" si="718"/>
        <v/>
      </c>
      <c r="GM90" s="177" t="str">
        <f t="shared" si="719"/>
        <v/>
      </c>
      <c r="GN90" s="280" t="str">
        <f t="shared" si="720"/>
        <v/>
      </c>
      <c r="GO90" s="4" t="str">
        <f t="shared" si="721"/>
        <v/>
      </c>
      <c r="GP90" s="8" t="str">
        <f t="shared" si="722"/>
        <v/>
      </c>
      <c r="GQ90" s="177" t="str">
        <f t="shared" si="723"/>
        <v/>
      </c>
      <c r="GR90" s="371" t="str">
        <f t="shared" si="724"/>
        <v/>
      </c>
      <c r="GS90" s="342" t="str">
        <f t="shared" si="568"/>
        <v/>
      </c>
      <c r="GT90" s="343" t="str">
        <f t="shared" si="569"/>
        <v/>
      </c>
      <c r="GU90" s="344" t="str">
        <f t="shared" si="570"/>
        <v/>
      </c>
      <c r="GV90" s="343" t="str">
        <f t="shared" si="725"/>
        <v/>
      </c>
      <c r="GW90" s="345" t="str">
        <f t="shared" si="571"/>
        <v/>
      </c>
      <c r="GX90" s="346" t="str">
        <f t="shared" si="572"/>
        <v/>
      </c>
      <c r="GY90" s="344" t="str">
        <f t="shared" si="573"/>
        <v/>
      </c>
      <c r="GZ90" s="345" t="str">
        <f t="shared" si="574"/>
        <v/>
      </c>
      <c r="HA90" s="342" t="str">
        <f t="shared" si="575"/>
        <v/>
      </c>
      <c r="HB90" s="5" t="str">
        <f t="shared" si="726"/>
        <v/>
      </c>
      <c r="HC90" s="343" t="str">
        <f t="shared" si="727"/>
        <v/>
      </c>
      <c r="HD90" s="363" t="str">
        <f t="shared" si="728"/>
        <v/>
      </c>
      <c r="HE90" s="344" t="str">
        <f t="shared" si="576"/>
        <v/>
      </c>
      <c r="HF90" s="5" t="str">
        <f t="shared" si="577"/>
        <v/>
      </c>
      <c r="HG90" s="343" t="str">
        <f t="shared" si="729"/>
        <v/>
      </c>
      <c r="HH90" s="349" t="str">
        <f t="shared" si="730"/>
        <v/>
      </c>
      <c r="HI90" s="317" t="str">
        <f t="shared" si="578"/>
        <v/>
      </c>
      <c r="HK90" s="310" t="str">
        <f t="shared" si="630"/>
        <v/>
      </c>
      <c r="HL90" s="348" t="str">
        <f t="shared" si="579"/>
        <v/>
      </c>
      <c r="HM90" s="909" t="str">
        <f t="shared" si="580"/>
        <v/>
      </c>
      <c r="HN90" s="910" t="str">
        <f t="shared" si="581"/>
        <v/>
      </c>
      <c r="HO90" s="911"/>
      <c r="HP90" s="912"/>
      <c r="HQ90" s="910" t="str">
        <f t="shared" si="582"/>
        <v/>
      </c>
      <c r="HR90" s="913" t="str">
        <f t="shared" si="583"/>
        <v/>
      </c>
      <c r="HS90" s="865" t="str">
        <f t="shared" si="631"/>
        <v/>
      </c>
      <c r="HT90" s="875" t="str">
        <f t="shared" si="584"/>
        <v/>
      </c>
      <c r="HU90" s="876" t="str">
        <f t="shared" si="585"/>
        <v/>
      </c>
      <c r="HV90" s="872" t="str">
        <f t="shared" si="586"/>
        <v/>
      </c>
      <c r="HW90" s="866" t="str">
        <f t="shared" si="587"/>
        <v/>
      </c>
      <c r="HX90" s="867" t="str">
        <f t="shared" si="588"/>
        <v/>
      </c>
      <c r="HY90" s="866" t="str">
        <f t="shared" si="589"/>
        <v/>
      </c>
      <c r="HZ90" s="868" t="str">
        <f t="shared" si="590"/>
        <v/>
      </c>
      <c r="IA90" s="869" t="str">
        <f t="shared" si="591"/>
        <v/>
      </c>
      <c r="IB90" s="870" t="str">
        <f t="shared" si="592"/>
        <v/>
      </c>
      <c r="IC90" s="841" t="str">
        <f t="shared" si="593"/>
        <v/>
      </c>
      <c r="ID90" s="351" t="str">
        <f t="shared" si="594"/>
        <v/>
      </c>
      <c r="IE90" s="843" t="str">
        <f t="shared" si="595"/>
        <v/>
      </c>
      <c r="IF90" s="844"/>
      <c r="IG90" s="790" t="str">
        <f>IFERROR(IF($IW90="","",IF($IW90&lt;(((Settings!$C$19/2)*-1)*$IG$8),"Taper","Nose")),"")</f>
        <v/>
      </c>
      <c r="IH90" s="482" t="str">
        <f>IFERROR(IF((((($IY90*COS(RADIANS(180-$JA90)))*COS(RADIANS($JA90)))-(($IZ90*SIN(RADIANS(180-$JA90)))*SIN(RADIANS($JA90))))+$IW90)&lt;(((Settings!$C$19+$IH$8)/2)*-1),"Gage",""),"")</f>
        <v/>
      </c>
      <c r="II90" s="788">
        <f t="shared" si="731"/>
        <v>6.1420000000000003</v>
      </c>
      <c r="IJ90" s="674" t="str" cm="1">
        <f t="array" ref="IJ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K90" s="677" t="str" cm="1">
        <f t="array" ref="IK90">IFERROR(ROUND(VALUE(IF($IJ90&lt;1,$IJ90+LARGE((IF($M$9:$M$150="",0,$M$9:$M$150)-MOD(IF($M$9:$M$150="",0,$M$9:$M$150),1)),1),$IJ90)),4),"")</f>
        <v/>
      </c>
      <c r="IL90" s="482">
        <f t="shared" si="596"/>
        <v>1613</v>
      </c>
      <c r="IM90" s="482" t="str">
        <f t="shared" si="732"/>
        <v/>
      </c>
      <c r="IN90" s="670" t="str">
        <f t="shared" si="597"/>
        <v/>
      </c>
      <c r="IO90" s="702"/>
      <c r="IP90" s="5" t="str">
        <f t="shared" si="598"/>
        <v/>
      </c>
      <c r="IQ90" s="714"/>
      <c r="IR90" s="9" t="str">
        <f t="shared" si="599"/>
        <v/>
      </c>
      <c r="IS90" s="5" t="str">
        <f t="shared" si="600"/>
        <v/>
      </c>
      <c r="IT90" s="5" t="str">
        <f t="shared" si="601"/>
        <v/>
      </c>
      <c r="IU90" s="5" t="str">
        <f t="shared" si="602"/>
        <v/>
      </c>
      <c r="IV90" s="670" t="str">
        <f t="shared" si="603"/>
        <v/>
      </c>
      <c r="IW90" s="9" t="str">
        <f t="shared" si="604"/>
        <v/>
      </c>
      <c r="IX90" s="5" t="str">
        <f t="shared" si="605"/>
        <v/>
      </c>
      <c r="IY90" s="5" t="str">
        <f t="shared" si="606"/>
        <v/>
      </c>
      <c r="IZ90" s="5" t="str">
        <f t="shared" si="607"/>
        <v/>
      </c>
      <c r="JA90" s="705" t="str">
        <f t="shared" si="608"/>
        <v/>
      </c>
    </row>
    <row r="91" spans="1:261" ht="15" customHeight="1" x14ac:dyDescent="0.25">
      <c r="A91" s="75">
        <f t="shared" si="256"/>
        <v>0.02</v>
      </c>
      <c r="B91" s="578">
        <f t="shared" si="515"/>
        <v>-4.1208293499214301</v>
      </c>
      <c r="C91" s="572">
        <f t="shared" si="516"/>
        <v>2.9279153294789282</v>
      </c>
      <c r="D91" s="576">
        <f t="shared" si="517"/>
        <v>-3.2605907014524296</v>
      </c>
      <c r="E91" s="580">
        <f t="shared" si="518"/>
        <v>-0.90606878143474701</v>
      </c>
      <c r="F91" s="572">
        <f t="shared" si="519"/>
        <v>-0.420883031165597</v>
      </c>
      <c r="G91" s="579">
        <f t="shared" si="520"/>
        <v>4.3552696658323106E-2</v>
      </c>
      <c r="H91" s="580">
        <f t="shared" si="521"/>
        <v>0.3125</v>
      </c>
      <c r="I91" s="572">
        <f t="shared" si="522"/>
        <v>0.52</v>
      </c>
      <c r="J91" s="483">
        <f t="shared" si="523"/>
        <v>6.1479999999999997</v>
      </c>
      <c r="K91" s="806">
        <f t="shared" si="524"/>
        <v>1613</v>
      </c>
      <c r="L91" s="309"/>
      <c r="M91" s="164">
        <f t="shared" si="526"/>
        <v>6.1479999999999997</v>
      </c>
      <c r="N91" s="575">
        <f t="shared" si="527"/>
        <v>-4.1208293499214301</v>
      </c>
      <c r="O91" s="572">
        <f t="shared" si="528"/>
        <v>2.9279153294789282</v>
      </c>
      <c r="P91" s="576">
        <f t="shared" si="529"/>
        <v>-3.2605907014524296</v>
      </c>
      <c r="Q91" s="528">
        <f t="shared" si="609"/>
        <v>144.60559559965057</v>
      </c>
      <c r="R91" s="572">
        <f t="shared" si="101"/>
        <v>5.0550887932628417</v>
      </c>
      <c r="S91" s="577">
        <f t="shared" si="102"/>
        <v>-3.2605907014524296</v>
      </c>
      <c r="T91" s="578">
        <f t="shared" si="103"/>
        <v>2.8966976653146896</v>
      </c>
      <c r="U91" s="572">
        <f t="shared" si="104"/>
        <v>4.1428330093707615</v>
      </c>
      <c r="V91" s="579">
        <f t="shared" si="141"/>
        <v>-3.2605907014524296</v>
      </c>
      <c r="W91" s="528">
        <f t="shared" si="735"/>
        <v>55.038486445521556</v>
      </c>
      <c r="X91" s="572">
        <f t="shared" si="105"/>
        <v>5.0550887932628417</v>
      </c>
      <c r="Y91" s="573">
        <f t="shared" si="733"/>
        <v>-3.2605907014524296</v>
      </c>
      <c r="Z91" s="575">
        <f t="shared" si="530"/>
        <v>0.90606878143474701</v>
      </c>
      <c r="AA91" s="572">
        <f t="shared" si="531"/>
        <v>0.420883031165597</v>
      </c>
      <c r="AB91" s="572">
        <f t="shared" si="532"/>
        <v>-4.3552696658323106E-2</v>
      </c>
      <c r="AC91" s="579">
        <f t="shared" si="106"/>
        <v>1</v>
      </c>
      <c r="AD91" s="580">
        <f t="shared" si="142"/>
        <v>0.90606878143474701</v>
      </c>
      <c r="AE91" s="572">
        <f t="shared" si="107"/>
        <v>0.420883031165597</v>
      </c>
      <c r="AF91" s="576">
        <f t="shared" si="108"/>
        <v>-4.3552696658323106E-2</v>
      </c>
      <c r="AG91" s="545">
        <f t="shared" si="109"/>
        <v>84.092098111960667</v>
      </c>
      <c r="AH91" s="546">
        <f t="shared" si="110"/>
        <v>25.032383170059976</v>
      </c>
      <c r="AI91" s="528">
        <f t="shared" si="111"/>
        <v>-87.50382473077525</v>
      </c>
      <c r="AJ91" s="529">
        <f t="shared" si="112"/>
        <v>114.91560084690205</v>
      </c>
      <c r="AK91" s="578">
        <f t="shared" si="238"/>
        <v>0.86789372093390593</v>
      </c>
      <c r="AL91" s="572">
        <f t="shared" si="113"/>
        <v>-0.49483699515829238</v>
      </c>
      <c r="AM91" s="577">
        <f t="shared" si="114"/>
        <v>-4.3552696658323106E-2</v>
      </c>
      <c r="AN91" s="524">
        <f t="shared" si="115"/>
        <v>-84.970117416838406</v>
      </c>
      <c r="AO91" s="525">
        <f t="shared" si="525"/>
        <v>29.785208788526884</v>
      </c>
      <c r="AP91" s="528">
        <f t="shared" si="117"/>
        <v>-29.689994752748529</v>
      </c>
      <c r="AQ91" s="529">
        <f t="shared" si="533"/>
        <v>0.90187865672700995</v>
      </c>
      <c r="AS91" s="932">
        <f t="shared" si="632"/>
        <v>55.038486445521556</v>
      </c>
      <c r="AT91" s="928">
        <f t="shared" si="534"/>
        <v>-2.8407576245903172</v>
      </c>
      <c r="AU91" s="418"/>
      <c r="AV91" s="164" t="str">
        <f t="shared" si="535"/>
        <v/>
      </c>
      <c r="AW91" s="797" t="str">
        <f>IFERROR(INDEX(MassProp!C$9:C$150,MATCH($M91,MassProp!$B$9:$B$150,0)),"")</f>
        <v/>
      </c>
      <c r="AX91" s="744" t="str">
        <f>IFERROR(INDEX(MassProp!D$9:D$150,MATCH($M91,MassProp!$B$9:$B$150,0)),"")</f>
        <v/>
      </c>
      <c r="AY91" s="731" t="str">
        <f>IFERROR(INDEX(MassProp!E$9:E$150,MATCH($M91,MassProp!$B$9:$B$150,0)),"")</f>
        <v/>
      </c>
      <c r="AZ91" s="297" t="str">
        <f t="shared" si="633"/>
        <v/>
      </c>
      <c r="BA91" s="296" t="str">
        <f t="shared" si="536"/>
        <v/>
      </c>
      <c r="BB91" s="177" t="str">
        <f t="shared" si="610"/>
        <v/>
      </c>
      <c r="BC91" s="9"/>
      <c r="BD91" s="5" t="str">
        <f t="shared" si="611"/>
        <v/>
      </c>
      <c r="BE91" s="6" t="str">
        <f t="shared" si="537"/>
        <v/>
      </c>
      <c r="BF91" s="4" t="str">
        <f t="shared" si="538"/>
        <v/>
      </c>
      <c r="BG91" s="5" t="str">
        <f t="shared" si="539"/>
        <v/>
      </c>
      <c r="BH91" s="10" t="str">
        <f t="shared" si="540"/>
        <v/>
      </c>
      <c r="BI91" s="9" t="str">
        <f t="shared" si="634"/>
        <v/>
      </c>
      <c r="BJ91" s="5" t="str">
        <f t="shared" si="541"/>
        <v/>
      </c>
      <c r="BK91" s="8" t="str">
        <f t="shared" si="542"/>
        <v/>
      </c>
      <c r="BL91" s="173" t="str">
        <f t="shared" si="543"/>
        <v/>
      </c>
      <c r="BM91" s="5" t="str">
        <f t="shared" si="544"/>
        <v/>
      </c>
      <c r="BN91" s="6" t="str">
        <f t="shared" si="545"/>
        <v/>
      </c>
      <c r="BO91" s="4" t="str">
        <f t="shared" si="635"/>
        <v/>
      </c>
      <c r="BP91" s="5" t="str">
        <f t="shared" si="734"/>
        <v/>
      </c>
      <c r="BQ91" s="5" t="str">
        <f t="shared" si="636"/>
        <v/>
      </c>
      <c r="BR91" s="6" t="str">
        <f t="shared" si="637"/>
        <v/>
      </c>
      <c r="BS91" s="4" t="str">
        <f t="shared" si="612"/>
        <v/>
      </c>
      <c r="BT91" s="5" t="str">
        <f t="shared" si="612"/>
        <v/>
      </c>
      <c r="BU91" s="10" t="str">
        <f t="shared" si="613"/>
        <v/>
      </c>
      <c r="BV91" s="9" t="str">
        <f t="shared" si="614"/>
        <v/>
      </c>
      <c r="BW91" s="5" t="str">
        <f t="shared" si="615"/>
        <v/>
      </c>
      <c r="BX91" s="8" t="str">
        <f t="shared" si="616"/>
        <v/>
      </c>
      <c r="BY91" s="173" t="str">
        <f t="shared" si="617"/>
        <v/>
      </c>
      <c r="BZ91" s="5" t="str">
        <f t="shared" si="618"/>
        <v/>
      </c>
      <c r="CA91" s="6" t="str">
        <f t="shared" si="619"/>
        <v/>
      </c>
      <c r="CB91" s="4" t="str">
        <f t="shared" si="638"/>
        <v/>
      </c>
      <c r="CC91" s="5" t="str">
        <f t="shared" si="639"/>
        <v/>
      </c>
      <c r="CD91" s="5" t="str">
        <f t="shared" si="640"/>
        <v/>
      </c>
      <c r="CE91" s="6" t="str">
        <f t="shared" si="641"/>
        <v/>
      </c>
      <c r="CF91" s="4" t="str">
        <f t="shared" si="642"/>
        <v/>
      </c>
      <c r="CG91" s="5" t="str">
        <f t="shared" si="643"/>
        <v/>
      </c>
      <c r="CH91" s="5" t="str">
        <f t="shared" si="644"/>
        <v/>
      </c>
      <c r="CI91" s="4" t="str">
        <f t="shared" si="620"/>
        <v/>
      </c>
      <c r="CJ91" s="5" t="str">
        <f t="shared" si="621"/>
        <v/>
      </c>
      <c r="CK91" s="8" t="str">
        <f t="shared" si="622"/>
        <v/>
      </c>
      <c r="CL91" s="173" t="str">
        <f t="shared" si="623"/>
        <v/>
      </c>
      <c r="CM91" s="5" t="str">
        <f t="shared" si="624"/>
        <v/>
      </c>
      <c r="CN91" s="6" t="str">
        <f t="shared" si="625"/>
        <v/>
      </c>
      <c r="CO91" s="167" t="str">
        <f t="shared" si="546"/>
        <v/>
      </c>
      <c r="CP91" s="4" t="str">
        <f t="shared" si="645"/>
        <v/>
      </c>
      <c r="CQ91" s="5" t="str">
        <f t="shared" si="646"/>
        <v/>
      </c>
      <c r="CR91" s="5" t="str">
        <f t="shared" si="647"/>
        <v/>
      </c>
      <c r="CS91" s="8" t="str">
        <f t="shared" si="648"/>
        <v/>
      </c>
      <c r="CT91" s="9" t="str">
        <f t="shared" si="649"/>
        <v/>
      </c>
      <c r="CU91" s="6" t="str">
        <f t="shared" si="650"/>
        <v/>
      </c>
      <c r="CV91" s="4" t="str">
        <f t="shared" si="651"/>
        <v/>
      </c>
      <c r="CW91" s="5" t="str">
        <f t="shared" si="652"/>
        <v/>
      </c>
      <c r="CX91" s="8" t="str">
        <f t="shared" si="653"/>
        <v/>
      </c>
      <c r="CY91" s="9" t="str">
        <f t="shared" si="654"/>
        <v/>
      </c>
      <c r="CZ91" s="5" t="str">
        <f t="shared" si="655"/>
        <v/>
      </c>
      <c r="DA91" s="6" t="str">
        <f t="shared" si="656"/>
        <v/>
      </c>
      <c r="DB91" s="4" t="str">
        <f t="shared" si="657"/>
        <v/>
      </c>
      <c r="DC91" s="5" t="str">
        <f t="shared" si="657"/>
        <v/>
      </c>
      <c r="DD91" s="10" t="str">
        <f t="shared" si="658"/>
        <v/>
      </c>
      <c r="DE91" s="9" t="str">
        <f t="shared" si="659"/>
        <v/>
      </c>
      <c r="DF91" s="5" t="str">
        <f t="shared" si="659"/>
        <v/>
      </c>
      <c r="DG91" s="10" t="str">
        <f t="shared" si="660"/>
        <v/>
      </c>
      <c r="DH91" s="70" t="str">
        <f t="shared" si="661"/>
        <v/>
      </c>
      <c r="DI91" s="4" t="str">
        <f t="shared" si="662"/>
        <v/>
      </c>
      <c r="DJ91" s="5" t="str">
        <f t="shared" si="663"/>
        <v/>
      </c>
      <c r="DK91" s="10" t="str">
        <f t="shared" si="664"/>
        <v/>
      </c>
      <c r="DL91" s="9" t="str">
        <f t="shared" si="665"/>
        <v/>
      </c>
      <c r="DM91" s="173" t="str">
        <f t="shared" si="666"/>
        <v/>
      </c>
      <c r="DN91" s="178" t="str">
        <f t="shared" si="667"/>
        <v/>
      </c>
      <c r="DO91" s="9" t="str">
        <f t="shared" si="668"/>
        <v/>
      </c>
      <c r="DP91" s="173" t="str">
        <f t="shared" si="669"/>
        <v/>
      </c>
      <c r="DQ91" s="11" t="str">
        <f t="shared" si="670"/>
        <v/>
      </c>
      <c r="DR91" s="173" t="str">
        <f t="shared" si="671"/>
        <v/>
      </c>
      <c r="DS91" s="5" t="str">
        <f t="shared" si="672"/>
        <v/>
      </c>
      <c r="DT91" s="5" t="str">
        <f t="shared" si="673"/>
        <v/>
      </c>
      <c r="DU91" s="5" t="str">
        <f t="shared" si="674"/>
        <v/>
      </c>
      <c r="DV91" s="5" t="str">
        <f t="shared" si="675"/>
        <v/>
      </c>
      <c r="DW91" s="5" t="str">
        <f t="shared" si="676"/>
        <v/>
      </c>
      <c r="DX91" s="167" t="str">
        <f t="shared" si="677"/>
        <v/>
      </c>
      <c r="DY91" s="9" t="str">
        <f t="shared" si="678"/>
        <v/>
      </c>
      <c r="DZ91" s="5" t="str">
        <f t="shared" si="679"/>
        <v/>
      </c>
      <c r="EA91" s="10" t="str">
        <f t="shared" si="680"/>
        <v/>
      </c>
      <c r="EB91" s="6" t="str">
        <f t="shared" si="681"/>
        <v/>
      </c>
      <c r="EC91" s="173" t="str">
        <f t="shared" si="682"/>
        <v/>
      </c>
      <c r="ED91" s="5" t="str">
        <f t="shared" si="683"/>
        <v/>
      </c>
      <c r="EE91" s="4" t="str">
        <f t="shared" si="684"/>
        <v/>
      </c>
      <c r="EF91" s="5" t="str">
        <f t="shared" si="685"/>
        <v/>
      </c>
      <c r="EG91" s="10" t="str">
        <f t="shared" si="686"/>
        <v/>
      </c>
      <c r="EH91" s="9" t="str">
        <f t="shared" si="687"/>
        <v/>
      </c>
      <c r="EI91" s="5" t="str">
        <f t="shared" si="688"/>
        <v/>
      </c>
      <c r="EJ91" s="6" t="str">
        <f t="shared" si="689"/>
        <v/>
      </c>
      <c r="EK91" s="236" t="str">
        <f t="shared" si="690"/>
        <v/>
      </c>
      <c r="EL91" s="238" t="str">
        <f t="shared" si="691"/>
        <v/>
      </c>
      <c r="EM91" s="4" t="str">
        <f t="shared" si="692"/>
        <v/>
      </c>
      <c r="EN91" s="5" t="str">
        <f t="shared" si="693"/>
        <v/>
      </c>
      <c r="EO91" s="10" t="str">
        <f t="shared" si="694"/>
        <v/>
      </c>
      <c r="EP91" s="9" t="str">
        <f t="shared" si="695"/>
        <v/>
      </c>
      <c r="EQ91" s="5" t="str">
        <f t="shared" si="696"/>
        <v/>
      </c>
      <c r="ER91" s="7" t="str">
        <f t="shared" si="697"/>
        <v/>
      </c>
      <c r="ES91" s="21" t="str">
        <f t="shared" si="547"/>
        <v/>
      </c>
      <c r="ET91" s="5" t="str">
        <f t="shared" si="548"/>
        <v/>
      </c>
      <c r="EU91" s="10" t="str">
        <f t="shared" si="549"/>
        <v/>
      </c>
      <c r="EV91" s="174" t="str">
        <f t="shared" si="550"/>
        <v/>
      </c>
      <c r="EW91" s="9" t="str">
        <f t="shared" si="551"/>
        <v/>
      </c>
      <c r="EX91" s="5" t="str">
        <f t="shared" si="552"/>
        <v/>
      </c>
      <c r="EY91" s="6" t="str">
        <f t="shared" si="698"/>
        <v/>
      </c>
      <c r="EZ91" s="51" t="str">
        <f t="shared" si="699"/>
        <v/>
      </c>
      <c r="FA91" s="173" t="str">
        <f t="shared" si="553"/>
        <v/>
      </c>
      <c r="FB91" s="5" t="str">
        <f t="shared" si="554"/>
        <v/>
      </c>
      <c r="FC91" s="6" t="str">
        <f t="shared" si="555"/>
        <v/>
      </c>
      <c r="FD91" s="4" t="str">
        <f t="shared" si="556"/>
        <v/>
      </c>
      <c r="FE91" s="5" t="str">
        <f t="shared" si="557"/>
        <v/>
      </c>
      <c r="FF91" s="7" t="str">
        <f t="shared" si="700"/>
        <v/>
      </c>
      <c r="FG91" s="173" t="str">
        <f t="shared" si="558"/>
        <v/>
      </c>
      <c r="FH91" s="5" t="str">
        <f t="shared" si="559"/>
        <v/>
      </c>
      <c r="FI91" s="10" t="str">
        <f t="shared" si="560"/>
        <v/>
      </c>
      <c r="FJ91" s="279" t="str">
        <f t="shared" si="701"/>
        <v/>
      </c>
      <c r="FK91" s="4" t="str">
        <f t="shared" si="561"/>
        <v/>
      </c>
      <c r="FL91" s="5" t="str">
        <f t="shared" si="626"/>
        <v/>
      </c>
      <c r="FM91" s="8" t="str">
        <f t="shared" si="627"/>
        <v/>
      </c>
      <c r="FN91" s="9" t="str">
        <f t="shared" si="628"/>
        <v/>
      </c>
      <c r="FO91" s="10" t="str">
        <f t="shared" si="562"/>
        <v/>
      </c>
      <c r="FP91" s="277" t="str">
        <f t="shared" si="629"/>
        <v/>
      </c>
      <c r="FQ91" s="173" t="str">
        <f t="shared" si="702"/>
        <v/>
      </c>
      <c r="FR91" s="10" t="str">
        <f t="shared" si="703"/>
        <v/>
      </c>
      <c r="FS91" s="9" t="str">
        <f t="shared" si="704"/>
        <v/>
      </c>
      <c r="FT91" s="6" t="str">
        <f t="shared" si="705"/>
        <v/>
      </c>
      <c r="FU91" s="4" t="str">
        <f t="shared" si="706"/>
        <v/>
      </c>
      <c r="FV91" s="5" t="str">
        <f t="shared" si="707"/>
        <v/>
      </c>
      <c r="FW91" s="8" t="str">
        <f t="shared" si="708"/>
        <v/>
      </c>
      <c r="FX91" s="9" t="str">
        <f t="shared" si="709"/>
        <v/>
      </c>
      <c r="FY91" s="10" t="str">
        <f t="shared" si="563"/>
        <v/>
      </c>
      <c r="FZ91" s="277" t="str">
        <f t="shared" si="710"/>
        <v/>
      </c>
      <c r="GA91" s="177" t="str">
        <f t="shared" si="711"/>
        <v/>
      </c>
      <c r="GB91" s="4" t="str">
        <f t="shared" si="712"/>
        <v/>
      </c>
      <c r="GC91" s="5" t="str">
        <f t="shared" si="713"/>
        <v/>
      </c>
      <c r="GD91" s="10" t="str">
        <f t="shared" si="714"/>
        <v/>
      </c>
      <c r="GE91" s="311" t="str">
        <f t="shared" si="715"/>
        <v/>
      </c>
      <c r="GF91" s="341" t="str">
        <f t="shared" si="716"/>
        <v/>
      </c>
      <c r="GG91" s="285" t="str">
        <f t="shared" si="564"/>
        <v/>
      </c>
      <c r="GH91" s="286" t="str">
        <f t="shared" si="565"/>
        <v/>
      </c>
      <c r="GI91" s="281" t="str">
        <f t="shared" si="566"/>
        <v/>
      </c>
      <c r="GJ91" s="167" t="str">
        <f t="shared" si="717"/>
        <v/>
      </c>
      <c r="GK91" s="174" t="str">
        <f t="shared" si="567"/>
        <v/>
      </c>
      <c r="GL91" s="174" t="str">
        <f t="shared" si="718"/>
        <v/>
      </c>
      <c r="GM91" s="177" t="str">
        <f t="shared" si="719"/>
        <v/>
      </c>
      <c r="GN91" s="280" t="str">
        <f t="shared" si="720"/>
        <v/>
      </c>
      <c r="GO91" s="4" t="str">
        <f t="shared" si="721"/>
        <v/>
      </c>
      <c r="GP91" s="8" t="str">
        <f t="shared" si="722"/>
        <v/>
      </c>
      <c r="GQ91" s="177" t="str">
        <f t="shared" si="723"/>
        <v/>
      </c>
      <c r="GR91" s="371" t="str">
        <f t="shared" si="724"/>
        <v/>
      </c>
      <c r="GS91" s="342" t="str">
        <f t="shared" si="568"/>
        <v/>
      </c>
      <c r="GT91" s="343" t="str">
        <f t="shared" si="569"/>
        <v/>
      </c>
      <c r="GU91" s="344" t="str">
        <f t="shared" si="570"/>
        <v/>
      </c>
      <c r="GV91" s="343" t="str">
        <f t="shared" si="725"/>
        <v/>
      </c>
      <c r="GW91" s="345" t="str">
        <f t="shared" si="571"/>
        <v/>
      </c>
      <c r="GX91" s="346" t="str">
        <f t="shared" si="572"/>
        <v/>
      </c>
      <c r="GY91" s="344" t="str">
        <f t="shared" si="573"/>
        <v/>
      </c>
      <c r="GZ91" s="345" t="str">
        <f t="shared" si="574"/>
        <v/>
      </c>
      <c r="HA91" s="342" t="str">
        <f t="shared" si="575"/>
        <v/>
      </c>
      <c r="HB91" s="5" t="str">
        <f t="shared" si="726"/>
        <v/>
      </c>
      <c r="HC91" s="343" t="str">
        <f t="shared" si="727"/>
        <v/>
      </c>
      <c r="HD91" s="363" t="str">
        <f t="shared" si="728"/>
        <v/>
      </c>
      <c r="HE91" s="344" t="str">
        <f t="shared" si="576"/>
        <v/>
      </c>
      <c r="HF91" s="5" t="str">
        <f t="shared" si="577"/>
        <v/>
      </c>
      <c r="HG91" s="343" t="str">
        <f t="shared" si="729"/>
        <v/>
      </c>
      <c r="HH91" s="349" t="str">
        <f t="shared" si="730"/>
        <v/>
      </c>
      <c r="HI91" s="317" t="str">
        <f t="shared" si="578"/>
        <v/>
      </c>
      <c r="HK91" s="310" t="str">
        <f t="shared" si="630"/>
        <v/>
      </c>
      <c r="HL91" s="348" t="str">
        <f t="shared" si="579"/>
        <v/>
      </c>
      <c r="HM91" s="909" t="str">
        <f t="shared" si="580"/>
        <v/>
      </c>
      <c r="HN91" s="910" t="str">
        <f t="shared" si="581"/>
        <v/>
      </c>
      <c r="HO91" s="911"/>
      <c r="HP91" s="912"/>
      <c r="HQ91" s="910" t="str">
        <f t="shared" si="582"/>
        <v/>
      </c>
      <c r="HR91" s="913" t="str">
        <f t="shared" si="583"/>
        <v/>
      </c>
      <c r="HS91" s="865" t="str">
        <f t="shared" si="631"/>
        <v/>
      </c>
      <c r="HT91" s="875" t="str">
        <f t="shared" si="584"/>
        <v/>
      </c>
      <c r="HU91" s="876" t="str">
        <f t="shared" si="585"/>
        <v/>
      </c>
      <c r="HV91" s="872" t="str">
        <f t="shared" si="586"/>
        <v/>
      </c>
      <c r="HW91" s="866" t="str">
        <f t="shared" si="587"/>
        <v/>
      </c>
      <c r="HX91" s="867" t="str">
        <f t="shared" si="588"/>
        <v/>
      </c>
      <c r="HY91" s="866" t="str">
        <f t="shared" si="589"/>
        <v/>
      </c>
      <c r="HZ91" s="868" t="str">
        <f t="shared" si="590"/>
        <v/>
      </c>
      <c r="IA91" s="869" t="str">
        <f t="shared" si="591"/>
        <v/>
      </c>
      <c r="IB91" s="870" t="str">
        <f t="shared" si="592"/>
        <v/>
      </c>
      <c r="IC91" s="841" t="str">
        <f t="shared" si="593"/>
        <v/>
      </c>
      <c r="ID91" s="351" t="str">
        <f t="shared" si="594"/>
        <v/>
      </c>
      <c r="IE91" s="843" t="str">
        <f t="shared" si="595"/>
        <v/>
      </c>
      <c r="IF91" s="844"/>
      <c r="IG91" s="790" t="str">
        <f>IFERROR(IF($IW91="","",IF($IW91&lt;(((Settings!$C$19/2)*-1)*$IG$8),"Taper","Nose")),"")</f>
        <v/>
      </c>
      <c r="IH91" s="482" t="str">
        <f>IFERROR(IF((((($IY91*COS(RADIANS(180-$JA91)))*COS(RADIANS($JA91)))-(($IZ91*SIN(RADIANS(180-$JA91)))*SIN(RADIANS($JA91))))+$IW91)&lt;(((Settings!$C$19+$IH$8)/2)*-1),"Gage",""),"")</f>
        <v/>
      </c>
      <c r="II91" s="788">
        <f t="shared" si="731"/>
        <v>6.1479999999999997</v>
      </c>
      <c r="IJ91" s="674" t="str" cm="1">
        <f t="array" ref="IJ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K91" s="677" t="str" cm="1">
        <f t="array" ref="IK91">IFERROR(ROUND(VALUE(IF($IJ91&lt;1,$IJ91+LARGE((IF($M$9:$M$150="",0,$M$9:$M$150)-MOD(IF($M$9:$M$150="",0,$M$9:$M$150),1)),1),$IJ91)),4),"")</f>
        <v/>
      </c>
      <c r="IL91" s="482">
        <f t="shared" si="596"/>
        <v>1613</v>
      </c>
      <c r="IM91" s="482" t="str">
        <f t="shared" si="732"/>
        <v/>
      </c>
      <c r="IN91" s="670" t="str">
        <f t="shared" si="597"/>
        <v/>
      </c>
      <c r="IO91" s="702"/>
      <c r="IP91" s="5" t="str">
        <f t="shared" si="598"/>
        <v/>
      </c>
      <c r="IQ91" s="714"/>
      <c r="IR91" s="9" t="str">
        <f t="shared" si="599"/>
        <v/>
      </c>
      <c r="IS91" s="5" t="str">
        <f t="shared" si="600"/>
        <v/>
      </c>
      <c r="IT91" s="5" t="str">
        <f t="shared" si="601"/>
        <v/>
      </c>
      <c r="IU91" s="5" t="str">
        <f t="shared" si="602"/>
        <v/>
      </c>
      <c r="IV91" s="670" t="str">
        <f t="shared" si="603"/>
        <v/>
      </c>
      <c r="IW91" s="9" t="str">
        <f t="shared" si="604"/>
        <v/>
      </c>
      <c r="IX91" s="5" t="str">
        <f t="shared" si="605"/>
        <v/>
      </c>
      <c r="IY91" s="5" t="str">
        <f t="shared" si="606"/>
        <v/>
      </c>
      <c r="IZ91" s="5" t="str">
        <f t="shared" si="607"/>
        <v/>
      </c>
      <c r="JA91" s="705" t="str">
        <f t="shared" si="608"/>
        <v/>
      </c>
    </row>
    <row r="92" spans="1:261" ht="15" customHeight="1" x14ac:dyDescent="0.25">
      <c r="A92" s="75">
        <f t="shared" si="256"/>
        <v>0</v>
      </c>
      <c r="B92" s="578">
        <f t="shared" si="515"/>
        <v>-2.1770378785297075</v>
      </c>
      <c r="C92" s="572">
        <f t="shared" si="516"/>
        <v>2.6702146909085944</v>
      </c>
      <c r="D92" s="576">
        <f t="shared" si="517"/>
        <v>-0.20203780335620697</v>
      </c>
      <c r="E92" s="580">
        <f t="shared" si="518"/>
        <v>-0.1421467730557735</v>
      </c>
      <c r="F92" s="572">
        <f t="shared" si="519"/>
        <v>0.174348092617993</v>
      </c>
      <c r="G92" s="579">
        <f t="shared" si="520"/>
        <v>0.97437007215446547</v>
      </c>
      <c r="H92" s="580">
        <f t="shared" si="521"/>
        <v>0.255</v>
      </c>
      <c r="I92" s="572">
        <f t="shared" si="522"/>
        <v>0.41499999999999992</v>
      </c>
      <c r="J92" s="483">
        <f t="shared" si="523"/>
        <v>6.218</v>
      </c>
      <c r="K92" s="806" t="str">
        <f t="shared" si="524"/>
        <v>CPS-32193r1</v>
      </c>
      <c r="L92" s="309"/>
      <c r="M92" s="164">
        <f t="shared" si="526"/>
        <v>6.218</v>
      </c>
      <c r="N92" s="575">
        <f t="shared" si="527"/>
        <v>-2.1770378785297075</v>
      </c>
      <c r="O92" s="572">
        <f t="shared" si="528"/>
        <v>2.6702146909085944</v>
      </c>
      <c r="P92" s="576">
        <f t="shared" si="529"/>
        <v>-0.20203780335620697</v>
      </c>
      <c r="Q92" s="528">
        <f t="shared" si="609"/>
        <v>129.19051356554132</v>
      </c>
      <c r="R92" s="572">
        <f t="shared" si="101"/>
        <v>3.4452199378410095</v>
      </c>
      <c r="S92" s="577">
        <f t="shared" si="102"/>
        <v>-0.20203780335620697</v>
      </c>
      <c r="T92" s="578">
        <f t="shared" si="103"/>
        <v>2.6536903070926798</v>
      </c>
      <c r="U92" s="572">
        <f t="shared" si="104"/>
        <v>2.1971500117514893</v>
      </c>
      <c r="V92" s="579">
        <f t="shared" si="141"/>
        <v>-0.20203780335620697</v>
      </c>
      <c r="W92" s="528">
        <f t="shared" si="735"/>
        <v>39.623404411412309</v>
      </c>
      <c r="X92" s="572">
        <f t="shared" si="105"/>
        <v>3.4452199378410095</v>
      </c>
      <c r="Y92" s="573">
        <f t="shared" si="733"/>
        <v>-0.20203780335620697</v>
      </c>
      <c r="Z92" s="575">
        <f t="shared" si="530"/>
        <v>0.1421467730557735</v>
      </c>
      <c r="AA92" s="572">
        <f t="shared" si="531"/>
        <v>-0.174348092617993</v>
      </c>
      <c r="AB92" s="572">
        <f t="shared" si="532"/>
        <v>-0.97437007215446547</v>
      </c>
      <c r="AC92" s="579">
        <f t="shared" si="106"/>
        <v>1</v>
      </c>
      <c r="AD92" s="580">
        <f t="shared" si="142"/>
        <v>0.1421467730557735</v>
      </c>
      <c r="AE92" s="572">
        <f t="shared" si="107"/>
        <v>-0.174348092617993</v>
      </c>
      <c r="AF92" s="576">
        <f t="shared" si="108"/>
        <v>-0.97437007215446547</v>
      </c>
      <c r="AG92" s="545">
        <f t="shared" si="109"/>
        <v>-10.14481125438221</v>
      </c>
      <c r="AH92" s="546">
        <f t="shared" si="110"/>
        <v>81.827910148715304</v>
      </c>
      <c r="AI92" s="528">
        <f t="shared" si="111"/>
        <v>-12.999998123032478</v>
      </c>
      <c r="AJ92" s="529">
        <f t="shared" si="112"/>
        <v>39.19051356554133</v>
      </c>
      <c r="AK92" s="578">
        <f t="shared" si="238"/>
        <v>1.3877787807814457E-17</v>
      </c>
      <c r="AL92" s="572">
        <f t="shared" si="113"/>
        <v>-0.22495102242421983</v>
      </c>
      <c r="AM92" s="577">
        <f t="shared" si="114"/>
        <v>-0.97437007215446547</v>
      </c>
      <c r="AN92" s="524">
        <f t="shared" si="115"/>
        <v>-12.999998123032499</v>
      </c>
      <c r="AO92" s="525">
        <f t="shared" si="525"/>
        <v>0</v>
      </c>
      <c r="AP92" s="528">
        <f t="shared" si="117"/>
        <v>-90</v>
      </c>
      <c r="AQ92" s="529">
        <f t="shared" si="533"/>
        <v>1.323179001787937</v>
      </c>
      <c r="AS92" s="932">
        <f t="shared" si="632"/>
        <v>39.623404411412309</v>
      </c>
      <c r="AT92" s="928">
        <f t="shared" si="534"/>
        <v>0.23920510966439068</v>
      </c>
      <c r="AU92" s="418"/>
      <c r="AV92" s="164" t="str">
        <f t="shared" si="535"/>
        <v/>
      </c>
      <c r="AW92" s="797" t="str">
        <f>IFERROR(INDEX(MassProp!C$9:C$150,MATCH($M92,MassProp!$B$9:$B$150,0)),"")</f>
        <v/>
      </c>
      <c r="AX92" s="744" t="str">
        <f>IFERROR(INDEX(MassProp!D$9:D$150,MATCH($M92,MassProp!$B$9:$B$150,0)),"")</f>
        <v/>
      </c>
      <c r="AY92" s="731" t="str">
        <f>IFERROR(INDEX(MassProp!E$9:E$150,MATCH($M92,MassProp!$B$9:$B$150,0)),"")</f>
        <v/>
      </c>
      <c r="AZ92" s="297" t="str">
        <f t="shared" si="633"/>
        <v/>
      </c>
      <c r="BA92" s="296" t="str">
        <f t="shared" si="536"/>
        <v/>
      </c>
      <c r="BB92" s="177" t="str">
        <f t="shared" si="610"/>
        <v/>
      </c>
      <c r="BC92" s="9"/>
      <c r="BD92" s="5" t="str">
        <f t="shared" si="611"/>
        <v/>
      </c>
      <c r="BE92" s="6" t="str">
        <f t="shared" si="537"/>
        <v/>
      </c>
      <c r="BF92" s="4" t="str">
        <f t="shared" si="538"/>
        <v/>
      </c>
      <c r="BG92" s="5" t="str">
        <f t="shared" si="539"/>
        <v/>
      </c>
      <c r="BH92" s="10" t="str">
        <f t="shared" si="540"/>
        <v/>
      </c>
      <c r="BI92" s="9" t="str">
        <f t="shared" si="634"/>
        <v/>
      </c>
      <c r="BJ92" s="5" t="str">
        <f t="shared" si="541"/>
        <v/>
      </c>
      <c r="BK92" s="8" t="str">
        <f t="shared" si="542"/>
        <v/>
      </c>
      <c r="BL92" s="173" t="str">
        <f t="shared" si="543"/>
        <v/>
      </c>
      <c r="BM92" s="5" t="str">
        <f t="shared" si="544"/>
        <v/>
      </c>
      <c r="BN92" s="6" t="str">
        <f t="shared" si="545"/>
        <v/>
      </c>
      <c r="BO92" s="4" t="str">
        <f t="shared" si="635"/>
        <v/>
      </c>
      <c r="BP92" s="5" t="str">
        <f t="shared" si="734"/>
        <v/>
      </c>
      <c r="BQ92" s="5" t="str">
        <f t="shared" si="636"/>
        <v/>
      </c>
      <c r="BR92" s="6" t="str">
        <f t="shared" si="637"/>
        <v/>
      </c>
      <c r="BS92" s="4" t="str">
        <f t="shared" si="612"/>
        <v/>
      </c>
      <c r="BT92" s="5" t="str">
        <f t="shared" si="612"/>
        <v/>
      </c>
      <c r="BU92" s="10" t="str">
        <f t="shared" si="613"/>
        <v/>
      </c>
      <c r="BV92" s="9" t="str">
        <f t="shared" si="614"/>
        <v/>
      </c>
      <c r="BW92" s="5" t="str">
        <f t="shared" si="615"/>
        <v/>
      </c>
      <c r="BX92" s="8" t="str">
        <f t="shared" si="616"/>
        <v/>
      </c>
      <c r="BY92" s="173" t="str">
        <f t="shared" si="617"/>
        <v/>
      </c>
      <c r="BZ92" s="5" t="str">
        <f t="shared" si="618"/>
        <v/>
      </c>
      <c r="CA92" s="6" t="str">
        <f t="shared" si="619"/>
        <v/>
      </c>
      <c r="CB92" s="4" t="str">
        <f t="shared" si="638"/>
        <v/>
      </c>
      <c r="CC92" s="5" t="str">
        <f t="shared" si="639"/>
        <v/>
      </c>
      <c r="CD92" s="5" t="str">
        <f t="shared" si="640"/>
        <v/>
      </c>
      <c r="CE92" s="6" t="str">
        <f t="shared" si="641"/>
        <v/>
      </c>
      <c r="CF92" s="4" t="str">
        <f t="shared" si="642"/>
        <v/>
      </c>
      <c r="CG92" s="5" t="str">
        <f t="shared" si="643"/>
        <v/>
      </c>
      <c r="CH92" s="5" t="str">
        <f t="shared" si="644"/>
        <v/>
      </c>
      <c r="CI92" s="4" t="str">
        <f t="shared" si="620"/>
        <v/>
      </c>
      <c r="CJ92" s="5" t="str">
        <f t="shared" si="621"/>
        <v/>
      </c>
      <c r="CK92" s="8" t="str">
        <f t="shared" si="622"/>
        <v/>
      </c>
      <c r="CL92" s="173" t="str">
        <f t="shared" si="623"/>
        <v/>
      </c>
      <c r="CM92" s="5" t="str">
        <f t="shared" si="624"/>
        <v/>
      </c>
      <c r="CN92" s="6" t="str">
        <f t="shared" si="625"/>
        <v/>
      </c>
      <c r="CO92" s="167" t="str">
        <f t="shared" si="546"/>
        <v/>
      </c>
      <c r="CP92" s="4" t="str">
        <f t="shared" si="645"/>
        <v/>
      </c>
      <c r="CQ92" s="5" t="str">
        <f t="shared" si="646"/>
        <v/>
      </c>
      <c r="CR92" s="5" t="str">
        <f t="shared" si="647"/>
        <v/>
      </c>
      <c r="CS92" s="8" t="str">
        <f t="shared" si="648"/>
        <v/>
      </c>
      <c r="CT92" s="9" t="str">
        <f t="shared" si="649"/>
        <v/>
      </c>
      <c r="CU92" s="6" t="str">
        <f t="shared" si="650"/>
        <v/>
      </c>
      <c r="CV92" s="4" t="str">
        <f t="shared" si="651"/>
        <v/>
      </c>
      <c r="CW92" s="5" t="str">
        <f t="shared" si="652"/>
        <v/>
      </c>
      <c r="CX92" s="8" t="str">
        <f t="shared" si="653"/>
        <v/>
      </c>
      <c r="CY92" s="9" t="str">
        <f t="shared" si="654"/>
        <v/>
      </c>
      <c r="CZ92" s="5" t="str">
        <f t="shared" si="655"/>
        <v/>
      </c>
      <c r="DA92" s="6" t="str">
        <f t="shared" si="656"/>
        <v/>
      </c>
      <c r="DB92" s="4" t="str">
        <f t="shared" si="657"/>
        <v/>
      </c>
      <c r="DC92" s="5" t="str">
        <f t="shared" si="657"/>
        <v/>
      </c>
      <c r="DD92" s="10" t="str">
        <f t="shared" si="658"/>
        <v/>
      </c>
      <c r="DE92" s="9" t="str">
        <f t="shared" si="659"/>
        <v/>
      </c>
      <c r="DF92" s="5" t="str">
        <f t="shared" si="659"/>
        <v/>
      </c>
      <c r="DG92" s="10" t="str">
        <f t="shared" si="660"/>
        <v/>
      </c>
      <c r="DH92" s="70" t="str">
        <f t="shared" si="661"/>
        <v/>
      </c>
      <c r="DI92" s="4" t="str">
        <f t="shared" si="662"/>
        <v/>
      </c>
      <c r="DJ92" s="5" t="str">
        <f t="shared" si="663"/>
        <v/>
      </c>
      <c r="DK92" s="10" t="str">
        <f t="shared" si="664"/>
        <v/>
      </c>
      <c r="DL92" s="9" t="str">
        <f t="shared" si="665"/>
        <v/>
      </c>
      <c r="DM92" s="173" t="str">
        <f t="shared" si="666"/>
        <v/>
      </c>
      <c r="DN92" s="178" t="str">
        <f t="shared" si="667"/>
        <v/>
      </c>
      <c r="DO92" s="9" t="str">
        <f t="shared" si="668"/>
        <v/>
      </c>
      <c r="DP92" s="173" t="str">
        <f t="shared" si="669"/>
        <v/>
      </c>
      <c r="DQ92" s="11" t="str">
        <f t="shared" si="670"/>
        <v/>
      </c>
      <c r="DR92" s="173" t="str">
        <f t="shared" si="671"/>
        <v/>
      </c>
      <c r="DS92" s="5" t="str">
        <f t="shared" si="672"/>
        <v/>
      </c>
      <c r="DT92" s="5" t="str">
        <f t="shared" si="673"/>
        <v/>
      </c>
      <c r="DU92" s="5" t="str">
        <f t="shared" si="674"/>
        <v/>
      </c>
      <c r="DV92" s="5" t="str">
        <f t="shared" si="675"/>
        <v/>
      </c>
      <c r="DW92" s="5" t="str">
        <f t="shared" si="676"/>
        <v/>
      </c>
      <c r="DX92" s="167" t="str">
        <f t="shared" si="677"/>
        <v/>
      </c>
      <c r="DY92" s="9" t="str">
        <f t="shared" si="678"/>
        <v/>
      </c>
      <c r="DZ92" s="5" t="str">
        <f t="shared" si="679"/>
        <v/>
      </c>
      <c r="EA92" s="10" t="str">
        <f t="shared" si="680"/>
        <v/>
      </c>
      <c r="EB92" s="6" t="str">
        <f t="shared" si="681"/>
        <v/>
      </c>
      <c r="EC92" s="173" t="str">
        <f t="shared" si="682"/>
        <v/>
      </c>
      <c r="ED92" s="5" t="str">
        <f t="shared" si="683"/>
        <v/>
      </c>
      <c r="EE92" s="4" t="str">
        <f t="shared" si="684"/>
        <v/>
      </c>
      <c r="EF92" s="5" t="str">
        <f t="shared" si="685"/>
        <v/>
      </c>
      <c r="EG92" s="10" t="str">
        <f t="shared" si="686"/>
        <v/>
      </c>
      <c r="EH92" s="9" t="str">
        <f t="shared" si="687"/>
        <v/>
      </c>
      <c r="EI92" s="5" t="str">
        <f t="shared" si="688"/>
        <v/>
      </c>
      <c r="EJ92" s="6" t="str">
        <f t="shared" si="689"/>
        <v/>
      </c>
      <c r="EK92" s="236" t="str">
        <f t="shared" si="690"/>
        <v/>
      </c>
      <c r="EL92" s="238" t="str">
        <f t="shared" si="691"/>
        <v/>
      </c>
      <c r="EM92" s="4" t="str">
        <f t="shared" si="692"/>
        <v/>
      </c>
      <c r="EN92" s="5" t="str">
        <f t="shared" si="693"/>
        <v/>
      </c>
      <c r="EO92" s="10" t="str">
        <f t="shared" si="694"/>
        <v/>
      </c>
      <c r="EP92" s="9" t="str">
        <f t="shared" si="695"/>
        <v/>
      </c>
      <c r="EQ92" s="5" t="str">
        <f t="shared" si="696"/>
        <v/>
      </c>
      <c r="ER92" s="7" t="str">
        <f t="shared" si="697"/>
        <v/>
      </c>
      <c r="ES92" s="21" t="str">
        <f t="shared" si="547"/>
        <v/>
      </c>
      <c r="ET92" s="5" t="str">
        <f t="shared" si="548"/>
        <v/>
      </c>
      <c r="EU92" s="10" t="str">
        <f t="shared" si="549"/>
        <v/>
      </c>
      <c r="EV92" s="174" t="str">
        <f t="shared" si="550"/>
        <v/>
      </c>
      <c r="EW92" s="9" t="str">
        <f t="shared" si="551"/>
        <v/>
      </c>
      <c r="EX92" s="5" t="str">
        <f t="shared" si="552"/>
        <v/>
      </c>
      <c r="EY92" s="6" t="str">
        <f t="shared" si="698"/>
        <v/>
      </c>
      <c r="EZ92" s="51" t="str">
        <f t="shared" si="699"/>
        <v/>
      </c>
      <c r="FA92" s="173" t="str">
        <f t="shared" si="553"/>
        <v/>
      </c>
      <c r="FB92" s="5" t="str">
        <f t="shared" si="554"/>
        <v/>
      </c>
      <c r="FC92" s="6" t="str">
        <f t="shared" si="555"/>
        <v/>
      </c>
      <c r="FD92" s="4" t="str">
        <f t="shared" si="556"/>
        <v/>
      </c>
      <c r="FE92" s="5" t="str">
        <f t="shared" si="557"/>
        <v/>
      </c>
      <c r="FF92" s="7" t="str">
        <f t="shared" si="700"/>
        <v/>
      </c>
      <c r="FG92" s="173" t="str">
        <f t="shared" si="558"/>
        <v/>
      </c>
      <c r="FH92" s="5" t="str">
        <f t="shared" si="559"/>
        <v/>
      </c>
      <c r="FI92" s="10" t="str">
        <f t="shared" si="560"/>
        <v/>
      </c>
      <c r="FJ92" s="279" t="str">
        <f t="shared" si="701"/>
        <v/>
      </c>
      <c r="FK92" s="4" t="str">
        <f t="shared" si="561"/>
        <v/>
      </c>
      <c r="FL92" s="5" t="str">
        <f t="shared" si="626"/>
        <v/>
      </c>
      <c r="FM92" s="8" t="str">
        <f t="shared" si="627"/>
        <v/>
      </c>
      <c r="FN92" s="9" t="str">
        <f t="shared" si="628"/>
        <v/>
      </c>
      <c r="FO92" s="10" t="str">
        <f t="shared" si="562"/>
        <v/>
      </c>
      <c r="FP92" s="277" t="str">
        <f t="shared" si="629"/>
        <v/>
      </c>
      <c r="FQ92" s="173" t="str">
        <f t="shared" si="702"/>
        <v/>
      </c>
      <c r="FR92" s="10" t="str">
        <f t="shared" si="703"/>
        <v/>
      </c>
      <c r="FS92" s="9" t="str">
        <f t="shared" si="704"/>
        <v/>
      </c>
      <c r="FT92" s="6" t="str">
        <f t="shared" si="705"/>
        <v/>
      </c>
      <c r="FU92" s="4" t="str">
        <f t="shared" si="706"/>
        <v/>
      </c>
      <c r="FV92" s="5" t="str">
        <f t="shared" si="707"/>
        <v/>
      </c>
      <c r="FW92" s="8" t="str">
        <f t="shared" si="708"/>
        <v/>
      </c>
      <c r="FX92" s="9" t="str">
        <f t="shared" si="709"/>
        <v/>
      </c>
      <c r="FY92" s="10" t="str">
        <f t="shared" si="563"/>
        <v/>
      </c>
      <c r="FZ92" s="277" t="str">
        <f t="shared" si="710"/>
        <v/>
      </c>
      <c r="GA92" s="177" t="str">
        <f t="shared" si="711"/>
        <v/>
      </c>
      <c r="GB92" s="4" t="str">
        <f t="shared" si="712"/>
        <v/>
      </c>
      <c r="GC92" s="5" t="str">
        <f t="shared" si="713"/>
        <v/>
      </c>
      <c r="GD92" s="10" t="str">
        <f t="shared" si="714"/>
        <v/>
      </c>
      <c r="GE92" s="311" t="str">
        <f t="shared" si="715"/>
        <v/>
      </c>
      <c r="GF92" s="341" t="str">
        <f t="shared" si="716"/>
        <v/>
      </c>
      <c r="GG92" s="285" t="str">
        <f t="shared" si="564"/>
        <v/>
      </c>
      <c r="GH92" s="286" t="str">
        <f t="shared" si="565"/>
        <v/>
      </c>
      <c r="GI92" s="281" t="str">
        <f t="shared" si="566"/>
        <v/>
      </c>
      <c r="GJ92" s="167" t="str">
        <f t="shared" si="717"/>
        <v/>
      </c>
      <c r="GK92" s="174" t="str">
        <f t="shared" si="567"/>
        <v/>
      </c>
      <c r="GL92" s="174" t="str">
        <f t="shared" si="718"/>
        <v/>
      </c>
      <c r="GM92" s="177" t="str">
        <f t="shared" si="719"/>
        <v/>
      </c>
      <c r="GN92" s="280" t="str">
        <f t="shared" si="720"/>
        <v/>
      </c>
      <c r="GO92" s="4" t="str">
        <f t="shared" si="721"/>
        <v/>
      </c>
      <c r="GP92" s="8" t="str">
        <f t="shared" si="722"/>
        <v/>
      </c>
      <c r="GQ92" s="177" t="str">
        <f t="shared" si="723"/>
        <v/>
      </c>
      <c r="GR92" s="371" t="str">
        <f t="shared" si="724"/>
        <v/>
      </c>
      <c r="GS92" s="342" t="str">
        <f t="shared" si="568"/>
        <v/>
      </c>
      <c r="GT92" s="343" t="str">
        <f t="shared" si="569"/>
        <v/>
      </c>
      <c r="GU92" s="344" t="str">
        <f t="shared" si="570"/>
        <v/>
      </c>
      <c r="GV92" s="343" t="str">
        <f t="shared" si="725"/>
        <v/>
      </c>
      <c r="GW92" s="345" t="str">
        <f t="shared" si="571"/>
        <v/>
      </c>
      <c r="GX92" s="346" t="str">
        <f t="shared" si="572"/>
        <v/>
      </c>
      <c r="GY92" s="344" t="str">
        <f t="shared" si="573"/>
        <v/>
      </c>
      <c r="GZ92" s="345" t="str">
        <f t="shared" si="574"/>
        <v/>
      </c>
      <c r="HA92" s="342" t="str">
        <f t="shared" si="575"/>
        <v/>
      </c>
      <c r="HB92" s="5" t="str">
        <f t="shared" si="726"/>
        <v/>
      </c>
      <c r="HC92" s="343" t="str">
        <f t="shared" si="727"/>
        <v/>
      </c>
      <c r="HD92" s="363" t="str">
        <f t="shared" si="728"/>
        <v/>
      </c>
      <c r="HE92" s="344" t="str">
        <f t="shared" si="576"/>
        <v/>
      </c>
      <c r="HF92" s="5" t="str">
        <f t="shared" si="577"/>
        <v/>
      </c>
      <c r="HG92" s="343" t="str">
        <f t="shared" si="729"/>
        <v/>
      </c>
      <c r="HH92" s="349" t="str">
        <f t="shared" si="730"/>
        <v/>
      </c>
      <c r="HI92" s="317" t="str">
        <f t="shared" si="578"/>
        <v/>
      </c>
      <c r="HK92" s="310" t="str">
        <f t="shared" si="630"/>
        <v/>
      </c>
      <c r="HL92" s="348" t="str">
        <f t="shared" si="579"/>
        <v/>
      </c>
      <c r="HM92" s="909" t="str">
        <f t="shared" si="580"/>
        <v/>
      </c>
      <c r="HN92" s="910" t="str">
        <f t="shared" si="581"/>
        <v/>
      </c>
      <c r="HO92" s="911"/>
      <c r="HP92" s="912"/>
      <c r="HQ92" s="910" t="str">
        <f t="shared" si="582"/>
        <v/>
      </c>
      <c r="HR92" s="913" t="str">
        <f t="shared" si="583"/>
        <v/>
      </c>
      <c r="HS92" s="865" t="str">
        <f t="shared" si="631"/>
        <v/>
      </c>
      <c r="HT92" s="875" t="str">
        <f t="shared" si="584"/>
        <v/>
      </c>
      <c r="HU92" s="876" t="str">
        <f t="shared" si="585"/>
        <v/>
      </c>
      <c r="HV92" s="872" t="str">
        <f t="shared" si="586"/>
        <v/>
      </c>
      <c r="HW92" s="866" t="str">
        <f t="shared" si="587"/>
        <v/>
      </c>
      <c r="HX92" s="867" t="str">
        <f t="shared" si="588"/>
        <v/>
      </c>
      <c r="HY92" s="866" t="str">
        <f t="shared" si="589"/>
        <v/>
      </c>
      <c r="HZ92" s="868" t="str">
        <f t="shared" si="590"/>
        <v/>
      </c>
      <c r="IA92" s="869" t="str">
        <f t="shared" si="591"/>
        <v/>
      </c>
      <c r="IB92" s="870" t="str">
        <f t="shared" si="592"/>
        <v/>
      </c>
      <c r="IC92" s="841" t="str">
        <f t="shared" si="593"/>
        <v/>
      </c>
      <c r="ID92" s="351" t="str">
        <f t="shared" si="594"/>
        <v/>
      </c>
      <c r="IE92" s="843" t="str">
        <f t="shared" si="595"/>
        <v/>
      </c>
      <c r="IF92" s="844"/>
      <c r="IG92" s="790" t="str">
        <f>IFERROR(IF($IW92="","",IF($IW92&lt;(((Settings!$C$19/2)*-1)*$IG$8),"Taper","Nose")),"")</f>
        <v>Nose</v>
      </c>
      <c r="IH92" s="482" t="str">
        <f>IFERROR(IF((((($IY92*COS(RADIANS(180-$JA92)))*COS(RADIANS($JA92)))-(($IZ92*SIN(RADIANS(180-$JA92)))*SIN(RADIANS($JA92))))+$IW92)&lt;(((Settings!$C$19+$IH$8)/2)*-1),"Gage",""),"")</f>
        <v/>
      </c>
      <c r="II92" s="788">
        <f t="shared" si="731"/>
        <v>6.218</v>
      </c>
      <c r="IJ92" s="674" cm="1">
        <f t="array" ref="IJ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>0.11799999999999999</v>
      </c>
      <c r="IK92" s="677" cm="1">
        <f t="array" ref="IK92">IFERROR(ROUND(VALUE(IF($IJ92&lt;1,$IJ92+LARGE((IF($M$9:$M$150="",0,$M$9:$M$150)-MOD(IF($M$9:$M$150="",0,$M$9:$M$150),1)),1),$IJ92)),4),"")</f>
        <v>6.1180000000000003</v>
      </c>
      <c r="IL92" s="482">
        <f t="shared" si="596"/>
        <v>1613</v>
      </c>
      <c r="IM92" s="482" t="str">
        <f t="shared" si="732"/>
        <v>CPS-32193r1</v>
      </c>
      <c r="IN92" s="670">
        <f t="shared" si="597"/>
        <v>17.299678412289126</v>
      </c>
      <c r="IO92" s="702">
        <v>6.5097891879495898E-2</v>
      </c>
      <c r="IP92" s="5">
        <f t="shared" si="598"/>
        <v>1.64</v>
      </c>
      <c r="IQ92" s="714">
        <v>820</v>
      </c>
      <c r="IR92" s="9">
        <f t="shared" si="599"/>
        <v>-3.4466194971855479</v>
      </c>
      <c r="IS92" s="5">
        <f t="shared" si="600"/>
        <v>-0.16842423538663553</v>
      </c>
      <c r="IT92" s="5">
        <f t="shared" si="601"/>
        <v>0.3125</v>
      </c>
      <c r="IU92" s="5">
        <f t="shared" si="602"/>
        <v>0.30068379607053242</v>
      </c>
      <c r="IV92" s="670">
        <f t="shared" si="603"/>
        <v>16.504059297615232</v>
      </c>
      <c r="IW92" s="9">
        <f t="shared" si="604"/>
        <v>-3.4452199378410095</v>
      </c>
      <c r="IX92" s="5">
        <f t="shared" si="605"/>
        <v>-0.20203780335620697</v>
      </c>
      <c r="IY92" s="5">
        <f t="shared" si="606"/>
        <v>0.255</v>
      </c>
      <c r="IZ92" s="5">
        <f t="shared" si="607"/>
        <v>0.255</v>
      </c>
      <c r="JA92" s="705">
        <f t="shared" si="608"/>
        <v>12.999998123032499</v>
      </c>
    </row>
    <row r="93" spans="1:261" ht="15" customHeight="1" x14ac:dyDescent="0.25">
      <c r="A93" s="75">
        <f t="shared" si="256"/>
        <v>0</v>
      </c>
      <c r="B93" s="578">
        <f t="shared" si="515"/>
        <v>-2.7088614823875843</v>
      </c>
      <c r="C93" s="572">
        <f t="shared" si="516"/>
        <v>3.1238778875104485</v>
      </c>
      <c r="D93" s="576">
        <f t="shared" si="517"/>
        <v>-0.52729965041995608</v>
      </c>
      <c r="E93" s="580">
        <f t="shared" si="518"/>
        <v>-0.36634834604269323</v>
      </c>
      <c r="F93" s="572">
        <f t="shared" si="519"/>
        <v>0.42247545870086312</v>
      </c>
      <c r="G93" s="579">
        <f t="shared" si="520"/>
        <v>0.82903762046560858</v>
      </c>
      <c r="H93" s="580">
        <f t="shared" si="521"/>
        <v>0.255</v>
      </c>
      <c r="I93" s="572">
        <f t="shared" si="522"/>
        <v>0.41499999999999992</v>
      </c>
      <c r="J93" s="483">
        <f t="shared" si="523"/>
        <v>6.2240000000000002</v>
      </c>
      <c r="K93" s="806" t="str">
        <f t="shared" si="524"/>
        <v>CPS-32193r1</v>
      </c>
      <c r="L93" s="309"/>
      <c r="M93" s="164">
        <f t="shared" si="526"/>
        <v>6.2240000000000002</v>
      </c>
      <c r="N93" s="575">
        <f t="shared" si="527"/>
        <v>-2.7088614823875843</v>
      </c>
      <c r="O93" s="572">
        <f t="shared" si="528"/>
        <v>3.1238778875104485</v>
      </c>
      <c r="P93" s="576">
        <f t="shared" si="529"/>
        <v>-0.52729965041995608</v>
      </c>
      <c r="Q93" s="528">
        <f t="shared" si="609"/>
        <v>130.93009733910347</v>
      </c>
      <c r="R93" s="572">
        <f t="shared" si="101"/>
        <v>4.1347966802298517</v>
      </c>
      <c r="S93" s="577">
        <f t="shared" si="102"/>
        <v>-0.52729965041995608</v>
      </c>
      <c r="T93" s="578">
        <f t="shared" si="103"/>
        <v>3.1033224692135928</v>
      </c>
      <c r="U93" s="572">
        <f t="shared" si="104"/>
        <v>2.732385997423104</v>
      </c>
      <c r="V93" s="579">
        <f t="shared" si="141"/>
        <v>-0.52729965041995608</v>
      </c>
      <c r="W93" s="528">
        <f t="shared" si="735"/>
        <v>41.362988184974455</v>
      </c>
      <c r="X93" s="572">
        <f t="shared" si="105"/>
        <v>4.1347966802298517</v>
      </c>
      <c r="Y93" s="573">
        <f t="shared" si="733"/>
        <v>-0.52729965041995608</v>
      </c>
      <c r="Z93" s="575">
        <f t="shared" si="530"/>
        <v>0.36634834604269323</v>
      </c>
      <c r="AA93" s="572">
        <f t="shared" si="531"/>
        <v>-0.42247545870086312</v>
      </c>
      <c r="AB93" s="572">
        <f t="shared" si="532"/>
        <v>-0.82903762046560858</v>
      </c>
      <c r="AC93" s="579">
        <f t="shared" si="106"/>
        <v>1</v>
      </c>
      <c r="AD93" s="580">
        <f t="shared" si="142"/>
        <v>0.36634834604269323</v>
      </c>
      <c r="AE93" s="572">
        <f t="shared" si="107"/>
        <v>-0.42247545870086312</v>
      </c>
      <c r="AF93" s="576">
        <f t="shared" si="108"/>
        <v>-0.82903762046560858</v>
      </c>
      <c r="AG93" s="545">
        <f t="shared" si="109"/>
        <v>-27.003275044263159</v>
      </c>
      <c r="AH93" s="546">
        <f t="shared" si="110"/>
        <v>68.509414197138355</v>
      </c>
      <c r="AI93" s="528">
        <f t="shared" si="111"/>
        <v>-33.999995091008067</v>
      </c>
      <c r="AJ93" s="529">
        <f t="shared" si="112"/>
        <v>40.930097339103497</v>
      </c>
      <c r="AK93" s="578">
        <f t="shared" si="238"/>
        <v>2.2204460492503131E-16</v>
      </c>
      <c r="AL93" s="572">
        <f t="shared" si="113"/>
        <v>-0.55919283244040385</v>
      </c>
      <c r="AM93" s="577">
        <f t="shared" si="114"/>
        <v>-0.82903762046560858</v>
      </c>
      <c r="AN93" s="524">
        <f t="shared" si="115"/>
        <v>-33.999995091008067</v>
      </c>
      <c r="AO93" s="525">
        <f t="shared" si="525"/>
        <v>0</v>
      </c>
      <c r="AP93" s="528">
        <f t="shared" si="117"/>
        <v>-89.999999999999972</v>
      </c>
      <c r="AQ93" s="529">
        <f t="shared" si="533"/>
        <v>1.1025670183535015</v>
      </c>
      <c r="AS93" s="932">
        <f t="shared" si="632"/>
        <v>41.362988184974455</v>
      </c>
      <c r="AT93" s="928">
        <f t="shared" si="534"/>
        <v>-8.8472825973750335E-2</v>
      </c>
      <c r="AU93" s="418"/>
      <c r="AV93" s="164" t="str">
        <f t="shared" si="535"/>
        <v/>
      </c>
      <c r="AW93" s="797" t="str">
        <f>IFERROR(INDEX(MassProp!C$9:C$150,MATCH($M93,MassProp!$B$9:$B$150,0)),"")</f>
        <v/>
      </c>
      <c r="AX93" s="744" t="str">
        <f>IFERROR(INDEX(MassProp!D$9:D$150,MATCH($M93,MassProp!$B$9:$B$150,0)),"")</f>
        <v/>
      </c>
      <c r="AY93" s="731" t="str">
        <f>IFERROR(INDEX(MassProp!E$9:E$150,MATCH($M93,MassProp!$B$9:$B$150,0)),"")</f>
        <v/>
      </c>
      <c r="AZ93" s="297" t="str">
        <f t="shared" si="633"/>
        <v/>
      </c>
      <c r="BA93" s="296" t="str">
        <f t="shared" si="536"/>
        <v/>
      </c>
      <c r="BB93" s="177" t="str">
        <f t="shared" si="610"/>
        <v/>
      </c>
      <c r="BC93" s="9"/>
      <c r="BD93" s="5" t="str">
        <f t="shared" si="611"/>
        <v/>
      </c>
      <c r="BE93" s="6" t="str">
        <f t="shared" si="537"/>
        <v/>
      </c>
      <c r="BF93" s="4" t="str">
        <f t="shared" si="538"/>
        <v/>
      </c>
      <c r="BG93" s="5" t="str">
        <f t="shared" si="539"/>
        <v/>
      </c>
      <c r="BH93" s="10" t="str">
        <f t="shared" si="540"/>
        <v/>
      </c>
      <c r="BI93" s="9" t="str">
        <f t="shared" si="634"/>
        <v/>
      </c>
      <c r="BJ93" s="5" t="str">
        <f t="shared" si="541"/>
        <v/>
      </c>
      <c r="BK93" s="8" t="str">
        <f t="shared" si="542"/>
        <v/>
      </c>
      <c r="BL93" s="173" t="str">
        <f t="shared" si="543"/>
        <v/>
      </c>
      <c r="BM93" s="5" t="str">
        <f t="shared" si="544"/>
        <v/>
      </c>
      <c r="BN93" s="6" t="str">
        <f t="shared" si="545"/>
        <v/>
      </c>
      <c r="BO93" s="4" t="str">
        <f t="shared" si="635"/>
        <v/>
      </c>
      <c r="BP93" s="5" t="str">
        <f t="shared" si="734"/>
        <v/>
      </c>
      <c r="BQ93" s="5" t="str">
        <f t="shared" si="636"/>
        <v/>
      </c>
      <c r="BR93" s="6" t="str">
        <f t="shared" si="637"/>
        <v/>
      </c>
      <c r="BS93" s="4" t="str">
        <f t="shared" si="612"/>
        <v/>
      </c>
      <c r="BT93" s="5" t="str">
        <f t="shared" si="612"/>
        <v/>
      </c>
      <c r="BU93" s="10" t="str">
        <f t="shared" si="613"/>
        <v/>
      </c>
      <c r="BV93" s="9" t="str">
        <f t="shared" si="614"/>
        <v/>
      </c>
      <c r="BW93" s="5" t="str">
        <f t="shared" si="615"/>
        <v/>
      </c>
      <c r="BX93" s="8" t="str">
        <f t="shared" si="616"/>
        <v/>
      </c>
      <c r="BY93" s="173" t="str">
        <f t="shared" si="617"/>
        <v/>
      </c>
      <c r="BZ93" s="5" t="str">
        <f t="shared" si="618"/>
        <v/>
      </c>
      <c r="CA93" s="6" t="str">
        <f t="shared" si="619"/>
        <v/>
      </c>
      <c r="CB93" s="4" t="str">
        <f t="shared" si="638"/>
        <v/>
      </c>
      <c r="CC93" s="5" t="str">
        <f t="shared" si="639"/>
        <v/>
      </c>
      <c r="CD93" s="5" t="str">
        <f t="shared" si="640"/>
        <v/>
      </c>
      <c r="CE93" s="6" t="str">
        <f t="shared" si="641"/>
        <v/>
      </c>
      <c r="CF93" s="4" t="str">
        <f t="shared" si="642"/>
        <v/>
      </c>
      <c r="CG93" s="5" t="str">
        <f t="shared" si="643"/>
        <v/>
      </c>
      <c r="CH93" s="5" t="str">
        <f t="shared" si="644"/>
        <v/>
      </c>
      <c r="CI93" s="4" t="str">
        <f t="shared" si="620"/>
        <v/>
      </c>
      <c r="CJ93" s="5" t="str">
        <f t="shared" si="621"/>
        <v/>
      </c>
      <c r="CK93" s="8" t="str">
        <f t="shared" si="622"/>
        <v/>
      </c>
      <c r="CL93" s="173" t="str">
        <f t="shared" si="623"/>
        <v/>
      </c>
      <c r="CM93" s="5" t="str">
        <f t="shared" si="624"/>
        <v/>
      </c>
      <c r="CN93" s="6" t="str">
        <f t="shared" si="625"/>
        <v/>
      </c>
      <c r="CO93" s="167" t="str">
        <f t="shared" si="546"/>
        <v/>
      </c>
      <c r="CP93" s="4" t="str">
        <f t="shared" si="645"/>
        <v/>
      </c>
      <c r="CQ93" s="5" t="str">
        <f t="shared" si="646"/>
        <v/>
      </c>
      <c r="CR93" s="5" t="str">
        <f t="shared" si="647"/>
        <v/>
      </c>
      <c r="CS93" s="8" t="str">
        <f t="shared" si="648"/>
        <v/>
      </c>
      <c r="CT93" s="9" t="str">
        <f t="shared" si="649"/>
        <v/>
      </c>
      <c r="CU93" s="6" t="str">
        <f t="shared" si="650"/>
        <v/>
      </c>
      <c r="CV93" s="4" t="str">
        <f t="shared" si="651"/>
        <v/>
      </c>
      <c r="CW93" s="5" t="str">
        <f t="shared" si="652"/>
        <v/>
      </c>
      <c r="CX93" s="8" t="str">
        <f t="shared" si="653"/>
        <v/>
      </c>
      <c r="CY93" s="9" t="str">
        <f t="shared" si="654"/>
        <v/>
      </c>
      <c r="CZ93" s="5" t="str">
        <f t="shared" si="655"/>
        <v/>
      </c>
      <c r="DA93" s="6" t="str">
        <f t="shared" si="656"/>
        <v/>
      </c>
      <c r="DB93" s="4" t="str">
        <f t="shared" si="657"/>
        <v/>
      </c>
      <c r="DC93" s="5" t="str">
        <f t="shared" si="657"/>
        <v/>
      </c>
      <c r="DD93" s="10" t="str">
        <f t="shared" si="658"/>
        <v/>
      </c>
      <c r="DE93" s="9" t="str">
        <f t="shared" si="659"/>
        <v/>
      </c>
      <c r="DF93" s="5" t="str">
        <f t="shared" si="659"/>
        <v/>
      </c>
      <c r="DG93" s="10" t="str">
        <f t="shared" si="660"/>
        <v/>
      </c>
      <c r="DH93" s="70" t="str">
        <f t="shared" si="661"/>
        <v/>
      </c>
      <c r="DI93" s="4" t="str">
        <f t="shared" si="662"/>
        <v/>
      </c>
      <c r="DJ93" s="5" t="str">
        <f t="shared" si="663"/>
        <v/>
      </c>
      <c r="DK93" s="10" t="str">
        <f t="shared" si="664"/>
        <v/>
      </c>
      <c r="DL93" s="9" t="str">
        <f t="shared" si="665"/>
        <v/>
      </c>
      <c r="DM93" s="173" t="str">
        <f t="shared" si="666"/>
        <v/>
      </c>
      <c r="DN93" s="178" t="str">
        <f t="shared" si="667"/>
        <v/>
      </c>
      <c r="DO93" s="9" t="str">
        <f t="shared" si="668"/>
        <v/>
      </c>
      <c r="DP93" s="173" t="str">
        <f t="shared" si="669"/>
        <v/>
      </c>
      <c r="DQ93" s="11" t="str">
        <f t="shared" si="670"/>
        <v/>
      </c>
      <c r="DR93" s="173" t="str">
        <f t="shared" si="671"/>
        <v/>
      </c>
      <c r="DS93" s="5" t="str">
        <f t="shared" si="672"/>
        <v/>
      </c>
      <c r="DT93" s="5" t="str">
        <f t="shared" si="673"/>
        <v/>
      </c>
      <c r="DU93" s="5" t="str">
        <f t="shared" si="674"/>
        <v/>
      </c>
      <c r="DV93" s="5" t="str">
        <f t="shared" si="675"/>
        <v/>
      </c>
      <c r="DW93" s="5" t="str">
        <f t="shared" si="676"/>
        <v/>
      </c>
      <c r="DX93" s="167" t="str">
        <f t="shared" si="677"/>
        <v/>
      </c>
      <c r="DY93" s="9" t="str">
        <f t="shared" si="678"/>
        <v/>
      </c>
      <c r="DZ93" s="5" t="str">
        <f t="shared" si="679"/>
        <v/>
      </c>
      <c r="EA93" s="10" t="str">
        <f t="shared" si="680"/>
        <v/>
      </c>
      <c r="EB93" s="6" t="str">
        <f t="shared" si="681"/>
        <v/>
      </c>
      <c r="EC93" s="173" t="str">
        <f t="shared" si="682"/>
        <v/>
      </c>
      <c r="ED93" s="5" t="str">
        <f t="shared" si="683"/>
        <v/>
      </c>
      <c r="EE93" s="4" t="str">
        <f t="shared" si="684"/>
        <v/>
      </c>
      <c r="EF93" s="5" t="str">
        <f t="shared" si="685"/>
        <v/>
      </c>
      <c r="EG93" s="10" t="str">
        <f t="shared" si="686"/>
        <v/>
      </c>
      <c r="EH93" s="9" t="str">
        <f t="shared" si="687"/>
        <v/>
      </c>
      <c r="EI93" s="5" t="str">
        <f t="shared" si="688"/>
        <v/>
      </c>
      <c r="EJ93" s="6" t="str">
        <f t="shared" si="689"/>
        <v/>
      </c>
      <c r="EK93" s="236" t="str">
        <f t="shared" si="690"/>
        <v/>
      </c>
      <c r="EL93" s="238" t="str">
        <f t="shared" si="691"/>
        <v/>
      </c>
      <c r="EM93" s="4" t="str">
        <f t="shared" si="692"/>
        <v/>
      </c>
      <c r="EN93" s="5" t="str">
        <f t="shared" si="693"/>
        <v/>
      </c>
      <c r="EO93" s="10" t="str">
        <f t="shared" si="694"/>
        <v/>
      </c>
      <c r="EP93" s="9" t="str">
        <f t="shared" si="695"/>
        <v/>
      </c>
      <c r="EQ93" s="5" t="str">
        <f t="shared" si="696"/>
        <v/>
      </c>
      <c r="ER93" s="7" t="str">
        <f t="shared" si="697"/>
        <v/>
      </c>
      <c r="ES93" s="21" t="str">
        <f t="shared" si="547"/>
        <v/>
      </c>
      <c r="ET93" s="5" t="str">
        <f t="shared" si="548"/>
        <v/>
      </c>
      <c r="EU93" s="10" t="str">
        <f t="shared" si="549"/>
        <v/>
      </c>
      <c r="EV93" s="174" t="str">
        <f t="shared" si="550"/>
        <v/>
      </c>
      <c r="EW93" s="9" t="str">
        <f t="shared" si="551"/>
        <v/>
      </c>
      <c r="EX93" s="5" t="str">
        <f t="shared" si="552"/>
        <v/>
      </c>
      <c r="EY93" s="6" t="str">
        <f t="shared" si="698"/>
        <v/>
      </c>
      <c r="EZ93" s="51" t="str">
        <f t="shared" si="699"/>
        <v/>
      </c>
      <c r="FA93" s="173" t="str">
        <f t="shared" si="553"/>
        <v/>
      </c>
      <c r="FB93" s="5" t="str">
        <f t="shared" si="554"/>
        <v/>
      </c>
      <c r="FC93" s="6" t="str">
        <f t="shared" si="555"/>
        <v/>
      </c>
      <c r="FD93" s="4" t="str">
        <f t="shared" si="556"/>
        <v/>
      </c>
      <c r="FE93" s="5" t="str">
        <f t="shared" si="557"/>
        <v/>
      </c>
      <c r="FF93" s="7" t="str">
        <f t="shared" si="700"/>
        <v/>
      </c>
      <c r="FG93" s="173" t="str">
        <f t="shared" si="558"/>
        <v/>
      </c>
      <c r="FH93" s="5" t="str">
        <f t="shared" si="559"/>
        <v/>
      </c>
      <c r="FI93" s="10" t="str">
        <f t="shared" si="560"/>
        <v/>
      </c>
      <c r="FJ93" s="279" t="str">
        <f t="shared" si="701"/>
        <v/>
      </c>
      <c r="FK93" s="4" t="str">
        <f t="shared" si="561"/>
        <v/>
      </c>
      <c r="FL93" s="5" t="str">
        <f t="shared" si="626"/>
        <v/>
      </c>
      <c r="FM93" s="8" t="str">
        <f t="shared" si="627"/>
        <v/>
      </c>
      <c r="FN93" s="9" t="str">
        <f t="shared" si="628"/>
        <v/>
      </c>
      <c r="FO93" s="10" t="str">
        <f t="shared" si="562"/>
        <v/>
      </c>
      <c r="FP93" s="277" t="str">
        <f t="shared" si="629"/>
        <v/>
      </c>
      <c r="FQ93" s="173" t="str">
        <f t="shared" si="702"/>
        <v/>
      </c>
      <c r="FR93" s="10" t="str">
        <f t="shared" si="703"/>
        <v/>
      </c>
      <c r="FS93" s="9" t="str">
        <f t="shared" si="704"/>
        <v/>
      </c>
      <c r="FT93" s="6" t="str">
        <f t="shared" si="705"/>
        <v/>
      </c>
      <c r="FU93" s="4" t="str">
        <f t="shared" si="706"/>
        <v/>
      </c>
      <c r="FV93" s="5" t="str">
        <f t="shared" si="707"/>
        <v/>
      </c>
      <c r="FW93" s="8" t="str">
        <f t="shared" si="708"/>
        <v/>
      </c>
      <c r="FX93" s="9" t="str">
        <f t="shared" si="709"/>
        <v/>
      </c>
      <c r="FY93" s="10" t="str">
        <f t="shared" si="563"/>
        <v/>
      </c>
      <c r="FZ93" s="277" t="str">
        <f t="shared" si="710"/>
        <v/>
      </c>
      <c r="GA93" s="177" t="str">
        <f t="shared" si="711"/>
        <v/>
      </c>
      <c r="GB93" s="4" t="str">
        <f t="shared" si="712"/>
        <v/>
      </c>
      <c r="GC93" s="5" t="str">
        <f t="shared" si="713"/>
        <v/>
      </c>
      <c r="GD93" s="10" t="str">
        <f t="shared" si="714"/>
        <v/>
      </c>
      <c r="GE93" s="311" t="str">
        <f t="shared" si="715"/>
        <v/>
      </c>
      <c r="GF93" s="341" t="str">
        <f t="shared" si="716"/>
        <v/>
      </c>
      <c r="GG93" s="285" t="str">
        <f t="shared" si="564"/>
        <v/>
      </c>
      <c r="GH93" s="286" t="str">
        <f t="shared" si="565"/>
        <v/>
      </c>
      <c r="GI93" s="281" t="str">
        <f t="shared" si="566"/>
        <v/>
      </c>
      <c r="GJ93" s="167" t="str">
        <f t="shared" si="717"/>
        <v/>
      </c>
      <c r="GK93" s="174" t="str">
        <f t="shared" si="567"/>
        <v/>
      </c>
      <c r="GL93" s="174" t="str">
        <f t="shared" si="718"/>
        <v/>
      </c>
      <c r="GM93" s="177" t="str">
        <f t="shared" si="719"/>
        <v/>
      </c>
      <c r="GN93" s="280" t="str">
        <f t="shared" si="720"/>
        <v/>
      </c>
      <c r="GO93" s="4" t="str">
        <f t="shared" si="721"/>
        <v/>
      </c>
      <c r="GP93" s="8" t="str">
        <f t="shared" si="722"/>
        <v/>
      </c>
      <c r="GQ93" s="177" t="str">
        <f t="shared" si="723"/>
        <v/>
      </c>
      <c r="GR93" s="371" t="str">
        <f t="shared" si="724"/>
        <v/>
      </c>
      <c r="GS93" s="342" t="str">
        <f t="shared" si="568"/>
        <v/>
      </c>
      <c r="GT93" s="343" t="str">
        <f t="shared" si="569"/>
        <v/>
      </c>
      <c r="GU93" s="344" t="str">
        <f t="shared" si="570"/>
        <v/>
      </c>
      <c r="GV93" s="343" t="str">
        <f t="shared" si="725"/>
        <v/>
      </c>
      <c r="GW93" s="345" t="str">
        <f t="shared" si="571"/>
        <v/>
      </c>
      <c r="GX93" s="346" t="str">
        <f t="shared" si="572"/>
        <v/>
      </c>
      <c r="GY93" s="344" t="str">
        <f t="shared" si="573"/>
        <v/>
      </c>
      <c r="GZ93" s="345" t="str">
        <f t="shared" si="574"/>
        <v/>
      </c>
      <c r="HA93" s="342" t="str">
        <f t="shared" si="575"/>
        <v/>
      </c>
      <c r="HB93" s="5" t="str">
        <f t="shared" si="726"/>
        <v/>
      </c>
      <c r="HC93" s="343" t="str">
        <f t="shared" si="727"/>
        <v/>
      </c>
      <c r="HD93" s="363" t="str">
        <f t="shared" si="728"/>
        <v/>
      </c>
      <c r="HE93" s="344" t="str">
        <f t="shared" si="576"/>
        <v/>
      </c>
      <c r="HF93" s="5" t="str">
        <f t="shared" si="577"/>
        <v/>
      </c>
      <c r="HG93" s="343" t="str">
        <f t="shared" si="729"/>
        <v/>
      </c>
      <c r="HH93" s="349" t="str">
        <f t="shared" si="730"/>
        <v/>
      </c>
      <c r="HI93" s="317" t="str">
        <f t="shared" si="578"/>
        <v/>
      </c>
      <c r="HK93" s="310" t="str">
        <f t="shared" si="630"/>
        <v/>
      </c>
      <c r="HL93" s="348" t="str">
        <f t="shared" si="579"/>
        <v/>
      </c>
      <c r="HM93" s="909" t="str">
        <f t="shared" si="580"/>
        <v/>
      </c>
      <c r="HN93" s="910" t="str">
        <f t="shared" si="581"/>
        <v/>
      </c>
      <c r="HO93" s="911"/>
      <c r="HP93" s="912"/>
      <c r="HQ93" s="910" t="str">
        <f t="shared" si="582"/>
        <v/>
      </c>
      <c r="HR93" s="913" t="str">
        <f t="shared" si="583"/>
        <v/>
      </c>
      <c r="HS93" s="865" t="str">
        <f t="shared" si="631"/>
        <v/>
      </c>
      <c r="HT93" s="875" t="str">
        <f t="shared" si="584"/>
        <v/>
      </c>
      <c r="HU93" s="876" t="str">
        <f t="shared" si="585"/>
        <v/>
      </c>
      <c r="HV93" s="872" t="str">
        <f t="shared" si="586"/>
        <v/>
      </c>
      <c r="HW93" s="866" t="str">
        <f t="shared" si="587"/>
        <v/>
      </c>
      <c r="HX93" s="867" t="str">
        <f t="shared" si="588"/>
        <v/>
      </c>
      <c r="HY93" s="866" t="str">
        <f t="shared" si="589"/>
        <v/>
      </c>
      <c r="HZ93" s="868" t="str">
        <f t="shared" si="590"/>
        <v/>
      </c>
      <c r="IA93" s="869" t="str">
        <f t="shared" si="591"/>
        <v/>
      </c>
      <c r="IB93" s="870" t="str">
        <f t="shared" si="592"/>
        <v/>
      </c>
      <c r="IC93" s="841" t="str">
        <f t="shared" si="593"/>
        <v/>
      </c>
      <c r="ID93" s="351" t="str">
        <f t="shared" si="594"/>
        <v/>
      </c>
      <c r="IE93" s="843" t="str">
        <f t="shared" si="595"/>
        <v/>
      </c>
      <c r="IF93" s="844"/>
      <c r="IG93" s="790" t="str">
        <f>IFERROR(IF($IW93="","",IF($IW93&lt;(((Settings!$C$19/2)*-1)*$IG$8),"Taper","Nose")),"")</f>
        <v>Taper</v>
      </c>
      <c r="IH93" s="482" t="str">
        <f>IFERROR(IF((((($IY93*COS(RADIANS(180-$JA93)))*COS(RADIANS($JA93)))-(($IZ93*SIN(RADIANS(180-$JA93)))*SIN(RADIANS($JA93))))+$IW93)&lt;(((Settings!$C$19+$IH$8)/2)*-1),"Gage",""),"")</f>
        <v/>
      </c>
      <c r="II93" s="788">
        <f t="shared" si="731"/>
        <v>6.2240000000000002</v>
      </c>
      <c r="IJ93" s="674" cm="1">
        <f t="array" ref="IJ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>0.124</v>
      </c>
      <c r="IK93" s="677" cm="1">
        <f t="array" ref="IK93">IFERROR(ROUND(VALUE(IF($IJ93&lt;1,$IJ93+LARGE((IF($M$9:$M$150="",0,$M$9:$M$150)-MOD(IF($M$9:$M$150="",0,$M$9:$M$150),1)),1),$IJ93)),4),"")</f>
        <v>6.1239999999999997</v>
      </c>
      <c r="IL93" s="482">
        <f t="shared" si="596"/>
        <v>1613</v>
      </c>
      <c r="IM93" s="482" t="str">
        <f t="shared" si="732"/>
        <v>CPS-32193r1</v>
      </c>
      <c r="IN93" s="670">
        <f t="shared" si="597"/>
        <v>14.950710105981415</v>
      </c>
      <c r="IO93" s="702">
        <v>5.7266605492357202E-2</v>
      </c>
      <c r="IP93" s="5">
        <f t="shared" si="598"/>
        <v>1.86</v>
      </c>
      <c r="IQ93" s="714">
        <v>930</v>
      </c>
      <c r="IR93" s="9">
        <f t="shared" si="599"/>
        <v>-4.1407800265276293</v>
      </c>
      <c r="IS93" s="5">
        <f t="shared" si="600"/>
        <v>-0.49376062179459534</v>
      </c>
      <c r="IT93" s="5">
        <f t="shared" si="601"/>
        <v>0.3125</v>
      </c>
      <c r="IU93" s="5">
        <f t="shared" si="602"/>
        <v>0.29515973034079435</v>
      </c>
      <c r="IV93" s="670">
        <f t="shared" si="603"/>
        <v>35.360276952469491</v>
      </c>
      <c r="IW93" s="9">
        <f t="shared" si="604"/>
        <v>-4.1347966802298517</v>
      </c>
      <c r="IX93" s="5">
        <f t="shared" si="605"/>
        <v>-0.52729965041995608</v>
      </c>
      <c r="IY93" s="5">
        <f t="shared" si="606"/>
        <v>0.255</v>
      </c>
      <c r="IZ93" s="5">
        <f t="shared" si="607"/>
        <v>0.255</v>
      </c>
      <c r="JA93" s="705">
        <f t="shared" si="608"/>
        <v>33.999995091008067</v>
      </c>
    </row>
    <row r="94" spans="1:261" ht="15" customHeight="1" x14ac:dyDescent="0.25">
      <c r="A94" s="75">
        <f t="shared" si="256"/>
        <v>0</v>
      </c>
      <c r="B94" s="578">
        <f t="shared" si="515"/>
        <v>-3.1164970620685604</v>
      </c>
      <c r="C94" s="572">
        <f t="shared" si="516"/>
        <v>3.4628419267043786</v>
      </c>
      <c r="D94" s="576">
        <f t="shared" si="517"/>
        <v>-1.077526991199758</v>
      </c>
      <c r="E94" s="580">
        <f t="shared" si="518"/>
        <v>-0.5479778803189832</v>
      </c>
      <c r="F94" s="572">
        <f t="shared" si="519"/>
        <v>0.60887616483606544</v>
      </c>
      <c r="G94" s="579">
        <f t="shared" si="520"/>
        <v>0.57357654988295925</v>
      </c>
      <c r="H94" s="580">
        <f t="shared" si="521"/>
        <v>0.255</v>
      </c>
      <c r="I94" s="572">
        <f t="shared" si="522"/>
        <v>0.41499999999999992</v>
      </c>
      <c r="J94" s="483">
        <f t="shared" si="523"/>
        <v>6.23</v>
      </c>
      <c r="K94" s="806" t="str">
        <f t="shared" si="524"/>
        <v>CPS-32193r1</v>
      </c>
      <c r="L94" s="309"/>
      <c r="M94" s="164">
        <f t="shared" si="526"/>
        <v>6.23</v>
      </c>
      <c r="N94" s="575">
        <f t="shared" si="527"/>
        <v>-3.1164970620685604</v>
      </c>
      <c r="O94" s="572">
        <f t="shared" si="528"/>
        <v>3.4628419267043786</v>
      </c>
      <c r="P94" s="576">
        <f t="shared" si="529"/>
        <v>-1.077526991199758</v>
      </c>
      <c r="Q94" s="528">
        <f t="shared" si="609"/>
        <v>131.98665786596916</v>
      </c>
      <c r="R94" s="572">
        <f t="shared" si="101"/>
        <v>4.6587367544457434</v>
      </c>
      <c r="S94" s="577">
        <f t="shared" si="102"/>
        <v>-1.077526991199758</v>
      </c>
      <c r="T94" s="578">
        <f t="shared" si="103"/>
        <v>3.4391970252480841</v>
      </c>
      <c r="U94" s="572">
        <f t="shared" si="104"/>
        <v>3.142570917059532</v>
      </c>
      <c r="V94" s="579">
        <f t="shared" si="141"/>
        <v>-1.077526991199758</v>
      </c>
      <c r="W94" s="528">
        <f t="shared" si="735"/>
        <v>42.41954871184015</v>
      </c>
      <c r="X94" s="572">
        <f t="shared" si="105"/>
        <v>4.6587367544457434</v>
      </c>
      <c r="Y94" s="573">
        <f t="shared" si="733"/>
        <v>-1.077526991199758</v>
      </c>
      <c r="Z94" s="575">
        <f t="shared" si="530"/>
        <v>0.5479778803189832</v>
      </c>
      <c r="AA94" s="572">
        <f t="shared" si="531"/>
        <v>-0.60887616483606544</v>
      </c>
      <c r="AB94" s="572">
        <f t="shared" si="532"/>
        <v>-0.57357654988295925</v>
      </c>
      <c r="AC94" s="579">
        <f t="shared" si="106"/>
        <v>1</v>
      </c>
      <c r="AD94" s="580">
        <f t="shared" si="142"/>
        <v>0.5479778803189832</v>
      </c>
      <c r="AE94" s="572">
        <f t="shared" si="107"/>
        <v>-0.60887616483606544</v>
      </c>
      <c r="AF94" s="576">
        <f t="shared" si="108"/>
        <v>-0.57357654988295925</v>
      </c>
      <c r="AG94" s="545">
        <f t="shared" si="109"/>
        <v>-46.709935993265283</v>
      </c>
      <c r="AH94" s="546">
        <f t="shared" si="110"/>
        <v>56.771602588629086</v>
      </c>
      <c r="AI94" s="528">
        <f t="shared" si="111"/>
        <v>-54.999992058983651</v>
      </c>
      <c r="AJ94" s="529">
        <f t="shared" si="112"/>
        <v>41.986657865969143</v>
      </c>
      <c r="AK94" s="578">
        <f t="shared" si="238"/>
        <v>-3.3306690738754696E-16</v>
      </c>
      <c r="AL94" s="572">
        <f t="shared" si="113"/>
        <v>-0.81915196479307884</v>
      </c>
      <c r="AM94" s="577">
        <f t="shared" si="114"/>
        <v>-0.57357654988295925</v>
      </c>
      <c r="AN94" s="524">
        <f t="shared" si="115"/>
        <v>-54.999992058983658</v>
      </c>
      <c r="AO94" s="525">
        <f t="shared" si="525"/>
        <v>0</v>
      </c>
      <c r="AP94" s="528">
        <f t="shared" si="117"/>
        <v>-90.000000000000028</v>
      </c>
      <c r="AQ94" s="529">
        <f t="shared" si="533"/>
        <v>0.97859358474771263</v>
      </c>
      <c r="AS94" s="932">
        <f t="shared" si="632"/>
        <v>42.41954871184015</v>
      </c>
      <c r="AT94" s="928">
        <f t="shared" si="534"/>
        <v>-0.64016761192975458</v>
      </c>
      <c r="AU94" s="418"/>
      <c r="AV94" s="164" t="str">
        <f t="shared" si="535"/>
        <v/>
      </c>
      <c r="AW94" s="797" t="str">
        <f>IFERROR(INDEX(MassProp!C$9:C$150,MATCH($M94,MassProp!$B$9:$B$150,0)),"")</f>
        <v/>
      </c>
      <c r="AX94" s="744" t="str">
        <f>IFERROR(INDEX(MassProp!D$9:D$150,MATCH($M94,MassProp!$B$9:$B$150,0)),"")</f>
        <v/>
      </c>
      <c r="AY94" s="731" t="str">
        <f>IFERROR(INDEX(MassProp!E$9:E$150,MATCH($M94,MassProp!$B$9:$B$150,0)),"")</f>
        <v/>
      </c>
      <c r="AZ94" s="297" t="str">
        <f t="shared" si="633"/>
        <v/>
      </c>
      <c r="BA94" s="296" t="str">
        <f t="shared" si="536"/>
        <v/>
      </c>
      <c r="BB94" s="177" t="str">
        <f t="shared" si="610"/>
        <v/>
      </c>
      <c r="BC94" s="9"/>
      <c r="BD94" s="5" t="str">
        <f t="shared" si="611"/>
        <v/>
      </c>
      <c r="BE94" s="6" t="str">
        <f t="shared" si="537"/>
        <v/>
      </c>
      <c r="BF94" s="4" t="str">
        <f t="shared" si="538"/>
        <v/>
      </c>
      <c r="BG94" s="5" t="str">
        <f t="shared" si="539"/>
        <v/>
      </c>
      <c r="BH94" s="10" t="str">
        <f t="shared" si="540"/>
        <v/>
      </c>
      <c r="BI94" s="9" t="str">
        <f t="shared" si="634"/>
        <v/>
      </c>
      <c r="BJ94" s="5" t="str">
        <f t="shared" si="541"/>
        <v/>
      </c>
      <c r="BK94" s="8" t="str">
        <f t="shared" si="542"/>
        <v/>
      </c>
      <c r="BL94" s="173" t="str">
        <f t="shared" si="543"/>
        <v/>
      </c>
      <c r="BM94" s="5" t="str">
        <f t="shared" si="544"/>
        <v/>
      </c>
      <c r="BN94" s="6" t="str">
        <f t="shared" si="545"/>
        <v/>
      </c>
      <c r="BO94" s="4" t="str">
        <f t="shared" si="635"/>
        <v/>
      </c>
      <c r="BP94" s="5" t="str">
        <f t="shared" si="734"/>
        <v/>
      </c>
      <c r="BQ94" s="5" t="str">
        <f t="shared" si="636"/>
        <v/>
      </c>
      <c r="BR94" s="6" t="str">
        <f t="shared" si="637"/>
        <v/>
      </c>
      <c r="BS94" s="4" t="str">
        <f t="shared" si="612"/>
        <v/>
      </c>
      <c r="BT94" s="5" t="str">
        <f t="shared" si="612"/>
        <v/>
      </c>
      <c r="BU94" s="10" t="str">
        <f t="shared" si="613"/>
        <v/>
      </c>
      <c r="BV94" s="9" t="str">
        <f t="shared" si="614"/>
        <v/>
      </c>
      <c r="BW94" s="5" t="str">
        <f t="shared" si="615"/>
        <v/>
      </c>
      <c r="BX94" s="8" t="str">
        <f t="shared" si="616"/>
        <v/>
      </c>
      <c r="BY94" s="173" t="str">
        <f t="shared" si="617"/>
        <v/>
      </c>
      <c r="BZ94" s="5" t="str">
        <f t="shared" si="618"/>
        <v/>
      </c>
      <c r="CA94" s="6" t="str">
        <f t="shared" si="619"/>
        <v/>
      </c>
      <c r="CB94" s="4" t="str">
        <f t="shared" si="638"/>
        <v/>
      </c>
      <c r="CC94" s="5" t="str">
        <f t="shared" si="639"/>
        <v/>
      </c>
      <c r="CD94" s="5" t="str">
        <f t="shared" si="640"/>
        <v/>
      </c>
      <c r="CE94" s="6" t="str">
        <f t="shared" si="641"/>
        <v/>
      </c>
      <c r="CF94" s="4" t="str">
        <f t="shared" si="642"/>
        <v/>
      </c>
      <c r="CG94" s="5" t="str">
        <f t="shared" si="643"/>
        <v/>
      </c>
      <c r="CH94" s="5" t="str">
        <f t="shared" si="644"/>
        <v/>
      </c>
      <c r="CI94" s="4" t="str">
        <f t="shared" si="620"/>
        <v/>
      </c>
      <c r="CJ94" s="5" t="str">
        <f t="shared" si="621"/>
        <v/>
      </c>
      <c r="CK94" s="8" t="str">
        <f t="shared" si="622"/>
        <v/>
      </c>
      <c r="CL94" s="173" t="str">
        <f t="shared" si="623"/>
        <v/>
      </c>
      <c r="CM94" s="5" t="str">
        <f t="shared" si="624"/>
        <v/>
      </c>
      <c r="CN94" s="6" t="str">
        <f t="shared" si="625"/>
        <v/>
      </c>
      <c r="CO94" s="167" t="str">
        <f t="shared" si="546"/>
        <v/>
      </c>
      <c r="CP94" s="4" t="str">
        <f t="shared" si="645"/>
        <v/>
      </c>
      <c r="CQ94" s="5" t="str">
        <f t="shared" si="646"/>
        <v/>
      </c>
      <c r="CR94" s="5" t="str">
        <f t="shared" si="647"/>
        <v/>
      </c>
      <c r="CS94" s="8" t="str">
        <f t="shared" si="648"/>
        <v/>
      </c>
      <c r="CT94" s="9" t="str">
        <f t="shared" si="649"/>
        <v/>
      </c>
      <c r="CU94" s="6" t="str">
        <f t="shared" si="650"/>
        <v/>
      </c>
      <c r="CV94" s="4" t="str">
        <f t="shared" si="651"/>
        <v/>
      </c>
      <c r="CW94" s="5" t="str">
        <f t="shared" si="652"/>
        <v/>
      </c>
      <c r="CX94" s="8" t="str">
        <f t="shared" si="653"/>
        <v/>
      </c>
      <c r="CY94" s="9" t="str">
        <f t="shared" si="654"/>
        <v/>
      </c>
      <c r="CZ94" s="5" t="str">
        <f t="shared" si="655"/>
        <v/>
      </c>
      <c r="DA94" s="6" t="str">
        <f t="shared" si="656"/>
        <v/>
      </c>
      <c r="DB94" s="4" t="str">
        <f t="shared" si="657"/>
        <v/>
      </c>
      <c r="DC94" s="5" t="str">
        <f t="shared" si="657"/>
        <v/>
      </c>
      <c r="DD94" s="10" t="str">
        <f t="shared" si="658"/>
        <v/>
      </c>
      <c r="DE94" s="9" t="str">
        <f t="shared" si="659"/>
        <v/>
      </c>
      <c r="DF94" s="5" t="str">
        <f t="shared" si="659"/>
        <v/>
      </c>
      <c r="DG94" s="10" t="str">
        <f t="shared" si="660"/>
        <v/>
      </c>
      <c r="DH94" s="70" t="str">
        <f t="shared" si="661"/>
        <v/>
      </c>
      <c r="DI94" s="4" t="str">
        <f t="shared" si="662"/>
        <v/>
      </c>
      <c r="DJ94" s="5" t="str">
        <f t="shared" si="663"/>
        <v/>
      </c>
      <c r="DK94" s="10" t="str">
        <f t="shared" si="664"/>
        <v/>
      </c>
      <c r="DL94" s="9" t="str">
        <f t="shared" si="665"/>
        <v/>
      </c>
      <c r="DM94" s="173" t="str">
        <f t="shared" si="666"/>
        <v/>
      </c>
      <c r="DN94" s="178" t="str">
        <f t="shared" si="667"/>
        <v/>
      </c>
      <c r="DO94" s="9" t="str">
        <f t="shared" si="668"/>
        <v/>
      </c>
      <c r="DP94" s="173" t="str">
        <f t="shared" si="669"/>
        <v/>
      </c>
      <c r="DQ94" s="11" t="str">
        <f t="shared" si="670"/>
        <v/>
      </c>
      <c r="DR94" s="173" t="str">
        <f t="shared" si="671"/>
        <v/>
      </c>
      <c r="DS94" s="5" t="str">
        <f t="shared" si="672"/>
        <v/>
      </c>
      <c r="DT94" s="5" t="str">
        <f t="shared" si="673"/>
        <v/>
      </c>
      <c r="DU94" s="5" t="str">
        <f t="shared" si="674"/>
        <v/>
      </c>
      <c r="DV94" s="5" t="str">
        <f t="shared" si="675"/>
        <v/>
      </c>
      <c r="DW94" s="5" t="str">
        <f t="shared" si="676"/>
        <v/>
      </c>
      <c r="DX94" s="167" t="str">
        <f t="shared" si="677"/>
        <v/>
      </c>
      <c r="DY94" s="9" t="str">
        <f t="shared" si="678"/>
        <v/>
      </c>
      <c r="DZ94" s="5" t="str">
        <f t="shared" si="679"/>
        <v/>
      </c>
      <c r="EA94" s="10" t="str">
        <f t="shared" si="680"/>
        <v/>
      </c>
      <c r="EB94" s="6" t="str">
        <f t="shared" si="681"/>
        <v/>
      </c>
      <c r="EC94" s="173" t="str">
        <f t="shared" si="682"/>
        <v/>
      </c>
      <c r="ED94" s="5" t="str">
        <f t="shared" si="683"/>
        <v/>
      </c>
      <c r="EE94" s="4" t="str">
        <f t="shared" si="684"/>
        <v/>
      </c>
      <c r="EF94" s="5" t="str">
        <f t="shared" si="685"/>
        <v/>
      </c>
      <c r="EG94" s="10" t="str">
        <f t="shared" si="686"/>
        <v/>
      </c>
      <c r="EH94" s="9" t="str">
        <f t="shared" si="687"/>
        <v/>
      </c>
      <c r="EI94" s="5" t="str">
        <f t="shared" si="688"/>
        <v/>
      </c>
      <c r="EJ94" s="6" t="str">
        <f t="shared" si="689"/>
        <v/>
      </c>
      <c r="EK94" s="236" t="str">
        <f t="shared" si="690"/>
        <v/>
      </c>
      <c r="EL94" s="238" t="str">
        <f t="shared" si="691"/>
        <v/>
      </c>
      <c r="EM94" s="4" t="str">
        <f t="shared" si="692"/>
        <v/>
      </c>
      <c r="EN94" s="5" t="str">
        <f t="shared" si="693"/>
        <v/>
      </c>
      <c r="EO94" s="10" t="str">
        <f t="shared" si="694"/>
        <v/>
      </c>
      <c r="EP94" s="9" t="str">
        <f t="shared" si="695"/>
        <v/>
      </c>
      <c r="EQ94" s="5" t="str">
        <f t="shared" si="696"/>
        <v/>
      </c>
      <c r="ER94" s="7" t="str">
        <f t="shared" si="697"/>
        <v/>
      </c>
      <c r="ES94" s="21" t="str">
        <f t="shared" si="547"/>
        <v/>
      </c>
      <c r="ET94" s="5" t="str">
        <f t="shared" si="548"/>
        <v/>
      </c>
      <c r="EU94" s="10" t="str">
        <f t="shared" si="549"/>
        <v/>
      </c>
      <c r="EV94" s="174" t="str">
        <f t="shared" si="550"/>
        <v/>
      </c>
      <c r="EW94" s="9" t="str">
        <f t="shared" si="551"/>
        <v/>
      </c>
      <c r="EX94" s="5" t="str">
        <f t="shared" si="552"/>
        <v/>
      </c>
      <c r="EY94" s="6" t="str">
        <f t="shared" si="698"/>
        <v/>
      </c>
      <c r="EZ94" s="51" t="str">
        <f t="shared" si="699"/>
        <v/>
      </c>
      <c r="FA94" s="173" t="str">
        <f t="shared" si="553"/>
        <v/>
      </c>
      <c r="FB94" s="5" t="str">
        <f t="shared" si="554"/>
        <v/>
      </c>
      <c r="FC94" s="6" t="str">
        <f t="shared" si="555"/>
        <v/>
      </c>
      <c r="FD94" s="4" t="str">
        <f t="shared" si="556"/>
        <v/>
      </c>
      <c r="FE94" s="5" t="str">
        <f t="shared" si="557"/>
        <v/>
      </c>
      <c r="FF94" s="7" t="str">
        <f t="shared" si="700"/>
        <v/>
      </c>
      <c r="FG94" s="173" t="str">
        <f t="shared" si="558"/>
        <v/>
      </c>
      <c r="FH94" s="5" t="str">
        <f t="shared" si="559"/>
        <v/>
      </c>
      <c r="FI94" s="10" t="str">
        <f t="shared" si="560"/>
        <v/>
      </c>
      <c r="FJ94" s="279" t="str">
        <f t="shared" si="701"/>
        <v/>
      </c>
      <c r="FK94" s="4" t="str">
        <f t="shared" si="561"/>
        <v/>
      </c>
      <c r="FL94" s="5" t="str">
        <f t="shared" si="626"/>
        <v/>
      </c>
      <c r="FM94" s="8" t="str">
        <f t="shared" si="627"/>
        <v/>
      </c>
      <c r="FN94" s="9" t="str">
        <f t="shared" si="628"/>
        <v/>
      </c>
      <c r="FO94" s="10" t="str">
        <f t="shared" si="562"/>
        <v/>
      </c>
      <c r="FP94" s="277" t="str">
        <f t="shared" si="629"/>
        <v/>
      </c>
      <c r="FQ94" s="173" t="str">
        <f t="shared" si="702"/>
        <v/>
      </c>
      <c r="FR94" s="10" t="str">
        <f t="shared" si="703"/>
        <v/>
      </c>
      <c r="FS94" s="9" t="str">
        <f t="shared" si="704"/>
        <v/>
      </c>
      <c r="FT94" s="6" t="str">
        <f t="shared" si="705"/>
        <v/>
      </c>
      <c r="FU94" s="4" t="str">
        <f t="shared" si="706"/>
        <v/>
      </c>
      <c r="FV94" s="5" t="str">
        <f t="shared" si="707"/>
        <v/>
      </c>
      <c r="FW94" s="8" t="str">
        <f t="shared" si="708"/>
        <v/>
      </c>
      <c r="FX94" s="9" t="str">
        <f t="shared" si="709"/>
        <v/>
      </c>
      <c r="FY94" s="10" t="str">
        <f t="shared" si="563"/>
        <v/>
      </c>
      <c r="FZ94" s="277" t="str">
        <f t="shared" si="710"/>
        <v/>
      </c>
      <c r="GA94" s="177" t="str">
        <f t="shared" si="711"/>
        <v/>
      </c>
      <c r="GB94" s="4" t="str">
        <f t="shared" si="712"/>
        <v/>
      </c>
      <c r="GC94" s="5" t="str">
        <f t="shared" si="713"/>
        <v/>
      </c>
      <c r="GD94" s="10" t="str">
        <f t="shared" si="714"/>
        <v/>
      </c>
      <c r="GE94" s="311" t="str">
        <f t="shared" si="715"/>
        <v/>
      </c>
      <c r="GF94" s="341" t="str">
        <f t="shared" si="716"/>
        <v/>
      </c>
      <c r="GG94" s="285" t="str">
        <f t="shared" si="564"/>
        <v/>
      </c>
      <c r="GH94" s="286" t="str">
        <f t="shared" si="565"/>
        <v/>
      </c>
      <c r="GI94" s="281" t="str">
        <f t="shared" si="566"/>
        <v/>
      </c>
      <c r="GJ94" s="167" t="str">
        <f t="shared" si="717"/>
        <v/>
      </c>
      <c r="GK94" s="174" t="str">
        <f t="shared" si="567"/>
        <v/>
      </c>
      <c r="GL94" s="174" t="str">
        <f t="shared" si="718"/>
        <v/>
      </c>
      <c r="GM94" s="177" t="str">
        <f t="shared" si="719"/>
        <v/>
      </c>
      <c r="GN94" s="280" t="str">
        <f t="shared" si="720"/>
        <v/>
      </c>
      <c r="GO94" s="4" t="str">
        <f t="shared" si="721"/>
        <v/>
      </c>
      <c r="GP94" s="8" t="str">
        <f t="shared" si="722"/>
        <v/>
      </c>
      <c r="GQ94" s="177" t="str">
        <f t="shared" si="723"/>
        <v/>
      </c>
      <c r="GR94" s="371" t="str">
        <f t="shared" si="724"/>
        <v/>
      </c>
      <c r="GS94" s="342" t="str">
        <f t="shared" si="568"/>
        <v/>
      </c>
      <c r="GT94" s="343" t="str">
        <f t="shared" si="569"/>
        <v/>
      </c>
      <c r="GU94" s="344" t="str">
        <f t="shared" si="570"/>
        <v/>
      </c>
      <c r="GV94" s="343" t="str">
        <f t="shared" si="725"/>
        <v/>
      </c>
      <c r="GW94" s="345" t="str">
        <f t="shared" si="571"/>
        <v/>
      </c>
      <c r="GX94" s="346" t="str">
        <f t="shared" si="572"/>
        <v/>
      </c>
      <c r="GY94" s="344" t="str">
        <f t="shared" si="573"/>
        <v/>
      </c>
      <c r="GZ94" s="345" t="str">
        <f t="shared" si="574"/>
        <v/>
      </c>
      <c r="HA94" s="342" t="str">
        <f t="shared" si="575"/>
        <v/>
      </c>
      <c r="HB94" s="5" t="str">
        <f t="shared" si="726"/>
        <v/>
      </c>
      <c r="HC94" s="343" t="str">
        <f t="shared" si="727"/>
        <v/>
      </c>
      <c r="HD94" s="363" t="str">
        <f t="shared" si="728"/>
        <v/>
      </c>
      <c r="HE94" s="344" t="str">
        <f t="shared" si="576"/>
        <v/>
      </c>
      <c r="HF94" s="5" t="str">
        <f t="shared" si="577"/>
        <v/>
      </c>
      <c r="HG94" s="343" t="str">
        <f t="shared" si="729"/>
        <v/>
      </c>
      <c r="HH94" s="349" t="str">
        <f t="shared" si="730"/>
        <v/>
      </c>
      <c r="HI94" s="317" t="str">
        <f t="shared" si="578"/>
        <v/>
      </c>
      <c r="HK94" s="310" t="str">
        <f t="shared" si="630"/>
        <v/>
      </c>
      <c r="HL94" s="348" t="str">
        <f t="shared" si="579"/>
        <v/>
      </c>
      <c r="HM94" s="909" t="str">
        <f t="shared" si="580"/>
        <v/>
      </c>
      <c r="HN94" s="910" t="str">
        <f t="shared" si="581"/>
        <v/>
      </c>
      <c r="HO94" s="911"/>
      <c r="HP94" s="912"/>
      <c r="HQ94" s="910" t="str">
        <f t="shared" si="582"/>
        <v/>
      </c>
      <c r="HR94" s="913" t="str">
        <f t="shared" si="583"/>
        <v/>
      </c>
      <c r="HS94" s="865" t="str">
        <f t="shared" si="631"/>
        <v/>
      </c>
      <c r="HT94" s="875" t="str">
        <f t="shared" si="584"/>
        <v/>
      </c>
      <c r="HU94" s="876" t="str">
        <f t="shared" si="585"/>
        <v/>
      </c>
      <c r="HV94" s="872" t="str">
        <f t="shared" si="586"/>
        <v/>
      </c>
      <c r="HW94" s="866" t="str">
        <f t="shared" si="587"/>
        <v/>
      </c>
      <c r="HX94" s="867" t="str">
        <f t="shared" si="588"/>
        <v/>
      </c>
      <c r="HY94" s="866" t="str">
        <f t="shared" si="589"/>
        <v/>
      </c>
      <c r="HZ94" s="868" t="str">
        <f t="shared" si="590"/>
        <v/>
      </c>
      <c r="IA94" s="869" t="str">
        <f t="shared" si="591"/>
        <v/>
      </c>
      <c r="IB94" s="870" t="str">
        <f t="shared" si="592"/>
        <v/>
      </c>
      <c r="IC94" s="841" t="str">
        <f t="shared" si="593"/>
        <v/>
      </c>
      <c r="ID94" s="351" t="str">
        <f t="shared" si="594"/>
        <v/>
      </c>
      <c r="IE94" s="843" t="str">
        <f t="shared" si="595"/>
        <v/>
      </c>
      <c r="IF94" s="844"/>
      <c r="IG94" s="790" t="str">
        <f>IFERROR(IF($IW94="","",IF($IW94&lt;(((Settings!$C$19/2)*-1)*$IG$8),"Taper","Nose")),"")</f>
        <v>Taper</v>
      </c>
      <c r="IH94" s="482" t="str">
        <f>IFERROR(IF((((($IY94*COS(RADIANS(180-$JA94)))*COS(RADIANS($JA94)))-(($IZ94*SIN(RADIANS(180-$JA94)))*SIN(RADIANS($JA94))))+$IW94)&lt;(((Settings!$C$19+$IH$8)/2)*-1),"Gage",""),"")</f>
        <v/>
      </c>
      <c r="II94" s="788">
        <f t="shared" si="731"/>
        <v>6.23</v>
      </c>
      <c r="IJ94" s="674" cm="1">
        <f t="array" ref="IJ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>0.13</v>
      </c>
      <c r="IK94" s="677" cm="1">
        <f t="array" ref="IK94">IFERROR(ROUND(VALUE(IF($IJ94&lt;1,$IJ94+LARGE((IF($M$9:$M$150="",0,$M$9:$M$150)-MOD(IF($M$9:$M$150="",0,$M$9:$M$150),1)),1),$IJ94)),4),"")</f>
        <v>6.13</v>
      </c>
      <c r="IL94" s="482">
        <f t="shared" si="596"/>
        <v>1613</v>
      </c>
      <c r="IM94" s="482" t="str">
        <f t="shared" si="732"/>
        <v>CPS-32193r1</v>
      </c>
      <c r="IN94" s="670">
        <f t="shared" si="597"/>
        <v>13.212128961235294</v>
      </c>
      <c r="IO94" s="702">
        <v>5.2371230364559297E-2</v>
      </c>
      <c r="IP94" s="5">
        <f t="shared" si="598"/>
        <v>2.16</v>
      </c>
      <c r="IQ94" s="714">
        <v>1080</v>
      </c>
      <c r="IR94" s="9">
        <f t="shared" si="599"/>
        <v>-4.6734295163530577</v>
      </c>
      <c r="IS94" s="5">
        <f t="shared" si="600"/>
        <v>-1.0446207994544796</v>
      </c>
      <c r="IT94" s="5">
        <f t="shared" si="601"/>
        <v>0.3125</v>
      </c>
      <c r="IU94" s="5">
        <f t="shared" si="602"/>
        <v>0.2873571476443329</v>
      </c>
      <c r="IV94" s="670">
        <f t="shared" si="603"/>
        <v>54.048010045486649</v>
      </c>
      <c r="IW94" s="9">
        <f t="shared" si="604"/>
        <v>-4.6587367544457434</v>
      </c>
      <c r="IX94" s="5">
        <f t="shared" si="605"/>
        <v>-1.077526991199758</v>
      </c>
      <c r="IY94" s="5">
        <f t="shared" si="606"/>
        <v>0.255</v>
      </c>
      <c r="IZ94" s="5">
        <f t="shared" si="607"/>
        <v>0.255</v>
      </c>
      <c r="JA94" s="705">
        <f t="shared" si="608"/>
        <v>54.999992058983658</v>
      </c>
    </row>
    <row r="95" spans="1:261" ht="15" customHeight="1" x14ac:dyDescent="0.25">
      <c r="A95" s="75">
        <f t="shared" si="256"/>
        <v>0</v>
      </c>
      <c r="B95" s="578">
        <f t="shared" si="515"/>
        <v>-3.3342933249960316</v>
      </c>
      <c r="C95" s="572">
        <f t="shared" si="516"/>
        <v>3.6571216924399015</v>
      </c>
      <c r="D95" s="576">
        <f t="shared" si="517"/>
        <v>-1.7777544182838394</v>
      </c>
      <c r="E95" s="580">
        <f t="shared" si="518"/>
        <v>-0.65372534475586086</v>
      </c>
      <c r="F95" s="572">
        <f t="shared" si="519"/>
        <v>0.71701944195544065</v>
      </c>
      <c r="G95" s="579">
        <f t="shared" si="520"/>
        <v>0.2419220814265195</v>
      </c>
      <c r="H95" s="580">
        <f t="shared" si="521"/>
        <v>0.255</v>
      </c>
      <c r="I95" s="572">
        <f t="shared" si="522"/>
        <v>0.41499999999999992</v>
      </c>
      <c r="J95" s="483">
        <f t="shared" si="523"/>
        <v>6.2359999999999998</v>
      </c>
      <c r="K95" s="806" t="str">
        <f t="shared" si="524"/>
        <v>CPS-32193r1</v>
      </c>
      <c r="L95" s="309"/>
      <c r="M95" s="164">
        <f t="shared" si="526"/>
        <v>6.2359999999999998</v>
      </c>
      <c r="N95" s="575">
        <f t="shared" si="527"/>
        <v>-3.3342933249960316</v>
      </c>
      <c r="O95" s="572">
        <f t="shared" si="528"/>
        <v>3.6571216924399015</v>
      </c>
      <c r="P95" s="576">
        <f t="shared" si="529"/>
        <v>-1.7777544182838394</v>
      </c>
      <c r="Q95" s="528">
        <f t="shared" si="609"/>
        <v>132.35624706451628</v>
      </c>
      <c r="R95" s="572">
        <f t="shared" si="101"/>
        <v>4.9489444380016616</v>
      </c>
      <c r="S95" s="577">
        <f t="shared" si="102"/>
        <v>-1.7777544182838394</v>
      </c>
      <c r="T95" s="578">
        <f t="shared" si="103"/>
        <v>3.6318257300953647</v>
      </c>
      <c r="U95" s="572">
        <f t="shared" si="104"/>
        <v>3.3618288053743681</v>
      </c>
      <c r="V95" s="579">
        <f t="shared" si="141"/>
        <v>-1.7777544182838394</v>
      </c>
      <c r="W95" s="528">
        <f t="shared" si="735"/>
        <v>42.789137910387268</v>
      </c>
      <c r="X95" s="572">
        <f t="shared" si="105"/>
        <v>4.9489444380016616</v>
      </c>
      <c r="Y95" s="573">
        <f t="shared" si="733"/>
        <v>-1.7777544182838394</v>
      </c>
      <c r="Z95" s="575">
        <f t="shared" si="530"/>
        <v>0.65372534475586086</v>
      </c>
      <c r="AA95" s="572">
        <f t="shared" si="531"/>
        <v>-0.71701944195544065</v>
      </c>
      <c r="AB95" s="572">
        <f t="shared" si="532"/>
        <v>-0.2419220814265195</v>
      </c>
      <c r="AC95" s="579">
        <f t="shared" si="106"/>
        <v>1</v>
      </c>
      <c r="AD95" s="580">
        <f t="shared" si="142"/>
        <v>0.65372534475586086</v>
      </c>
      <c r="AE95" s="572">
        <f t="shared" si="107"/>
        <v>-0.71701944195544065</v>
      </c>
      <c r="AF95" s="576">
        <f t="shared" si="108"/>
        <v>-0.2419220814265195</v>
      </c>
      <c r="AG95" s="545">
        <f t="shared" si="109"/>
        <v>-71.355625047212158</v>
      </c>
      <c r="AH95" s="546">
        <f t="shared" si="110"/>
        <v>49.176930635497932</v>
      </c>
      <c r="AI95" s="528">
        <f t="shared" si="111"/>
        <v>-75.999989026959213</v>
      </c>
      <c r="AJ95" s="529">
        <f t="shared" si="112"/>
        <v>42.35624706451636</v>
      </c>
      <c r="AK95" s="578">
        <f t="shared" si="238"/>
        <v>1.27675647831893E-15</v>
      </c>
      <c r="AL95" s="572">
        <f t="shared" si="113"/>
        <v>-0.9702956799441399</v>
      </c>
      <c r="AM95" s="577">
        <f t="shared" si="114"/>
        <v>-0.2419220814265195</v>
      </c>
      <c r="AN95" s="524">
        <f t="shared" si="115"/>
        <v>-75.999989026959227</v>
      </c>
      <c r="AO95" s="525">
        <f t="shared" si="525"/>
        <v>0</v>
      </c>
      <c r="AP95" s="528">
        <f t="shared" si="117"/>
        <v>-89.999999999999929</v>
      </c>
      <c r="AQ95" s="529">
        <f t="shared" si="533"/>
        <v>0.92121874139451776</v>
      </c>
      <c r="AS95" s="932">
        <f t="shared" si="632"/>
        <v>42.789137910387268</v>
      </c>
      <c r="AT95" s="928">
        <f t="shared" si="534"/>
        <v>-1.3409083573451515</v>
      </c>
      <c r="AU95" s="418"/>
      <c r="AV95" s="164" t="str">
        <f t="shared" si="535"/>
        <v/>
      </c>
      <c r="AW95" s="797" t="str">
        <f>IFERROR(INDEX(MassProp!C$9:C$150,MATCH($M95,MassProp!$B$9:$B$150,0)),"")</f>
        <v/>
      </c>
      <c r="AX95" s="744" t="str">
        <f>IFERROR(INDEX(MassProp!D$9:D$150,MATCH($M95,MassProp!$B$9:$B$150,0)),"")</f>
        <v/>
      </c>
      <c r="AY95" s="731" t="str">
        <f>IFERROR(INDEX(MassProp!E$9:E$150,MATCH($M95,MassProp!$B$9:$B$150,0)),"")</f>
        <v/>
      </c>
      <c r="AZ95" s="297" t="str">
        <f t="shared" si="633"/>
        <v/>
      </c>
      <c r="BA95" s="296" t="str">
        <f t="shared" si="536"/>
        <v/>
      </c>
      <c r="BB95" s="177" t="str">
        <f t="shared" si="610"/>
        <v/>
      </c>
      <c r="BC95" s="9"/>
      <c r="BD95" s="5" t="str">
        <f t="shared" si="611"/>
        <v/>
      </c>
      <c r="BE95" s="6" t="str">
        <f t="shared" si="537"/>
        <v/>
      </c>
      <c r="BF95" s="4" t="str">
        <f t="shared" si="538"/>
        <v/>
      </c>
      <c r="BG95" s="5" t="str">
        <f t="shared" si="539"/>
        <v/>
      </c>
      <c r="BH95" s="10" t="str">
        <f t="shared" si="540"/>
        <v/>
      </c>
      <c r="BI95" s="9" t="str">
        <f t="shared" si="634"/>
        <v/>
      </c>
      <c r="BJ95" s="5" t="str">
        <f t="shared" si="541"/>
        <v/>
      </c>
      <c r="BK95" s="8" t="str">
        <f t="shared" si="542"/>
        <v/>
      </c>
      <c r="BL95" s="173" t="str">
        <f t="shared" si="543"/>
        <v/>
      </c>
      <c r="BM95" s="5" t="str">
        <f t="shared" si="544"/>
        <v/>
      </c>
      <c r="BN95" s="6" t="str">
        <f t="shared" si="545"/>
        <v/>
      </c>
      <c r="BO95" s="4" t="str">
        <f t="shared" si="635"/>
        <v/>
      </c>
      <c r="BP95" s="5" t="str">
        <f t="shared" si="734"/>
        <v/>
      </c>
      <c r="BQ95" s="5" t="str">
        <f t="shared" si="636"/>
        <v/>
      </c>
      <c r="BR95" s="6" t="str">
        <f t="shared" si="637"/>
        <v/>
      </c>
      <c r="BS95" s="4" t="str">
        <f t="shared" si="612"/>
        <v/>
      </c>
      <c r="BT95" s="5" t="str">
        <f t="shared" si="612"/>
        <v/>
      </c>
      <c r="BU95" s="10" t="str">
        <f t="shared" si="613"/>
        <v/>
      </c>
      <c r="BV95" s="9" t="str">
        <f t="shared" si="614"/>
        <v/>
      </c>
      <c r="BW95" s="5" t="str">
        <f t="shared" si="615"/>
        <v/>
      </c>
      <c r="BX95" s="8" t="str">
        <f t="shared" si="616"/>
        <v/>
      </c>
      <c r="BY95" s="173" t="str">
        <f t="shared" si="617"/>
        <v/>
      </c>
      <c r="BZ95" s="5" t="str">
        <f t="shared" si="618"/>
        <v/>
      </c>
      <c r="CA95" s="6" t="str">
        <f t="shared" si="619"/>
        <v/>
      </c>
      <c r="CB95" s="4" t="str">
        <f t="shared" si="638"/>
        <v/>
      </c>
      <c r="CC95" s="5" t="str">
        <f t="shared" si="639"/>
        <v/>
      </c>
      <c r="CD95" s="5" t="str">
        <f t="shared" si="640"/>
        <v/>
      </c>
      <c r="CE95" s="6" t="str">
        <f t="shared" si="641"/>
        <v/>
      </c>
      <c r="CF95" s="4" t="str">
        <f t="shared" si="642"/>
        <v/>
      </c>
      <c r="CG95" s="5" t="str">
        <f t="shared" si="643"/>
        <v/>
      </c>
      <c r="CH95" s="5" t="str">
        <f t="shared" si="644"/>
        <v/>
      </c>
      <c r="CI95" s="4" t="str">
        <f t="shared" si="620"/>
        <v/>
      </c>
      <c r="CJ95" s="5" t="str">
        <f t="shared" si="621"/>
        <v/>
      </c>
      <c r="CK95" s="8" t="str">
        <f t="shared" si="622"/>
        <v/>
      </c>
      <c r="CL95" s="173" t="str">
        <f t="shared" si="623"/>
        <v/>
      </c>
      <c r="CM95" s="5" t="str">
        <f t="shared" si="624"/>
        <v/>
      </c>
      <c r="CN95" s="6" t="str">
        <f t="shared" si="625"/>
        <v/>
      </c>
      <c r="CO95" s="167" t="str">
        <f t="shared" si="546"/>
        <v/>
      </c>
      <c r="CP95" s="4" t="str">
        <f t="shared" si="645"/>
        <v/>
      </c>
      <c r="CQ95" s="5" t="str">
        <f t="shared" si="646"/>
        <v/>
      </c>
      <c r="CR95" s="5" t="str">
        <f t="shared" si="647"/>
        <v/>
      </c>
      <c r="CS95" s="8" t="str">
        <f t="shared" si="648"/>
        <v/>
      </c>
      <c r="CT95" s="9" t="str">
        <f t="shared" si="649"/>
        <v/>
      </c>
      <c r="CU95" s="6" t="str">
        <f t="shared" si="650"/>
        <v/>
      </c>
      <c r="CV95" s="4" t="str">
        <f t="shared" si="651"/>
        <v/>
      </c>
      <c r="CW95" s="5" t="str">
        <f t="shared" si="652"/>
        <v/>
      </c>
      <c r="CX95" s="8" t="str">
        <f t="shared" si="653"/>
        <v/>
      </c>
      <c r="CY95" s="9" t="str">
        <f t="shared" si="654"/>
        <v/>
      </c>
      <c r="CZ95" s="5" t="str">
        <f t="shared" si="655"/>
        <v/>
      </c>
      <c r="DA95" s="6" t="str">
        <f t="shared" si="656"/>
        <v/>
      </c>
      <c r="DB95" s="4" t="str">
        <f t="shared" si="657"/>
        <v/>
      </c>
      <c r="DC95" s="5" t="str">
        <f t="shared" si="657"/>
        <v/>
      </c>
      <c r="DD95" s="10" t="str">
        <f t="shared" si="658"/>
        <v/>
      </c>
      <c r="DE95" s="9" t="str">
        <f t="shared" si="659"/>
        <v/>
      </c>
      <c r="DF95" s="5" t="str">
        <f t="shared" si="659"/>
        <v/>
      </c>
      <c r="DG95" s="10" t="str">
        <f t="shared" si="660"/>
        <v/>
      </c>
      <c r="DH95" s="70" t="str">
        <f t="shared" si="661"/>
        <v/>
      </c>
      <c r="DI95" s="4" t="str">
        <f t="shared" si="662"/>
        <v/>
      </c>
      <c r="DJ95" s="5" t="str">
        <f t="shared" si="663"/>
        <v/>
      </c>
      <c r="DK95" s="10" t="str">
        <f t="shared" si="664"/>
        <v/>
      </c>
      <c r="DL95" s="9" t="str">
        <f t="shared" si="665"/>
        <v/>
      </c>
      <c r="DM95" s="173" t="str">
        <f t="shared" si="666"/>
        <v/>
      </c>
      <c r="DN95" s="178" t="str">
        <f t="shared" si="667"/>
        <v/>
      </c>
      <c r="DO95" s="9" t="str">
        <f t="shared" si="668"/>
        <v/>
      </c>
      <c r="DP95" s="173" t="str">
        <f t="shared" si="669"/>
        <v/>
      </c>
      <c r="DQ95" s="11" t="str">
        <f t="shared" si="670"/>
        <v/>
      </c>
      <c r="DR95" s="173" t="str">
        <f t="shared" si="671"/>
        <v/>
      </c>
      <c r="DS95" s="5" t="str">
        <f t="shared" si="672"/>
        <v/>
      </c>
      <c r="DT95" s="5" t="str">
        <f t="shared" si="673"/>
        <v/>
      </c>
      <c r="DU95" s="5" t="str">
        <f t="shared" si="674"/>
        <v/>
      </c>
      <c r="DV95" s="5" t="str">
        <f t="shared" si="675"/>
        <v/>
      </c>
      <c r="DW95" s="5" t="str">
        <f t="shared" si="676"/>
        <v/>
      </c>
      <c r="DX95" s="167" t="str">
        <f t="shared" si="677"/>
        <v/>
      </c>
      <c r="DY95" s="9" t="str">
        <f t="shared" si="678"/>
        <v/>
      </c>
      <c r="DZ95" s="5" t="str">
        <f t="shared" si="679"/>
        <v/>
      </c>
      <c r="EA95" s="10" t="str">
        <f t="shared" si="680"/>
        <v/>
      </c>
      <c r="EB95" s="6" t="str">
        <f t="shared" si="681"/>
        <v/>
      </c>
      <c r="EC95" s="173" t="str">
        <f t="shared" si="682"/>
        <v/>
      </c>
      <c r="ED95" s="5" t="str">
        <f t="shared" si="683"/>
        <v/>
      </c>
      <c r="EE95" s="4" t="str">
        <f t="shared" si="684"/>
        <v/>
      </c>
      <c r="EF95" s="5" t="str">
        <f t="shared" si="685"/>
        <v/>
      </c>
      <c r="EG95" s="10" t="str">
        <f t="shared" si="686"/>
        <v/>
      </c>
      <c r="EH95" s="9" t="str">
        <f t="shared" si="687"/>
        <v/>
      </c>
      <c r="EI95" s="5" t="str">
        <f t="shared" si="688"/>
        <v/>
      </c>
      <c r="EJ95" s="6" t="str">
        <f t="shared" si="689"/>
        <v/>
      </c>
      <c r="EK95" s="236" t="str">
        <f t="shared" si="690"/>
        <v/>
      </c>
      <c r="EL95" s="238" t="str">
        <f t="shared" si="691"/>
        <v/>
      </c>
      <c r="EM95" s="4" t="str">
        <f t="shared" si="692"/>
        <v/>
      </c>
      <c r="EN95" s="5" t="str">
        <f t="shared" si="693"/>
        <v/>
      </c>
      <c r="EO95" s="10" t="str">
        <f t="shared" si="694"/>
        <v/>
      </c>
      <c r="EP95" s="9" t="str">
        <f t="shared" si="695"/>
        <v/>
      </c>
      <c r="EQ95" s="5" t="str">
        <f t="shared" si="696"/>
        <v/>
      </c>
      <c r="ER95" s="7" t="str">
        <f t="shared" si="697"/>
        <v/>
      </c>
      <c r="ES95" s="21" t="str">
        <f t="shared" si="547"/>
        <v/>
      </c>
      <c r="ET95" s="5" t="str">
        <f t="shared" si="548"/>
        <v/>
      </c>
      <c r="EU95" s="10" t="str">
        <f t="shared" si="549"/>
        <v/>
      </c>
      <c r="EV95" s="174" t="str">
        <f t="shared" si="550"/>
        <v/>
      </c>
      <c r="EW95" s="9" t="str">
        <f t="shared" si="551"/>
        <v/>
      </c>
      <c r="EX95" s="5" t="str">
        <f t="shared" si="552"/>
        <v/>
      </c>
      <c r="EY95" s="6" t="str">
        <f t="shared" si="698"/>
        <v/>
      </c>
      <c r="EZ95" s="51" t="str">
        <f t="shared" si="699"/>
        <v/>
      </c>
      <c r="FA95" s="173" t="str">
        <f t="shared" si="553"/>
        <v/>
      </c>
      <c r="FB95" s="5" t="str">
        <f t="shared" si="554"/>
        <v/>
      </c>
      <c r="FC95" s="6" t="str">
        <f t="shared" si="555"/>
        <v/>
      </c>
      <c r="FD95" s="4" t="str">
        <f t="shared" si="556"/>
        <v/>
      </c>
      <c r="FE95" s="5" t="str">
        <f t="shared" si="557"/>
        <v/>
      </c>
      <c r="FF95" s="7" t="str">
        <f t="shared" si="700"/>
        <v/>
      </c>
      <c r="FG95" s="173" t="str">
        <f t="shared" si="558"/>
        <v/>
      </c>
      <c r="FH95" s="5" t="str">
        <f t="shared" si="559"/>
        <v/>
      </c>
      <c r="FI95" s="10" t="str">
        <f t="shared" si="560"/>
        <v/>
      </c>
      <c r="FJ95" s="279" t="str">
        <f t="shared" si="701"/>
        <v/>
      </c>
      <c r="FK95" s="4" t="str">
        <f t="shared" si="561"/>
        <v/>
      </c>
      <c r="FL95" s="5" t="str">
        <f t="shared" si="626"/>
        <v/>
      </c>
      <c r="FM95" s="8" t="str">
        <f t="shared" si="627"/>
        <v/>
      </c>
      <c r="FN95" s="9" t="str">
        <f t="shared" si="628"/>
        <v/>
      </c>
      <c r="FO95" s="10" t="str">
        <f t="shared" si="562"/>
        <v/>
      </c>
      <c r="FP95" s="277" t="str">
        <f t="shared" si="629"/>
        <v/>
      </c>
      <c r="FQ95" s="173" t="str">
        <f t="shared" si="702"/>
        <v/>
      </c>
      <c r="FR95" s="10" t="str">
        <f t="shared" si="703"/>
        <v/>
      </c>
      <c r="FS95" s="9" t="str">
        <f t="shared" si="704"/>
        <v/>
      </c>
      <c r="FT95" s="6" t="str">
        <f t="shared" si="705"/>
        <v/>
      </c>
      <c r="FU95" s="4" t="str">
        <f t="shared" si="706"/>
        <v/>
      </c>
      <c r="FV95" s="5" t="str">
        <f t="shared" si="707"/>
        <v/>
      </c>
      <c r="FW95" s="8" t="str">
        <f t="shared" si="708"/>
        <v/>
      </c>
      <c r="FX95" s="9" t="str">
        <f t="shared" si="709"/>
        <v/>
      </c>
      <c r="FY95" s="10" t="str">
        <f t="shared" si="563"/>
        <v/>
      </c>
      <c r="FZ95" s="277" t="str">
        <f t="shared" si="710"/>
        <v/>
      </c>
      <c r="GA95" s="177" t="str">
        <f t="shared" si="711"/>
        <v/>
      </c>
      <c r="GB95" s="4" t="str">
        <f t="shared" si="712"/>
        <v/>
      </c>
      <c r="GC95" s="5" t="str">
        <f t="shared" si="713"/>
        <v/>
      </c>
      <c r="GD95" s="10" t="str">
        <f t="shared" si="714"/>
        <v/>
      </c>
      <c r="GE95" s="311" t="str">
        <f t="shared" si="715"/>
        <v/>
      </c>
      <c r="GF95" s="341" t="str">
        <f t="shared" si="716"/>
        <v/>
      </c>
      <c r="GG95" s="285" t="str">
        <f t="shared" si="564"/>
        <v/>
      </c>
      <c r="GH95" s="286" t="str">
        <f t="shared" si="565"/>
        <v/>
      </c>
      <c r="GI95" s="281" t="str">
        <f t="shared" si="566"/>
        <v/>
      </c>
      <c r="GJ95" s="167" t="str">
        <f t="shared" si="717"/>
        <v/>
      </c>
      <c r="GK95" s="174" t="str">
        <f t="shared" si="567"/>
        <v/>
      </c>
      <c r="GL95" s="174" t="str">
        <f t="shared" si="718"/>
        <v/>
      </c>
      <c r="GM95" s="177" t="str">
        <f t="shared" si="719"/>
        <v/>
      </c>
      <c r="GN95" s="280" t="str">
        <f t="shared" si="720"/>
        <v/>
      </c>
      <c r="GO95" s="4" t="str">
        <f t="shared" si="721"/>
        <v/>
      </c>
      <c r="GP95" s="8" t="str">
        <f t="shared" si="722"/>
        <v/>
      </c>
      <c r="GQ95" s="177" t="str">
        <f t="shared" si="723"/>
        <v/>
      </c>
      <c r="GR95" s="371" t="str">
        <f t="shared" si="724"/>
        <v/>
      </c>
      <c r="GS95" s="342" t="str">
        <f t="shared" si="568"/>
        <v/>
      </c>
      <c r="GT95" s="343" t="str">
        <f t="shared" si="569"/>
        <v/>
      </c>
      <c r="GU95" s="344" t="str">
        <f t="shared" si="570"/>
        <v/>
      </c>
      <c r="GV95" s="343" t="str">
        <f t="shared" si="725"/>
        <v/>
      </c>
      <c r="GW95" s="345" t="str">
        <f t="shared" si="571"/>
        <v/>
      </c>
      <c r="GX95" s="346" t="str">
        <f t="shared" si="572"/>
        <v/>
      </c>
      <c r="GY95" s="344" t="str">
        <f t="shared" si="573"/>
        <v/>
      </c>
      <c r="GZ95" s="345" t="str">
        <f t="shared" si="574"/>
        <v/>
      </c>
      <c r="HA95" s="342" t="str">
        <f t="shared" si="575"/>
        <v/>
      </c>
      <c r="HB95" s="5" t="str">
        <f t="shared" si="726"/>
        <v/>
      </c>
      <c r="HC95" s="343" t="str">
        <f t="shared" si="727"/>
        <v/>
      </c>
      <c r="HD95" s="363" t="str">
        <f t="shared" si="728"/>
        <v/>
      </c>
      <c r="HE95" s="344" t="str">
        <f t="shared" si="576"/>
        <v/>
      </c>
      <c r="HF95" s="5" t="str">
        <f t="shared" si="577"/>
        <v/>
      </c>
      <c r="HG95" s="343" t="str">
        <f t="shared" si="729"/>
        <v/>
      </c>
      <c r="HH95" s="349" t="str">
        <f t="shared" si="730"/>
        <v/>
      </c>
      <c r="HI95" s="317" t="str">
        <f t="shared" si="578"/>
        <v/>
      </c>
      <c r="HK95" s="310" t="str">
        <f t="shared" si="630"/>
        <v/>
      </c>
      <c r="HL95" s="348" t="str">
        <f t="shared" si="579"/>
        <v/>
      </c>
      <c r="HM95" s="909" t="str">
        <f t="shared" si="580"/>
        <v/>
      </c>
      <c r="HN95" s="910" t="str">
        <f t="shared" si="581"/>
        <v/>
      </c>
      <c r="HO95" s="911"/>
      <c r="HP95" s="912"/>
      <c r="HQ95" s="910" t="str">
        <f t="shared" si="582"/>
        <v/>
      </c>
      <c r="HR95" s="913" t="str">
        <f t="shared" si="583"/>
        <v/>
      </c>
      <c r="HS95" s="865" t="str">
        <f t="shared" si="631"/>
        <v/>
      </c>
      <c r="HT95" s="875" t="str">
        <f t="shared" si="584"/>
        <v/>
      </c>
      <c r="HU95" s="876" t="str">
        <f t="shared" si="585"/>
        <v/>
      </c>
      <c r="HV95" s="872" t="str">
        <f t="shared" si="586"/>
        <v/>
      </c>
      <c r="HW95" s="866" t="str">
        <f t="shared" si="587"/>
        <v/>
      </c>
      <c r="HX95" s="867" t="str">
        <f t="shared" si="588"/>
        <v/>
      </c>
      <c r="HY95" s="866" t="str">
        <f t="shared" si="589"/>
        <v/>
      </c>
      <c r="HZ95" s="868" t="str">
        <f t="shared" si="590"/>
        <v/>
      </c>
      <c r="IA95" s="869" t="str">
        <f t="shared" si="591"/>
        <v/>
      </c>
      <c r="IB95" s="870" t="str">
        <f t="shared" si="592"/>
        <v/>
      </c>
      <c r="IC95" s="841" t="str">
        <f t="shared" si="593"/>
        <v/>
      </c>
      <c r="ID95" s="351" t="str">
        <f t="shared" si="594"/>
        <v/>
      </c>
      <c r="IE95" s="843" t="str">
        <f t="shared" si="595"/>
        <v/>
      </c>
      <c r="IF95" s="844"/>
      <c r="IG95" s="790" t="str">
        <f>IFERROR(IF($IW95="","",IF($IW95&lt;(((Settings!$C$19/2)*-1)*$IG$8),"Taper","Nose")),"")</f>
        <v>Taper</v>
      </c>
      <c r="IH95" s="482" t="str">
        <f>IFERROR(IF((((($IY95*COS(RADIANS(180-$JA95)))*COS(RADIANS($JA95)))-(($IZ95*SIN(RADIANS(180-$JA95)))*SIN(RADIANS($JA95))))+$IW95)&lt;(((Settings!$C$19+$IH$8)/2)*-1),"Gage",""),"")</f>
        <v/>
      </c>
      <c r="II95" s="788">
        <f t="shared" si="731"/>
        <v>6.2359999999999998</v>
      </c>
      <c r="IJ95" s="674" cm="1">
        <f t="array" ref="IJ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>0.13600000000000001</v>
      </c>
      <c r="IK95" s="677" cm="1">
        <f t="array" ref="IK95">IFERROR(ROUND(VALUE(IF($IJ95&lt;1,$IJ95+LARGE((IF($M$9:$M$150="",0,$M$9:$M$150)-MOD(IF($M$9:$M$150="",0,$M$9:$M$150),1)),1),$IJ95)),4),"")</f>
        <v>6.1360000000000001</v>
      </c>
      <c r="IL95" s="482">
        <f t="shared" si="596"/>
        <v>1613</v>
      </c>
      <c r="IM95" s="482" t="str">
        <f t="shared" si="732"/>
        <v>CPS-32193r1</v>
      </c>
      <c r="IN95" s="670">
        <f t="shared" si="597"/>
        <v>12.399059166296439</v>
      </c>
      <c r="IO95" s="702">
        <v>4.94705443907393E-2</v>
      </c>
      <c r="IP95" s="5">
        <f t="shared" si="598"/>
        <v>2.48</v>
      </c>
      <c r="IQ95" s="714">
        <v>1240</v>
      </c>
      <c r="IR95" s="9">
        <f t="shared" si="599"/>
        <v>-4.9750965181077582</v>
      </c>
      <c r="IS95" s="5">
        <f t="shared" si="600"/>
        <v>-1.7486335618917748</v>
      </c>
      <c r="IT95" s="5">
        <f t="shared" si="601"/>
        <v>0.3125</v>
      </c>
      <c r="IU95" s="5">
        <f t="shared" si="602"/>
        <v>0.27813574552507969</v>
      </c>
      <c r="IV95" s="670">
        <f t="shared" si="603"/>
        <v>72.623499997444313</v>
      </c>
      <c r="IW95" s="9">
        <f t="shared" si="604"/>
        <v>-4.9489444380016616</v>
      </c>
      <c r="IX95" s="5">
        <f t="shared" si="605"/>
        <v>-1.7777544182838394</v>
      </c>
      <c r="IY95" s="5">
        <f t="shared" si="606"/>
        <v>0.255</v>
      </c>
      <c r="IZ95" s="5">
        <f t="shared" si="607"/>
        <v>0.255</v>
      </c>
      <c r="JA95" s="705">
        <f t="shared" si="608"/>
        <v>75.999989026959227</v>
      </c>
    </row>
    <row r="96" spans="1:261" ht="15" customHeight="1" x14ac:dyDescent="0.25">
      <c r="A96" s="75">
        <f t="shared" si="256"/>
        <v>0</v>
      </c>
      <c r="B96" s="578">
        <f t="shared" si="515"/>
        <v>-3.3671178074450063</v>
      </c>
      <c r="C96" s="572">
        <f t="shared" si="516"/>
        <v>3.6865252839574776</v>
      </c>
      <c r="D96" s="576">
        <f t="shared" si="517"/>
        <v>-2.5328581171971742</v>
      </c>
      <c r="E96" s="580">
        <f t="shared" si="518"/>
        <v>-0.67439605391200885</v>
      </c>
      <c r="F96" s="572">
        <f t="shared" si="519"/>
        <v>0.73836980062016311</v>
      </c>
      <c r="G96" s="579">
        <f t="shared" si="520"/>
        <v>2.2679489637689168E-7</v>
      </c>
      <c r="H96" s="580">
        <f t="shared" si="521"/>
        <v>0.255</v>
      </c>
      <c r="I96" s="572">
        <f t="shared" si="522"/>
        <v>0.41499999999999992</v>
      </c>
      <c r="J96" s="483">
        <f t="shared" si="523"/>
        <v>6.242</v>
      </c>
      <c r="K96" s="806" t="str">
        <f t="shared" si="524"/>
        <v>CPS-32193r1</v>
      </c>
      <c r="L96" s="309"/>
      <c r="M96" s="164">
        <f t="shared" si="526"/>
        <v>6.242</v>
      </c>
      <c r="N96" s="575">
        <f t="shared" si="527"/>
        <v>-3.3671178074450063</v>
      </c>
      <c r="O96" s="572">
        <f t="shared" si="528"/>
        <v>3.6865252839574776</v>
      </c>
      <c r="P96" s="576">
        <f t="shared" si="529"/>
        <v>-2.5328581171971742</v>
      </c>
      <c r="Q96" s="528">
        <f t="shared" si="609"/>
        <v>132.40726786826301</v>
      </c>
      <c r="R96" s="572">
        <f t="shared" si="101"/>
        <v>4.9927899012947687</v>
      </c>
      <c r="S96" s="577">
        <f t="shared" si="102"/>
        <v>-2.5328581171971742</v>
      </c>
      <c r="T96" s="578">
        <f t="shared" si="103"/>
        <v>3.6609804836161932</v>
      </c>
      <c r="U96" s="572">
        <f t="shared" si="104"/>
        <v>3.3948745038737989</v>
      </c>
      <c r="V96" s="579">
        <f t="shared" si="141"/>
        <v>-2.5328581171971742</v>
      </c>
      <c r="W96" s="528">
        <f t="shared" si="735"/>
        <v>42.840158714133992</v>
      </c>
      <c r="X96" s="572">
        <f t="shared" si="105"/>
        <v>4.9927899012947687</v>
      </c>
      <c r="Y96" s="573">
        <f t="shared" si="733"/>
        <v>-2.5328581171971742</v>
      </c>
      <c r="Z96" s="575">
        <f t="shared" si="530"/>
        <v>0.67439605391200885</v>
      </c>
      <c r="AA96" s="572">
        <f t="shared" si="531"/>
        <v>-0.73836980062016311</v>
      </c>
      <c r="AB96" s="572">
        <f t="shared" si="532"/>
        <v>-2.2679489637689168E-7</v>
      </c>
      <c r="AC96" s="579">
        <f t="shared" si="106"/>
        <v>1</v>
      </c>
      <c r="AD96" s="580">
        <f t="shared" si="142"/>
        <v>0.67439605391200885</v>
      </c>
      <c r="AE96" s="572">
        <f t="shared" si="107"/>
        <v>-0.73836980062016311</v>
      </c>
      <c r="AF96" s="576">
        <f t="shared" si="108"/>
        <v>-2.2679489637689168E-7</v>
      </c>
      <c r="AG96" s="545">
        <f t="shared" si="109"/>
        <v>-89.999982401243443</v>
      </c>
      <c r="AH96" s="546">
        <f t="shared" si="110"/>
        <v>47.59273213173833</v>
      </c>
      <c r="AI96" s="528">
        <f t="shared" si="111"/>
        <v>-89.999987005609626</v>
      </c>
      <c r="AJ96" s="529">
        <f t="shared" si="112"/>
        <v>42.407267868263013</v>
      </c>
      <c r="AK96" s="578">
        <f t="shared" si="238"/>
        <v>1.6653345369377348E-16</v>
      </c>
      <c r="AL96" s="572">
        <f t="shared" si="113"/>
        <v>-0.99999999999997424</v>
      </c>
      <c r="AM96" s="577">
        <f t="shared" si="114"/>
        <v>-2.2679489637689168E-7</v>
      </c>
      <c r="AN96" s="524">
        <f t="shared" si="115"/>
        <v>-89.999987005609626</v>
      </c>
      <c r="AO96" s="525">
        <f t="shared" si="525"/>
        <v>0</v>
      </c>
      <c r="AP96" s="528">
        <f t="shared" si="117"/>
        <v>-90</v>
      </c>
      <c r="AQ96" s="529">
        <f t="shared" si="533"/>
        <v>0.91313019891706071</v>
      </c>
      <c r="AS96" s="932">
        <f t="shared" si="632"/>
        <v>42.840158714133992</v>
      </c>
      <c r="AT96" s="928">
        <f t="shared" si="534"/>
        <v>-2.0960829184859122</v>
      </c>
      <c r="AU96" s="418"/>
      <c r="AV96" s="164" t="str">
        <f t="shared" si="535"/>
        <v/>
      </c>
      <c r="AW96" s="797" t="str">
        <f>IFERROR(INDEX(MassProp!C$9:C$150,MATCH($M96,MassProp!$B$9:$B$150,0)),"")</f>
        <v/>
      </c>
      <c r="AX96" s="744" t="str">
        <f>IFERROR(INDEX(MassProp!D$9:D$150,MATCH($M96,MassProp!$B$9:$B$150,0)),"")</f>
        <v/>
      </c>
      <c r="AY96" s="731" t="str">
        <f>IFERROR(INDEX(MassProp!E$9:E$150,MATCH($M96,MassProp!$B$9:$B$150,0)),"")</f>
        <v/>
      </c>
      <c r="AZ96" s="297" t="str">
        <f t="shared" si="633"/>
        <v/>
      </c>
      <c r="BA96" s="296" t="str">
        <f t="shared" si="536"/>
        <v/>
      </c>
      <c r="BB96" s="177" t="str">
        <f t="shared" si="610"/>
        <v/>
      </c>
      <c r="BC96" s="9"/>
      <c r="BD96" s="5" t="str">
        <f t="shared" si="611"/>
        <v/>
      </c>
      <c r="BE96" s="6" t="str">
        <f t="shared" si="537"/>
        <v/>
      </c>
      <c r="BF96" s="4" t="str">
        <f t="shared" si="538"/>
        <v/>
      </c>
      <c r="BG96" s="5" t="str">
        <f t="shared" si="539"/>
        <v/>
      </c>
      <c r="BH96" s="10" t="str">
        <f t="shared" si="540"/>
        <v/>
      </c>
      <c r="BI96" s="9" t="str">
        <f t="shared" si="634"/>
        <v/>
      </c>
      <c r="BJ96" s="5" t="str">
        <f t="shared" si="541"/>
        <v/>
      </c>
      <c r="BK96" s="8" t="str">
        <f t="shared" si="542"/>
        <v/>
      </c>
      <c r="BL96" s="173" t="str">
        <f t="shared" si="543"/>
        <v/>
      </c>
      <c r="BM96" s="5" t="str">
        <f t="shared" si="544"/>
        <v/>
      </c>
      <c r="BN96" s="6" t="str">
        <f t="shared" si="545"/>
        <v/>
      </c>
      <c r="BO96" s="4" t="str">
        <f t="shared" si="635"/>
        <v/>
      </c>
      <c r="BP96" s="5" t="str">
        <f t="shared" si="734"/>
        <v/>
      </c>
      <c r="BQ96" s="5" t="str">
        <f t="shared" si="636"/>
        <v/>
      </c>
      <c r="BR96" s="6" t="str">
        <f t="shared" si="637"/>
        <v/>
      </c>
      <c r="BS96" s="4" t="str">
        <f t="shared" si="612"/>
        <v/>
      </c>
      <c r="BT96" s="5" t="str">
        <f t="shared" si="612"/>
        <v/>
      </c>
      <c r="BU96" s="10" t="str">
        <f t="shared" si="613"/>
        <v/>
      </c>
      <c r="BV96" s="9" t="str">
        <f t="shared" si="614"/>
        <v/>
      </c>
      <c r="BW96" s="5" t="str">
        <f t="shared" si="615"/>
        <v/>
      </c>
      <c r="BX96" s="8" t="str">
        <f t="shared" si="616"/>
        <v/>
      </c>
      <c r="BY96" s="173" t="str">
        <f t="shared" si="617"/>
        <v/>
      </c>
      <c r="BZ96" s="5" t="str">
        <f t="shared" si="618"/>
        <v/>
      </c>
      <c r="CA96" s="6" t="str">
        <f t="shared" si="619"/>
        <v/>
      </c>
      <c r="CB96" s="4" t="str">
        <f t="shared" si="638"/>
        <v/>
      </c>
      <c r="CC96" s="5" t="str">
        <f t="shared" si="639"/>
        <v/>
      </c>
      <c r="CD96" s="5" t="str">
        <f t="shared" si="640"/>
        <v/>
      </c>
      <c r="CE96" s="6" t="str">
        <f t="shared" si="641"/>
        <v/>
      </c>
      <c r="CF96" s="4" t="str">
        <f t="shared" si="642"/>
        <v/>
      </c>
      <c r="CG96" s="5" t="str">
        <f t="shared" si="643"/>
        <v/>
      </c>
      <c r="CH96" s="5" t="str">
        <f t="shared" si="644"/>
        <v/>
      </c>
      <c r="CI96" s="4" t="str">
        <f t="shared" si="620"/>
        <v/>
      </c>
      <c r="CJ96" s="5" t="str">
        <f t="shared" si="621"/>
        <v/>
      </c>
      <c r="CK96" s="8" t="str">
        <f t="shared" si="622"/>
        <v/>
      </c>
      <c r="CL96" s="173" t="str">
        <f t="shared" si="623"/>
        <v/>
      </c>
      <c r="CM96" s="5" t="str">
        <f t="shared" si="624"/>
        <v/>
      </c>
      <c r="CN96" s="6" t="str">
        <f t="shared" si="625"/>
        <v/>
      </c>
      <c r="CO96" s="167" t="str">
        <f t="shared" si="546"/>
        <v/>
      </c>
      <c r="CP96" s="4" t="str">
        <f t="shared" si="645"/>
        <v/>
      </c>
      <c r="CQ96" s="5" t="str">
        <f t="shared" si="646"/>
        <v/>
      </c>
      <c r="CR96" s="5" t="str">
        <f t="shared" si="647"/>
        <v/>
      </c>
      <c r="CS96" s="8" t="str">
        <f t="shared" si="648"/>
        <v/>
      </c>
      <c r="CT96" s="9" t="str">
        <f t="shared" si="649"/>
        <v/>
      </c>
      <c r="CU96" s="6" t="str">
        <f t="shared" si="650"/>
        <v/>
      </c>
      <c r="CV96" s="4" t="str">
        <f t="shared" si="651"/>
        <v/>
      </c>
      <c r="CW96" s="5" t="str">
        <f t="shared" si="652"/>
        <v/>
      </c>
      <c r="CX96" s="8" t="str">
        <f t="shared" si="653"/>
        <v/>
      </c>
      <c r="CY96" s="9" t="str">
        <f t="shared" si="654"/>
        <v/>
      </c>
      <c r="CZ96" s="5" t="str">
        <f t="shared" si="655"/>
        <v/>
      </c>
      <c r="DA96" s="6" t="str">
        <f t="shared" si="656"/>
        <v/>
      </c>
      <c r="DB96" s="4" t="str">
        <f t="shared" si="657"/>
        <v/>
      </c>
      <c r="DC96" s="5" t="str">
        <f t="shared" si="657"/>
        <v/>
      </c>
      <c r="DD96" s="10" t="str">
        <f t="shared" si="658"/>
        <v/>
      </c>
      <c r="DE96" s="9" t="str">
        <f t="shared" si="659"/>
        <v/>
      </c>
      <c r="DF96" s="5" t="str">
        <f t="shared" si="659"/>
        <v/>
      </c>
      <c r="DG96" s="10" t="str">
        <f t="shared" si="660"/>
        <v/>
      </c>
      <c r="DH96" s="70" t="str">
        <f t="shared" si="661"/>
        <v/>
      </c>
      <c r="DI96" s="4" t="str">
        <f t="shared" si="662"/>
        <v/>
      </c>
      <c r="DJ96" s="5" t="str">
        <f t="shared" si="663"/>
        <v/>
      </c>
      <c r="DK96" s="10" t="str">
        <f t="shared" si="664"/>
        <v/>
      </c>
      <c r="DL96" s="9" t="str">
        <f t="shared" si="665"/>
        <v/>
      </c>
      <c r="DM96" s="173" t="str">
        <f t="shared" si="666"/>
        <v/>
      </c>
      <c r="DN96" s="178" t="str">
        <f t="shared" si="667"/>
        <v/>
      </c>
      <c r="DO96" s="9" t="str">
        <f t="shared" si="668"/>
        <v/>
      </c>
      <c r="DP96" s="173" t="str">
        <f t="shared" si="669"/>
        <v/>
      </c>
      <c r="DQ96" s="11" t="str">
        <f t="shared" si="670"/>
        <v/>
      </c>
      <c r="DR96" s="173" t="str">
        <f t="shared" si="671"/>
        <v/>
      </c>
      <c r="DS96" s="5" t="str">
        <f t="shared" si="672"/>
        <v/>
      </c>
      <c r="DT96" s="5" t="str">
        <f t="shared" si="673"/>
        <v/>
      </c>
      <c r="DU96" s="5" t="str">
        <f t="shared" si="674"/>
        <v/>
      </c>
      <c r="DV96" s="5" t="str">
        <f t="shared" si="675"/>
        <v/>
      </c>
      <c r="DW96" s="5" t="str">
        <f t="shared" si="676"/>
        <v/>
      </c>
      <c r="DX96" s="167" t="str">
        <f t="shared" si="677"/>
        <v/>
      </c>
      <c r="DY96" s="9" t="str">
        <f t="shared" si="678"/>
        <v/>
      </c>
      <c r="DZ96" s="5" t="str">
        <f t="shared" si="679"/>
        <v/>
      </c>
      <c r="EA96" s="10" t="str">
        <f t="shared" si="680"/>
        <v/>
      </c>
      <c r="EB96" s="6" t="str">
        <f t="shared" si="681"/>
        <v/>
      </c>
      <c r="EC96" s="173" t="str">
        <f t="shared" si="682"/>
        <v/>
      </c>
      <c r="ED96" s="5" t="str">
        <f t="shared" si="683"/>
        <v/>
      </c>
      <c r="EE96" s="4" t="str">
        <f t="shared" si="684"/>
        <v/>
      </c>
      <c r="EF96" s="5" t="str">
        <f t="shared" si="685"/>
        <v/>
      </c>
      <c r="EG96" s="10" t="str">
        <f t="shared" si="686"/>
        <v/>
      </c>
      <c r="EH96" s="9" t="str">
        <f t="shared" si="687"/>
        <v/>
      </c>
      <c r="EI96" s="5" t="str">
        <f t="shared" si="688"/>
        <v/>
      </c>
      <c r="EJ96" s="6" t="str">
        <f t="shared" si="689"/>
        <v/>
      </c>
      <c r="EK96" s="236" t="str">
        <f t="shared" si="690"/>
        <v/>
      </c>
      <c r="EL96" s="238" t="str">
        <f t="shared" si="691"/>
        <v/>
      </c>
      <c r="EM96" s="4" t="str">
        <f t="shared" si="692"/>
        <v/>
      </c>
      <c r="EN96" s="5" t="str">
        <f t="shared" si="693"/>
        <v/>
      </c>
      <c r="EO96" s="10" t="str">
        <f t="shared" si="694"/>
        <v/>
      </c>
      <c r="EP96" s="9" t="str">
        <f t="shared" si="695"/>
        <v/>
      </c>
      <c r="EQ96" s="5" t="str">
        <f t="shared" si="696"/>
        <v/>
      </c>
      <c r="ER96" s="7" t="str">
        <f t="shared" si="697"/>
        <v/>
      </c>
      <c r="ES96" s="21" t="str">
        <f t="shared" si="547"/>
        <v/>
      </c>
      <c r="ET96" s="5" t="str">
        <f t="shared" si="548"/>
        <v/>
      </c>
      <c r="EU96" s="10" t="str">
        <f t="shared" si="549"/>
        <v/>
      </c>
      <c r="EV96" s="174" t="str">
        <f t="shared" si="550"/>
        <v/>
      </c>
      <c r="EW96" s="9" t="str">
        <f t="shared" si="551"/>
        <v/>
      </c>
      <c r="EX96" s="5" t="str">
        <f t="shared" si="552"/>
        <v/>
      </c>
      <c r="EY96" s="6" t="str">
        <f t="shared" si="698"/>
        <v/>
      </c>
      <c r="EZ96" s="51" t="str">
        <f t="shared" si="699"/>
        <v/>
      </c>
      <c r="FA96" s="173" t="str">
        <f t="shared" si="553"/>
        <v/>
      </c>
      <c r="FB96" s="5" t="str">
        <f t="shared" si="554"/>
        <v/>
      </c>
      <c r="FC96" s="6" t="str">
        <f t="shared" si="555"/>
        <v/>
      </c>
      <c r="FD96" s="4" t="str">
        <f t="shared" si="556"/>
        <v/>
      </c>
      <c r="FE96" s="5" t="str">
        <f t="shared" si="557"/>
        <v/>
      </c>
      <c r="FF96" s="7" t="str">
        <f t="shared" si="700"/>
        <v/>
      </c>
      <c r="FG96" s="173" t="str">
        <f t="shared" si="558"/>
        <v/>
      </c>
      <c r="FH96" s="5" t="str">
        <f t="shared" si="559"/>
        <v/>
      </c>
      <c r="FI96" s="10" t="str">
        <f t="shared" si="560"/>
        <v/>
      </c>
      <c r="FJ96" s="279" t="str">
        <f t="shared" si="701"/>
        <v/>
      </c>
      <c r="FK96" s="4" t="str">
        <f t="shared" si="561"/>
        <v/>
      </c>
      <c r="FL96" s="5" t="str">
        <f t="shared" si="626"/>
        <v/>
      </c>
      <c r="FM96" s="8" t="str">
        <f t="shared" si="627"/>
        <v/>
      </c>
      <c r="FN96" s="9" t="str">
        <f t="shared" si="628"/>
        <v/>
      </c>
      <c r="FO96" s="10" t="str">
        <f t="shared" si="562"/>
        <v/>
      </c>
      <c r="FP96" s="277" t="str">
        <f t="shared" si="629"/>
        <v/>
      </c>
      <c r="FQ96" s="173" t="str">
        <f t="shared" si="702"/>
        <v/>
      </c>
      <c r="FR96" s="10" t="str">
        <f t="shared" si="703"/>
        <v/>
      </c>
      <c r="FS96" s="9" t="str">
        <f t="shared" si="704"/>
        <v/>
      </c>
      <c r="FT96" s="6" t="str">
        <f t="shared" si="705"/>
        <v/>
      </c>
      <c r="FU96" s="4" t="str">
        <f t="shared" si="706"/>
        <v/>
      </c>
      <c r="FV96" s="5" t="str">
        <f t="shared" si="707"/>
        <v/>
      </c>
      <c r="FW96" s="8" t="str">
        <f t="shared" si="708"/>
        <v/>
      </c>
      <c r="FX96" s="9" t="str">
        <f t="shared" si="709"/>
        <v/>
      </c>
      <c r="FY96" s="10" t="str">
        <f t="shared" si="563"/>
        <v/>
      </c>
      <c r="FZ96" s="277" t="str">
        <f t="shared" si="710"/>
        <v/>
      </c>
      <c r="GA96" s="177" t="str">
        <f t="shared" si="711"/>
        <v/>
      </c>
      <c r="GB96" s="4" t="str">
        <f t="shared" si="712"/>
        <v/>
      </c>
      <c r="GC96" s="5" t="str">
        <f t="shared" si="713"/>
        <v/>
      </c>
      <c r="GD96" s="10" t="str">
        <f t="shared" si="714"/>
        <v/>
      </c>
      <c r="GE96" s="311" t="str">
        <f t="shared" si="715"/>
        <v/>
      </c>
      <c r="GF96" s="341" t="str">
        <f t="shared" si="716"/>
        <v/>
      </c>
      <c r="GG96" s="285" t="str">
        <f t="shared" si="564"/>
        <v/>
      </c>
      <c r="GH96" s="286" t="str">
        <f t="shared" si="565"/>
        <v/>
      </c>
      <c r="GI96" s="281" t="str">
        <f t="shared" si="566"/>
        <v/>
      </c>
      <c r="GJ96" s="167" t="str">
        <f t="shared" si="717"/>
        <v/>
      </c>
      <c r="GK96" s="174" t="str">
        <f t="shared" si="567"/>
        <v/>
      </c>
      <c r="GL96" s="174" t="str">
        <f t="shared" si="718"/>
        <v/>
      </c>
      <c r="GM96" s="177" t="str">
        <f t="shared" si="719"/>
        <v/>
      </c>
      <c r="GN96" s="280" t="str">
        <f t="shared" si="720"/>
        <v/>
      </c>
      <c r="GO96" s="4" t="str">
        <f t="shared" si="721"/>
        <v/>
      </c>
      <c r="GP96" s="8" t="str">
        <f t="shared" si="722"/>
        <v/>
      </c>
      <c r="GQ96" s="177" t="str">
        <f t="shared" si="723"/>
        <v/>
      </c>
      <c r="GR96" s="371" t="str">
        <f t="shared" si="724"/>
        <v/>
      </c>
      <c r="GS96" s="342" t="str">
        <f t="shared" si="568"/>
        <v/>
      </c>
      <c r="GT96" s="343" t="str">
        <f t="shared" si="569"/>
        <v/>
      </c>
      <c r="GU96" s="344" t="str">
        <f t="shared" si="570"/>
        <v/>
      </c>
      <c r="GV96" s="343" t="str">
        <f t="shared" si="725"/>
        <v/>
      </c>
      <c r="GW96" s="345" t="str">
        <f t="shared" si="571"/>
        <v/>
      </c>
      <c r="GX96" s="346" t="str">
        <f t="shared" si="572"/>
        <v/>
      </c>
      <c r="GY96" s="344" t="str">
        <f t="shared" si="573"/>
        <v/>
      </c>
      <c r="GZ96" s="345" t="str">
        <f t="shared" si="574"/>
        <v/>
      </c>
      <c r="HA96" s="342" t="str">
        <f t="shared" si="575"/>
        <v/>
      </c>
      <c r="HB96" s="5" t="str">
        <f t="shared" si="726"/>
        <v/>
      </c>
      <c r="HC96" s="343" t="str">
        <f t="shared" si="727"/>
        <v/>
      </c>
      <c r="HD96" s="363" t="str">
        <f t="shared" si="728"/>
        <v/>
      </c>
      <c r="HE96" s="344" t="str">
        <f t="shared" si="576"/>
        <v/>
      </c>
      <c r="HF96" s="5" t="str">
        <f t="shared" si="577"/>
        <v/>
      </c>
      <c r="HG96" s="343" t="str">
        <f t="shared" si="729"/>
        <v/>
      </c>
      <c r="HH96" s="349" t="str">
        <f t="shared" si="730"/>
        <v/>
      </c>
      <c r="HI96" s="317" t="str">
        <f t="shared" si="578"/>
        <v/>
      </c>
      <c r="HK96" s="310" t="str">
        <f t="shared" si="630"/>
        <v/>
      </c>
      <c r="HL96" s="348" t="str">
        <f t="shared" si="579"/>
        <v/>
      </c>
      <c r="HM96" s="909" t="str">
        <f t="shared" si="580"/>
        <v/>
      </c>
      <c r="HN96" s="910" t="str">
        <f t="shared" si="581"/>
        <v/>
      </c>
      <c r="HO96" s="911"/>
      <c r="HP96" s="912"/>
      <c r="HQ96" s="910" t="str">
        <f t="shared" si="582"/>
        <v/>
      </c>
      <c r="HR96" s="913" t="str">
        <f t="shared" si="583"/>
        <v/>
      </c>
      <c r="HS96" s="865" t="str">
        <f t="shared" si="631"/>
        <v/>
      </c>
      <c r="HT96" s="875" t="str">
        <f t="shared" si="584"/>
        <v/>
      </c>
      <c r="HU96" s="876" t="str">
        <f t="shared" si="585"/>
        <v/>
      </c>
      <c r="HV96" s="872" t="str">
        <f t="shared" si="586"/>
        <v/>
      </c>
      <c r="HW96" s="866" t="str">
        <f t="shared" si="587"/>
        <v/>
      </c>
      <c r="HX96" s="867" t="str">
        <f t="shared" si="588"/>
        <v/>
      </c>
      <c r="HY96" s="866" t="str">
        <f t="shared" si="589"/>
        <v/>
      </c>
      <c r="HZ96" s="868" t="str">
        <f t="shared" si="590"/>
        <v/>
      </c>
      <c r="IA96" s="869" t="str">
        <f t="shared" si="591"/>
        <v/>
      </c>
      <c r="IB96" s="870" t="str">
        <f t="shared" si="592"/>
        <v/>
      </c>
      <c r="IC96" s="841" t="str">
        <f t="shared" si="593"/>
        <v/>
      </c>
      <c r="ID96" s="351" t="str">
        <f t="shared" si="594"/>
        <v/>
      </c>
      <c r="IE96" s="843" t="str">
        <f t="shared" si="595"/>
        <v/>
      </c>
      <c r="IF96" s="844"/>
      <c r="IG96" s="790" t="str">
        <f>IFERROR(IF($IW96="","",IF($IW96&lt;(((Settings!$C$19/2)*-1)*$IG$8),"Taper","Nose")),"")</f>
        <v>Taper</v>
      </c>
      <c r="IH96" s="482" t="str">
        <f>IFERROR(IF((((($IY96*COS(RADIANS(180-$JA96)))*COS(RADIANS($JA96)))-(($IZ96*SIN(RADIANS(180-$JA96)))*SIN(RADIANS($JA96))))+$IW96)&lt;(((Settings!$C$19+$IH$8)/2)*-1),"Gage",""),"")</f>
        <v/>
      </c>
      <c r="II96" s="788">
        <f t="shared" si="731"/>
        <v>6.242</v>
      </c>
      <c r="IJ96" s="674" cm="1">
        <f t="array" ref="IJ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>0.14199999999999999</v>
      </c>
      <c r="IK96" s="677" cm="1">
        <f t="array" ref="IK96">IFERROR(ROUND(VALUE(IF($IJ96&lt;1,$IJ96+LARGE((IF($M$9:$M$150="",0,$M$9:$M$150)-MOD(IF($M$9:$M$150="",0,$M$9:$M$150),1)),1),$IJ96)),4),"")</f>
        <v>6.1420000000000003</v>
      </c>
      <c r="IL96" s="482">
        <f t="shared" si="596"/>
        <v>1613</v>
      </c>
      <c r="IM96" s="482" t="str">
        <f t="shared" si="732"/>
        <v>CPS-32193r1</v>
      </c>
      <c r="IN96" s="670">
        <f t="shared" si="597"/>
        <v>12.271230721814703</v>
      </c>
      <c r="IO96" s="702">
        <v>4.8062200035361102E-2</v>
      </c>
      <c r="IP96" s="5">
        <f t="shared" si="598"/>
        <v>2.76</v>
      </c>
      <c r="IQ96" s="714">
        <v>1380</v>
      </c>
      <c r="IR96" s="9">
        <f t="shared" si="599"/>
        <v>-5.0270040657372705</v>
      </c>
      <c r="IS96" s="5">
        <f t="shared" si="600"/>
        <v>-2.5090861683839214</v>
      </c>
      <c r="IT96" s="5">
        <f t="shared" si="601"/>
        <v>0.3125</v>
      </c>
      <c r="IU96" s="5">
        <f t="shared" si="602"/>
        <v>0.27121974842239466</v>
      </c>
      <c r="IV96" s="670">
        <f t="shared" si="603"/>
        <v>84.96994937215598</v>
      </c>
      <c r="IW96" s="9">
        <f t="shared" si="604"/>
        <v>-4.9927899012947687</v>
      </c>
      <c r="IX96" s="5">
        <f t="shared" si="605"/>
        <v>-2.5328581171971742</v>
      </c>
      <c r="IY96" s="5">
        <f t="shared" si="606"/>
        <v>0.255</v>
      </c>
      <c r="IZ96" s="5">
        <f t="shared" si="607"/>
        <v>0.255</v>
      </c>
      <c r="JA96" s="705">
        <f t="shared" si="608"/>
        <v>89.999987005609626</v>
      </c>
    </row>
    <row r="97" spans="1:261" ht="15" customHeight="1" x14ac:dyDescent="0.25">
      <c r="A97" s="75">
        <f t="shared" si="256"/>
        <v>0</v>
      </c>
      <c r="B97" s="578">
        <f t="shared" si="515"/>
        <v>-3.3858148758125473</v>
      </c>
      <c r="C97" s="572">
        <f t="shared" si="516"/>
        <v>3.7074845017079396</v>
      </c>
      <c r="D97" s="576">
        <f t="shared" si="517"/>
        <v>-3.2842455827189281</v>
      </c>
      <c r="E97" s="580">
        <f t="shared" si="518"/>
        <v>-0.67434760161948892</v>
      </c>
      <c r="F97" s="572">
        <f t="shared" si="519"/>
        <v>0.73841405199927757</v>
      </c>
      <c r="G97" s="579">
        <f t="shared" si="520"/>
        <v>2.2679489684873658E-7</v>
      </c>
      <c r="H97" s="580">
        <f t="shared" si="521"/>
        <v>0.255</v>
      </c>
      <c r="I97" s="572">
        <f t="shared" si="522"/>
        <v>0.41499999999999992</v>
      </c>
      <c r="J97" s="483">
        <f t="shared" si="523"/>
        <v>6.2480000000000002</v>
      </c>
      <c r="K97" s="806" t="str">
        <f t="shared" si="524"/>
        <v>CPS-32193r1</v>
      </c>
      <c r="L97" s="309"/>
      <c r="M97" s="164">
        <f t="shared" si="526"/>
        <v>6.2480000000000002</v>
      </c>
      <c r="N97" s="575">
        <f t="shared" si="527"/>
        <v>-3.3858148758125473</v>
      </c>
      <c r="O97" s="572">
        <f t="shared" si="528"/>
        <v>3.7074845017079396</v>
      </c>
      <c r="P97" s="576">
        <f t="shared" si="529"/>
        <v>-3.2842455827189281</v>
      </c>
      <c r="Q97" s="528">
        <f t="shared" si="609"/>
        <v>132.40350819569721</v>
      </c>
      <c r="R97" s="572">
        <f t="shared" si="101"/>
        <v>5.02087479466259</v>
      </c>
      <c r="S97" s="577">
        <f t="shared" si="102"/>
        <v>-3.2842455827189281</v>
      </c>
      <c r="T97" s="578">
        <f t="shared" si="103"/>
        <v>3.6817978412194683</v>
      </c>
      <c r="U97" s="572">
        <f t="shared" si="104"/>
        <v>3.4137293917458904</v>
      </c>
      <c r="V97" s="579">
        <f t="shared" si="141"/>
        <v>-3.2842455827189281</v>
      </c>
      <c r="W97" s="528">
        <f t="shared" si="735"/>
        <v>42.8363990415682</v>
      </c>
      <c r="X97" s="572">
        <f t="shared" si="105"/>
        <v>5.02087479466259</v>
      </c>
      <c r="Y97" s="573">
        <f t="shared" si="733"/>
        <v>-3.2842455827189281</v>
      </c>
      <c r="Z97" s="575">
        <f t="shared" si="530"/>
        <v>0.67434760161948892</v>
      </c>
      <c r="AA97" s="572">
        <f t="shared" si="531"/>
        <v>-0.73841405199927757</v>
      </c>
      <c r="AB97" s="572">
        <f t="shared" si="532"/>
        <v>-2.2679489684873658E-7</v>
      </c>
      <c r="AC97" s="579">
        <f t="shared" si="106"/>
        <v>1</v>
      </c>
      <c r="AD97" s="580">
        <f t="shared" si="142"/>
        <v>0.67434760161948892</v>
      </c>
      <c r="AE97" s="572">
        <f t="shared" si="107"/>
        <v>-0.73841405199927757</v>
      </c>
      <c r="AF97" s="576">
        <f t="shared" si="108"/>
        <v>-2.2679489684873658E-7</v>
      </c>
      <c r="AG97" s="545">
        <f t="shared" si="109"/>
        <v>-89.999982402298045</v>
      </c>
      <c r="AH97" s="546">
        <f t="shared" si="110"/>
        <v>47.596491804304094</v>
      </c>
      <c r="AI97" s="528">
        <f t="shared" si="111"/>
        <v>-89.999987005609597</v>
      </c>
      <c r="AJ97" s="529">
        <f t="shared" si="112"/>
        <v>42.403508195697242</v>
      </c>
      <c r="AK97" s="578">
        <f t="shared" si="238"/>
        <v>5.5511151231257827E-16</v>
      </c>
      <c r="AL97" s="572">
        <f t="shared" si="113"/>
        <v>-0.99999999999997424</v>
      </c>
      <c r="AM97" s="577">
        <f t="shared" si="114"/>
        <v>-2.2679489684873658E-7</v>
      </c>
      <c r="AN97" s="524">
        <f t="shared" si="115"/>
        <v>-89.999987005609597</v>
      </c>
      <c r="AO97" s="525">
        <f t="shared" si="525"/>
        <v>0</v>
      </c>
      <c r="AP97" s="528">
        <f t="shared" si="117"/>
        <v>-89.999999999999972</v>
      </c>
      <c r="AQ97" s="529">
        <f t="shared" si="533"/>
        <v>0.90802334812926255</v>
      </c>
      <c r="AS97" s="932">
        <f t="shared" si="632"/>
        <v>42.8363990415682</v>
      </c>
      <c r="AT97" s="928">
        <f t="shared" si="534"/>
        <v>-2.8474651622402138</v>
      </c>
      <c r="AU97" s="418"/>
      <c r="AV97" s="164" t="str">
        <f t="shared" si="535"/>
        <v/>
      </c>
      <c r="AW97" s="797" t="str">
        <f>IFERROR(INDEX(MassProp!C$9:C$150,MATCH($M97,MassProp!$B$9:$B$150,0)),"")</f>
        <v/>
      </c>
      <c r="AX97" s="744" t="str">
        <f>IFERROR(INDEX(MassProp!D$9:D$150,MATCH($M97,MassProp!$B$9:$B$150,0)),"")</f>
        <v/>
      </c>
      <c r="AY97" s="731" t="str">
        <f>IFERROR(INDEX(MassProp!E$9:E$150,MATCH($M97,MassProp!$B$9:$B$150,0)),"")</f>
        <v/>
      </c>
      <c r="AZ97" s="297" t="str">
        <f t="shared" si="633"/>
        <v/>
      </c>
      <c r="BA97" s="296" t="str">
        <f t="shared" si="536"/>
        <v/>
      </c>
      <c r="BB97" s="177" t="str">
        <f t="shared" si="610"/>
        <v/>
      </c>
      <c r="BC97" s="9"/>
      <c r="BD97" s="5" t="str">
        <f t="shared" si="611"/>
        <v/>
      </c>
      <c r="BE97" s="6" t="str">
        <f t="shared" si="537"/>
        <v/>
      </c>
      <c r="BF97" s="4" t="str">
        <f t="shared" si="538"/>
        <v/>
      </c>
      <c r="BG97" s="5" t="str">
        <f t="shared" si="539"/>
        <v/>
      </c>
      <c r="BH97" s="10" t="str">
        <f t="shared" si="540"/>
        <v/>
      </c>
      <c r="BI97" s="9" t="str">
        <f t="shared" si="634"/>
        <v/>
      </c>
      <c r="BJ97" s="5" t="str">
        <f t="shared" si="541"/>
        <v/>
      </c>
      <c r="BK97" s="8" t="str">
        <f t="shared" si="542"/>
        <v/>
      </c>
      <c r="BL97" s="173" t="str">
        <f t="shared" si="543"/>
        <v/>
      </c>
      <c r="BM97" s="5" t="str">
        <f t="shared" si="544"/>
        <v/>
      </c>
      <c r="BN97" s="6" t="str">
        <f t="shared" si="545"/>
        <v/>
      </c>
      <c r="BO97" s="4" t="str">
        <f t="shared" si="635"/>
        <v/>
      </c>
      <c r="BP97" s="5" t="str">
        <f t="shared" si="734"/>
        <v/>
      </c>
      <c r="BQ97" s="5" t="str">
        <f t="shared" si="636"/>
        <v/>
      </c>
      <c r="BR97" s="6" t="str">
        <f t="shared" si="637"/>
        <v/>
      </c>
      <c r="BS97" s="4" t="str">
        <f t="shared" si="612"/>
        <v/>
      </c>
      <c r="BT97" s="5" t="str">
        <f t="shared" si="612"/>
        <v/>
      </c>
      <c r="BU97" s="10" t="str">
        <f t="shared" si="613"/>
        <v/>
      </c>
      <c r="BV97" s="9" t="str">
        <f t="shared" si="614"/>
        <v/>
      </c>
      <c r="BW97" s="5" t="str">
        <f t="shared" si="615"/>
        <v/>
      </c>
      <c r="BX97" s="8" t="str">
        <f t="shared" si="616"/>
        <v/>
      </c>
      <c r="BY97" s="173" t="str">
        <f t="shared" si="617"/>
        <v/>
      </c>
      <c r="BZ97" s="5" t="str">
        <f t="shared" si="618"/>
        <v/>
      </c>
      <c r="CA97" s="6" t="str">
        <f t="shared" si="619"/>
        <v/>
      </c>
      <c r="CB97" s="4" t="str">
        <f t="shared" si="638"/>
        <v/>
      </c>
      <c r="CC97" s="5" t="str">
        <f t="shared" si="639"/>
        <v/>
      </c>
      <c r="CD97" s="5" t="str">
        <f t="shared" si="640"/>
        <v/>
      </c>
      <c r="CE97" s="6" t="str">
        <f t="shared" si="641"/>
        <v/>
      </c>
      <c r="CF97" s="4" t="str">
        <f t="shared" si="642"/>
        <v/>
      </c>
      <c r="CG97" s="5" t="str">
        <f t="shared" si="643"/>
        <v/>
      </c>
      <c r="CH97" s="5" t="str">
        <f t="shared" si="644"/>
        <v/>
      </c>
      <c r="CI97" s="4" t="str">
        <f t="shared" si="620"/>
        <v/>
      </c>
      <c r="CJ97" s="5" t="str">
        <f t="shared" si="621"/>
        <v/>
      </c>
      <c r="CK97" s="8" t="str">
        <f t="shared" si="622"/>
        <v/>
      </c>
      <c r="CL97" s="173" t="str">
        <f t="shared" si="623"/>
        <v/>
      </c>
      <c r="CM97" s="5" t="str">
        <f t="shared" si="624"/>
        <v/>
      </c>
      <c r="CN97" s="6" t="str">
        <f t="shared" si="625"/>
        <v/>
      </c>
      <c r="CO97" s="167" t="str">
        <f t="shared" si="546"/>
        <v/>
      </c>
      <c r="CP97" s="4" t="str">
        <f t="shared" si="645"/>
        <v/>
      </c>
      <c r="CQ97" s="5" t="str">
        <f t="shared" si="646"/>
        <v/>
      </c>
      <c r="CR97" s="5" t="str">
        <f t="shared" si="647"/>
        <v/>
      </c>
      <c r="CS97" s="8" t="str">
        <f t="shared" si="648"/>
        <v/>
      </c>
      <c r="CT97" s="9" t="str">
        <f t="shared" si="649"/>
        <v/>
      </c>
      <c r="CU97" s="6" t="str">
        <f t="shared" si="650"/>
        <v/>
      </c>
      <c r="CV97" s="4" t="str">
        <f t="shared" si="651"/>
        <v/>
      </c>
      <c r="CW97" s="5" t="str">
        <f t="shared" si="652"/>
        <v/>
      </c>
      <c r="CX97" s="8" t="str">
        <f t="shared" si="653"/>
        <v/>
      </c>
      <c r="CY97" s="9" t="str">
        <f t="shared" si="654"/>
        <v/>
      </c>
      <c r="CZ97" s="5" t="str">
        <f t="shared" si="655"/>
        <v/>
      </c>
      <c r="DA97" s="6" t="str">
        <f t="shared" si="656"/>
        <v/>
      </c>
      <c r="DB97" s="4" t="str">
        <f t="shared" si="657"/>
        <v/>
      </c>
      <c r="DC97" s="5" t="str">
        <f t="shared" si="657"/>
        <v/>
      </c>
      <c r="DD97" s="10" t="str">
        <f t="shared" si="658"/>
        <v/>
      </c>
      <c r="DE97" s="9" t="str">
        <f t="shared" si="659"/>
        <v/>
      </c>
      <c r="DF97" s="5" t="str">
        <f t="shared" si="659"/>
        <v/>
      </c>
      <c r="DG97" s="10" t="str">
        <f t="shared" si="660"/>
        <v/>
      </c>
      <c r="DH97" s="70" t="str">
        <f t="shared" si="661"/>
        <v/>
      </c>
      <c r="DI97" s="4" t="str">
        <f t="shared" si="662"/>
        <v/>
      </c>
      <c r="DJ97" s="5" t="str">
        <f t="shared" si="663"/>
        <v/>
      </c>
      <c r="DK97" s="10" t="str">
        <f t="shared" si="664"/>
        <v/>
      </c>
      <c r="DL97" s="9" t="str">
        <f t="shared" si="665"/>
        <v/>
      </c>
      <c r="DM97" s="173" t="str">
        <f t="shared" si="666"/>
        <v/>
      </c>
      <c r="DN97" s="178" t="str">
        <f t="shared" si="667"/>
        <v/>
      </c>
      <c r="DO97" s="9" t="str">
        <f t="shared" si="668"/>
        <v/>
      </c>
      <c r="DP97" s="173" t="str">
        <f t="shared" si="669"/>
        <v/>
      </c>
      <c r="DQ97" s="11" t="str">
        <f t="shared" si="670"/>
        <v/>
      </c>
      <c r="DR97" s="173" t="str">
        <f t="shared" si="671"/>
        <v/>
      </c>
      <c r="DS97" s="5" t="str">
        <f t="shared" si="672"/>
        <v/>
      </c>
      <c r="DT97" s="5" t="str">
        <f t="shared" si="673"/>
        <v/>
      </c>
      <c r="DU97" s="5" t="str">
        <f t="shared" si="674"/>
        <v/>
      </c>
      <c r="DV97" s="5" t="str">
        <f t="shared" si="675"/>
        <v/>
      </c>
      <c r="DW97" s="5" t="str">
        <f t="shared" si="676"/>
        <v/>
      </c>
      <c r="DX97" s="167" t="str">
        <f t="shared" si="677"/>
        <v/>
      </c>
      <c r="DY97" s="9" t="str">
        <f t="shared" si="678"/>
        <v/>
      </c>
      <c r="DZ97" s="5" t="str">
        <f t="shared" si="679"/>
        <v/>
      </c>
      <c r="EA97" s="10" t="str">
        <f t="shared" si="680"/>
        <v/>
      </c>
      <c r="EB97" s="6" t="str">
        <f t="shared" si="681"/>
        <v/>
      </c>
      <c r="EC97" s="173" t="str">
        <f t="shared" si="682"/>
        <v/>
      </c>
      <c r="ED97" s="5" t="str">
        <f t="shared" si="683"/>
        <v/>
      </c>
      <c r="EE97" s="4" t="str">
        <f t="shared" si="684"/>
        <v/>
      </c>
      <c r="EF97" s="5" t="str">
        <f t="shared" si="685"/>
        <v/>
      </c>
      <c r="EG97" s="10" t="str">
        <f t="shared" si="686"/>
        <v/>
      </c>
      <c r="EH97" s="9" t="str">
        <f t="shared" si="687"/>
        <v/>
      </c>
      <c r="EI97" s="5" t="str">
        <f t="shared" si="688"/>
        <v/>
      </c>
      <c r="EJ97" s="6" t="str">
        <f t="shared" si="689"/>
        <v/>
      </c>
      <c r="EK97" s="236" t="str">
        <f t="shared" si="690"/>
        <v/>
      </c>
      <c r="EL97" s="238" t="str">
        <f t="shared" si="691"/>
        <v/>
      </c>
      <c r="EM97" s="4" t="str">
        <f t="shared" si="692"/>
        <v/>
      </c>
      <c r="EN97" s="5" t="str">
        <f t="shared" si="693"/>
        <v/>
      </c>
      <c r="EO97" s="10" t="str">
        <f t="shared" si="694"/>
        <v/>
      </c>
      <c r="EP97" s="9" t="str">
        <f t="shared" si="695"/>
        <v/>
      </c>
      <c r="EQ97" s="5" t="str">
        <f t="shared" si="696"/>
        <v/>
      </c>
      <c r="ER97" s="7" t="str">
        <f t="shared" si="697"/>
        <v/>
      </c>
      <c r="ES97" s="21" t="str">
        <f t="shared" si="547"/>
        <v/>
      </c>
      <c r="ET97" s="5" t="str">
        <f t="shared" si="548"/>
        <v/>
      </c>
      <c r="EU97" s="10" t="str">
        <f t="shared" si="549"/>
        <v/>
      </c>
      <c r="EV97" s="174" t="str">
        <f t="shared" si="550"/>
        <v/>
      </c>
      <c r="EW97" s="9" t="str">
        <f t="shared" si="551"/>
        <v/>
      </c>
      <c r="EX97" s="5" t="str">
        <f t="shared" si="552"/>
        <v/>
      </c>
      <c r="EY97" s="6" t="str">
        <f t="shared" si="698"/>
        <v/>
      </c>
      <c r="EZ97" s="51" t="str">
        <f t="shared" si="699"/>
        <v/>
      </c>
      <c r="FA97" s="173" t="str">
        <f t="shared" si="553"/>
        <v/>
      </c>
      <c r="FB97" s="5" t="str">
        <f t="shared" si="554"/>
        <v/>
      </c>
      <c r="FC97" s="6" t="str">
        <f t="shared" si="555"/>
        <v/>
      </c>
      <c r="FD97" s="4" t="str">
        <f t="shared" si="556"/>
        <v/>
      </c>
      <c r="FE97" s="5" t="str">
        <f t="shared" si="557"/>
        <v/>
      </c>
      <c r="FF97" s="7" t="str">
        <f t="shared" si="700"/>
        <v/>
      </c>
      <c r="FG97" s="173" t="str">
        <f t="shared" si="558"/>
        <v/>
      </c>
      <c r="FH97" s="5" t="str">
        <f t="shared" si="559"/>
        <v/>
      </c>
      <c r="FI97" s="10" t="str">
        <f t="shared" si="560"/>
        <v/>
      </c>
      <c r="FJ97" s="279" t="str">
        <f t="shared" si="701"/>
        <v/>
      </c>
      <c r="FK97" s="4" t="str">
        <f t="shared" si="561"/>
        <v/>
      </c>
      <c r="FL97" s="5" t="str">
        <f t="shared" si="626"/>
        <v/>
      </c>
      <c r="FM97" s="8" t="str">
        <f t="shared" si="627"/>
        <v/>
      </c>
      <c r="FN97" s="9" t="str">
        <f t="shared" si="628"/>
        <v/>
      </c>
      <c r="FO97" s="10" t="str">
        <f t="shared" si="562"/>
        <v/>
      </c>
      <c r="FP97" s="277" t="str">
        <f t="shared" si="629"/>
        <v/>
      </c>
      <c r="FQ97" s="173" t="str">
        <f t="shared" si="702"/>
        <v/>
      </c>
      <c r="FR97" s="10" t="str">
        <f t="shared" si="703"/>
        <v/>
      </c>
      <c r="FS97" s="9" t="str">
        <f t="shared" si="704"/>
        <v/>
      </c>
      <c r="FT97" s="6" t="str">
        <f t="shared" si="705"/>
        <v/>
      </c>
      <c r="FU97" s="4" t="str">
        <f t="shared" si="706"/>
        <v/>
      </c>
      <c r="FV97" s="5" t="str">
        <f t="shared" si="707"/>
        <v/>
      </c>
      <c r="FW97" s="8" t="str">
        <f t="shared" si="708"/>
        <v/>
      </c>
      <c r="FX97" s="9" t="str">
        <f t="shared" si="709"/>
        <v/>
      </c>
      <c r="FY97" s="10" t="str">
        <f t="shared" si="563"/>
        <v/>
      </c>
      <c r="FZ97" s="277" t="str">
        <f t="shared" si="710"/>
        <v/>
      </c>
      <c r="GA97" s="177" t="str">
        <f t="shared" si="711"/>
        <v/>
      </c>
      <c r="GB97" s="4" t="str">
        <f t="shared" si="712"/>
        <v/>
      </c>
      <c r="GC97" s="5" t="str">
        <f t="shared" si="713"/>
        <v/>
      </c>
      <c r="GD97" s="10" t="str">
        <f t="shared" si="714"/>
        <v/>
      </c>
      <c r="GE97" s="311" t="str">
        <f t="shared" si="715"/>
        <v/>
      </c>
      <c r="GF97" s="341" t="str">
        <f t="shared" si="716"/>
        <v/>
      </c>
      <c r="GG97" s="285" t="str">
        <f t="shared" si="564"/>
        <v/>
      </c>
      <c r="GH97" s="286" t="str">
        <f t="shared" si="565"/>
        <v/>
      </c>
      <c r="GI97" s="281" t="str">
        <f t="shared" si="566"/>
        <v/>
      </c>
      <c r="GJ97" s="167" t="str">
        <f t="shared" si="717"/>
        <v/>
      </c>
      <c r="GK97" s="174" t="str">
        <f t="shared" si="567"/>
        <v/>
      </c>
      <c r="GL97" s="174" t="str">
        <f t="shared" si="718"/>
        <v/>
      </c>
      <c r="GM97" s="177" t="str">
        <f t="shared" si="719"/>
        <v/>
      </c>
      <c r="GN97" s="280" t="str">
        <f t="shared" si="720"/>
        <v/>
      </c>
      <c r="GO97" s="4" t="str">
        <f t="shared" si="721"/>
        <v/>
      </c>
      <c r="GP97" s="8" t="str">
        <f t="shared" si="722"/>
        <v/>
      </c>
      <c r="GQ97" s="177" t="str">
        <f t="shared" si="723"/>
        <v/>
      </c>
      <c r="GR97" s="371" t="str">
        <f t="shared" si="724"/>
        <v/>
      </c>
      <c r="GS97" s="342" t="str">
        <f t="shared" si="568"/>
        <v/>
      </c>
      <c r="GT97" s="343" t="str">
        <f t="shared" si="569"/>
        <v/>
      </c>
      <c r="GU97" s="344" t="str">
        <f t="shared" si="570"/>
        <v/>
      </c>
      <c r="GV97" s="343" t="str">
        <f t="shared" si="725"/>
        <v/>
      </c>
      <c r="GW97" s="345" t="str">
        <f t="shared" si="571"/>
        <v/>
      </c>
      <c r="GX97" s="346" t="str">
        <f t="shared" si="572"/>
        <v/>
      </c>
      <c r="GY97" s="344" t="str">
        <f t="shared" si="573"/>
        <v/>
      </c>
      <c r="GZ97" s="345" t="str">
        <f t="shared" si="574"/>
        <v/>
      </c>
      <c r="HA97" s="342" t="str">
        <f t="shared" si="575"/>
        <v/>
      </c>
      <c r="HB97" s="5" t="str">
        <f t="shared" si="726"/>
        <v/>
      </c>
      <c r="HC97" s="343" t="str">
        <f t="shared" si="727"/>
        <v/>
      </c>
      <c r="HD97" s="363" t="str">
        <f t="shared" si="728"/>
        <v/>
      </c>
      <c r="HE97" s="344" t="str">
        <f t="shared" si="576"/>
        <v/>
      </c>
      <c r="HF97" s="5" t="str">
        <f t="shared" si="577"/>
        <v/>
      </c>
      <c r="HG97" s="343" t="str">
        <f t="shared" si="729"/>
        <v/>
      </c>
      <c r="HH97" s="349" t="str">
        <f t="shared" si="730"/>
        <v/>
      </c>
      <c r="HI97" s="317" t="str">
        <f t="shared" si="578"/>
        <v/>
      </c>
      <c r="HK97" s="310" t="str">
        <f t="shared" si="630"/>
        <v/>
      </c>
      <c r="HL97" s="348" t="str">
        <f t="shared" si="579"/>
        <v/>
      </c>
      <c r="HM97" s="909" t="str">
        <f t="shared" si="580"/>
        <v/>
      </c>
      <c r="HN97" s="910" t="str">
        <f t="shared" si="581"/>
        <v/>
      </c>
      <c r="HO97" s="911"/>
      <c r="HP97" s="912"/>
      <c r="HQ97" s="910" t="str">
        <f t="shared" si="582"/>
        <v/>
      </c>
      <c r="HR97" s="913" t="str">
        <f t="shared" si="583"/>
        <v/>
      </c>
      <c r="HS97" s="865" t="str">
        <f t="shared" si="631"/>
        <v/>
      </c>
      <c r="HT97" s="875" t="str">
        <f t="shared" si="584"/>
        <v/>
      </c>
      <c r="HU97" s="876" t="str">
        <f t="shared" si="585"/>
        <v/>
      </c>
      <c r="HV97" s="872" t="str">
        <f t="shared" si="586"/>
        <v/>
      </c>
      <c r="HW97" s="866" t="str">
        <f t="shared" si="587"/>
        <v/>
      </c>
      <c r="HX97" s="867" t="str">
        <f t="shared" si="588"/>
        <v/>
      </c>
      <c r="HY97" s="866" t="str">
        <f t="shared" si="589"/>
        <v/>
      </c>
      <c r="HZ97" s="868" t="str">
        <f t="shared" si="590"/>
        <v/>
      </c>
      <c r="IA97" s="869" t="str">
        <f t="shared" si="591"/>
        <v/>
      </c>
      <c r="IB97" s="870" t="str">
        <f t="shared" si="592"/>
        <v/>
      </c>
      <c r="IC97" s="841" t="str">
        <f t="shared" si="593"/>
        <v/>
      </c>
      <c r="ID97" s="351" t="str">
        <f t="shared" si="594"/>
        <v/>
      </c>
      <c r="IE97" s="843" t="str">
        <f t="shared" si="595"/>
        <v/>
      </c>
      <c r="IF97" s="844"/>
      <c r="IG97" s="790" t="str">
        <f>IFERROR(IF($IW97="","",IF($IW97&lt;(((Settings!$C$19/2)*-1)*$IG$8),"Taper","Nose")),"")</f>
        <v>Taper</v>
      </c>
      <c r="IH97" s="482" t="str">
        <f>IFERROR(IF((((($IY97*COS(RADIANS(180-$JA97)))*COS(RADIANS($JA97)))-(($IZ97*SIN(RADIANS(180-$JA97)))*SIN(RADIANS($JA97))))+$IW97)&lt;(((Settings!$C$19+$IH$8)/2)*-1),"Gage",""),"")</f>
        <v/>
      </c>
      <c r="II97" s="788">
        <f t="shared" si="731"/>
        <v>6.2480000000000002</v>
      </c>
      <c r="IJ97" s="674" cm="1">
        <f t="array" ref="IJ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>0.14799999999999999</v>
      </c>
      <c r="IK97" s="677" cm="1">
        <f t="array" ref="IK97">IFERROR(ROUND(VALUE(IF($IJ97&lt;1,$IJ97+LARGE((IF($M$9:$M$150="",0,$M$9:$M$150)-MOD(IF($M$9:$M$150="",0,$M$9:$M$150),1)),1),$IJ97)),4),"")</f>
        <v>6.1479999999999997</v>
      </c>
      <c r="IL97" s="482">
        <f t="shared" si="596"/>
        <v>1613</v>
      </c>
      <c r="IM97" s="482" t="str">
        <f t="shared" si="732"/>
        <v>CPS-32193r1</v>
      </c>
      <c r="IN97" s="670">
        <f t="shared" si="597"/>
        <v>12.202087403953357</v>
      </c>
      <c r="IO97" s="702">
        <v>4.8104159123766699E-2</v>
      </c>
      <c r="IP97" s="5">
        <f t="shared" si="598"/>
        <v>2.78</v>
      </c>
      <c r="IQ97" s="714">
        <v>1390</v>
      </c>
      <c r="IR97" s="9">
        <f t="shared" si="599"/>
        <v>-5.0550887932628417</v>
      </c>
      <c r="IS97" s="5">
        <f t="shared" si="600"/>
        <v>-3.2605907014524296</v>
      </c>
      <c r="IT97" s="5">
        <f t="shared" si="601"/>
        <v>0.3125</v>
      </c>
      <c r="IU97" s="5">
        <f t="shared" si="602"/>
        <v>0.2712167877918456</v>
      </c>
      <c r="IV97" s="670">
        <f t="shared" si="603"/>
        <v>84.970117416838406</v>
      </c>
      <c r="IW97" s="9">
        <f t="shared" si="604"/>
        <v>-5.02087479466259</v>
      </c>
      <c r="IX97" s="5">
        <f t="shared" si="605"/>
        <v>-3.2842455827189281</v>
      </c>
      <c r="IY97" s="5">
        <f t="shared" si="606"/>
        <v>0.255</v>
      </c>
      <c r="IZ97" s="5">
        <f t="shared" si="607"/>
        <v>0.255</v>
      </c>
      <c r="JA97" s="705">
        <f t="shared" si="608"/>
        <v>89.999987005609597</v>
      </c>
    </row>
    <row r="98" spans="1:261" ht="15" customHeight="1" x14ac:dyDescent="0.25">
      <c r="A98" s="75">
        <f t="shared" si="256"/>
        <v>0.02</v>
      </c>
      <c r="B98" s="578">
        <f t="shared" si="515"/>
        <v>4.9739065424101296</v>
      </c>
      <c r="C98" s="572">
        <f t="shared" si="516"/>
        <v>1.2243404882263293</v>
      </c>
      <c r="D98" s="576">
        <f t="shared" si="517"/>
        <v>-9.4977962776039639</v>
      </c>
      <c r="E98" s="580">
        <f t="shared" si="518"/>
        <v>0.42889641180125504</v>
      </c>
      <c r="F98" s="572">
        <f t="shared" si="519"/>
        <v>0.89643132942197401</v>
      </c>
      <c r="G98" s="579">
        <f t="shared" si="520"/>
        <v>-0.11161872412261593</v>
      </c>
      <c r="H98" s="580">
        <f t="shared" si="521"/>
        <v>0.26450000000000001</v>
      </c>
      <c r="I98" s="572">
        <f t="shared" si="522"/>
        <v>0.52</v>
      </c>
      <c r="J98" s="483">
        <f t="shared" si="523"/>
        <v>6.2539999999999996</v>
      </c>
      <c r="K98" s="806">
        <f t="shared" si="524"/>
        <v>1313</v>
      </c>
      <c r="L98" s="309"/>
      <c r="M98" s="164">
        <f t="shared" si="526"/>
        <v>6.2539999999999996</v>
      </c>
      <c r="N98" s="575">
        <f t="shared" si="527"/>
        <v>4.9739065424101296</v>
      </c>
      <c r="O98" s="572">
        <f t="shared" si="528"/>
        <v>1.2243404882263293</v>
      </c>
      <c r="P98" s="576">
        <f t="shared" si="529"/>
        <v>-9.4977962776039639</v>
      </c>
      <c r="Q98" s="528">
        <f t="shared" si="609"/>
        <v>13.828588655215095</v>
      </c>
      <c r="R98" s="572">
        <f t="shared" si="101"/>
        <v>5.1223779559634774</v>
      </c>
      <c r="S98" s="577">
        <f t="shared" si="102"/>
        <v>-9.4977962776039639</v>
      </c>
      <c r="T98" s="578">
        <f t="shared" si="103"/>
        <v>1.2618848930359758</v>
      </c>
      <c r="U98" s="572">
        <f t="shared" si="104"/>
        <v>-4.9645143207033007</v>
      </c>
      <c r="V98" s="579">
        <f t="shared" si="141"/>
        <v>-9.4977962776039639</v>
      </c>
      <c r="W98" s="528">
        <f t="shared" si="735"/>
        <v>284.26147950108606</v>
      </c>
      <c r="X98" s="572">
        <f t="shared" si="105"/>
        <v>5.1223779559634774</v>
      </c>
      <c r="Y98" s="573">
        <f t="shared" si="733"/>
        <v>-9.4977962776039639</v>
      </c>
      <c r="Z98" s="575">
        <f t="shared" si="530"/>
        <v>-0.42889641180125504</v>
      </c>
      <c r="AA98" s="572">
        <f t="shared" si="531"/>
        <v>-0.89643132942197401</v>
      </c>
      <c r="AB98" s="572">
        <f t="shared" si="532"/>
        <v>0.11161872412261593</v>
      </c>
      <c r="AC98" s="579">
        <f t="shared" si="106"/>
        <v>1</v>
      </c>
      <c r="AD98" s="580">
        <f t="shared" si="142"/>
        <v>-0.42889641180125504</v>
      </c>
      <c r="AE98" s="572">
        <f t="shared" si="107"/>
        <v>-0.89643132942197401</v>
      </c>
      <c r="AF98" s="576">
        <f t="shared" si="108"/>
        <v>0.11161872412261593</v>
      </c>
      <c r="AG98" s="545">
        <f t="shared" si="109"/>
        <v>-97.097627164582363</v>
      </c>
      <c r="AH98" s="546">
        <f t="shared" si="110"/>
        <v>115.39754403286952</v>
      </c>
      <c r="AI98" s="528">
        <f t="shared" si="111"/>
        <v>-96.408636339561298</v>
      </c>
      <c r="AJ98" s="529">
        <f t="shared" si="112"/>
        <v>-25.568723450490616</v>
      </c>
      <c r="AK98" s="578">
        <f t="shared" si="238"/>
        <v>0.7679344331533634</v>
      </c>
      <c r="AL98" s="572">
        <f t="shared" si="113"/>
        <v>-0.63072812431558956</v>
      </c>
      <c r="AM98" s="577">
        <f t="shared" si="114"/>
        <v>0.11161872412261593</v>
      </c>
      <c r="AN98" s="524">
        <f t="shared" si="115"/>
        <v>-100.03561890671624</v>
      </c>
      <c r="AO98" s="525">
        <f t="shared" si="525"/>
        <v>39.831236627249652</v>
      </c>
      <c r="AP98" s="528">
        <f t="shared" si="117"/>
        <v>-39.397312105705694</v>
      </c>
      <c r="AQ98" s="529">
        <f t="shared" si="533"/>
        <v>0.8900332144298303</v>
      </c>
      <c r="AS98" s="932">
        <f t="shared" si="632"/>
        <v>-75.738520498913942</v>
      </c>
      <c r="AT98" s="928">
        <f t="shared" si="534"/>
        <v>-8.8963284688745805</v>
      </c>
      <c r="AU98" s="418"/>
      <c r="AV98" s="164" t="str">
        <f t="shared" si="535"/>
        <v/>
      </c>
      <c r="AW98" s="797" t="str">
        <f>IFERROR(INDEX(MassProp!C$9:C$150,MATCH($M98,MassProp!$B$9:$B$150,0)),"")</f>
        <v/>
      </c>
      <c r="AX98" s="744" t="str">
        <f>IFERROR(INDEX(MassProp!D$9:D$150,MATCH($M98,MassProp!$B$9:$B$150,0)),"")</f>
        <v/>
      </c>
      <c r="AY98" s="731" t="str">
        <f>IFERROR(INDEX(MassProp!E$9:E$150,MATCH($M98,MassProp!$B$9:$B$150,0)),"")</f>
        <v/>
      </c>
      <c r="AZ98" s="297" t="str">
        <f t="shared" si="633"/>
        <v/>
      </c>
      <c r="BA98" s="296" t="str">
        <f t="shared" si="536"/>
        <v/>
      </c>
      <c r="BB98" s="177" t="str">
        <f t="shared" si="610"/>
        <v/>
      </c>
      <c r="BC98" s="9"/>
      <c r="BD98" s="5" t="str">
        <f t="shared" si="611"/>
        <v/>
      </c>
      <c r="BE98" s="6" t="str">
        <f t="shared" si="537"/>
        <v/>
      </c>
      <c r="BF98" s="4" t="str">
        <f t="shared" si="538"/>
        <v/>
      </c>
      <c r="BG98" s="5" t="str">
        <f t="shared" si="539"/>
        <v/>
      </c>
      <c r="BH98" s="10" t="str">
        <f t="shared" si="540"/>
        <v/>
      </c>
      <c r="BI98" s="9" t="str">
        <f t="shared" si="634"/>
        <v/>
      </c>
      <c r="BJ98" s="5" t="str">
        <f t="shared" si="541"/>
        <v/>
      </c>
      <c r="BK98" s="8" t="str">
        <f t="shared" si="542"/>
        <v/>
      </c>
      <c r="BL98" s="173" t="str">
        <f t="shared" si="543"/>
        <v/>
      </c>
      <c r="BM98" s="5" t="str">
        <f t="shared" si="544"/>
        <v/>
      </c>
      <c r="BN98" s="6" t="str">
        <f t="shared" si="545"/>
        <v/>
      </c>
      <c r="BO98" s="4" t="str">
        <f t="shared" si="635"/>
        <v/>
      </c>
      <c r="BP98" s="5" t="str">
        <f t="shared" si="734"/>
        <v/>
      </c>
      <c r="BQ98" s="5" t="str">
        <f t="shared" si="636"/>
        <v/>
      </c>
      <c r="BR98" s="6" t="str">
        <f t="shared" si="637"/>
        <v/>
      </c>
      <c r="BS98" s="4" t="str">
        <f t="shared" si="612"/>
        <v/>
      </c>
      <c r="BT98" s="5" t="str">
        <f t="shared" si="612"/>
        <v/>
      </c>
      <c r="BU98" s="10" t="str">
        <f t="shared" si="613"/>
        <v/>
      </c>
      <c r="BV98" s="9" t="str">
        <f t="shared" si="614"/>
        <v/>
      </c>
      <c r="BW98" s="5" t="str">
        <f t="shared" si="615"/>
        <v/>
      </c>
      <c r="BX98" s="8" t="str">
        <f t="shared" si="616"/>
        <v/>
      </c>
      <c r="BY98" s="173" t="str">
        <f t="shared" si="617"/>
        <v/>
      </c>
      <c r="BZ98" s="5" t="str">
        <f t="shared" si="618"/>
        <v/>
      </c>
      <c r="CA98" s="6" t="str">
        <f t="shared" si="619"/>
        <v/>
      </c>
      <c r="CB98" s="4" t="str">
        <f t="shared" si="638"/>
        <v/>
      </c>
      <c r="CC98" s="5" t="str">
        <f t="shared" si="639"/>
        <v/>
      </c>
      <c r="CD98" s="5" t="str">
        <f t="shared" si="640"/>
        <v/>
      </c>
      <c r="CE98" s="6" t="str">
        <f t="shared" si="641"/>
        <v/>
      </c>
      <c r="CF98" s="4" t="str">
        <f t="shared" si="642"/>
        <v/>
      </c>
      <c r="CG98" s="5" t="str">
        <f t="shared" si="643"/>
        <v/>
      </c>
      <c r="CH98" s="5" t="str">
        <f t="shared" si="644"/>
        <v/>
      </c>
      <c r="CI98" s="4" t="str">
        <f t="shared" si="620"/>
        <v/>
      </c>
      <c r="CJ98" s="5" t="str">
        <f t="shared" si="621"/>
        <v/>
      </c>
      <c r="CK98" s="8" t="str">
        <f t="shared" si="622"/>
        <v/>
      </c>
      <c r="CL98" s="173" t="str">
        <f t="shared" si="623"/>
        <v/>
      </c>
      <c r="CM98" s="5" t="str">
        <f t="shared" si="624"/>
        <v/>
      </c>
      <c r="CN98" s="6" t="str">
        <f t="shared" si="625"/>
        <v/>
      </c>
      <c r="CO98" s="167" t="str">
        <f t="shared" si="546"/>
        <v/>
      </c>
      <c r="CP98" s="4" t="str">
        <f t="shared" si="645"/>
        <v/>
      </c>
      <c r="CQ98" s="5" t="str">
        <f t="shared" si="646"/>
        <v/>
      </c>
      <c r="CR98" s="5" t="str">
        <f t="shared" si="647"/>
        <v/>
      </c>
      <c r="CS98" s="8" t="str">
        <f t="shared" si="648"/>
        <v/>
      </c>
      <c r="CT98" s="9" t="str">
        <f t="shared" si="649"/>
        <v/>
      </c>
      <c r="CU98" s="6" t="str">
        <f t="shared" si="650"/>
        <v/>
      </c>
      <c r="CV98" s="4" t="str">
        <f t="shared" si="651"/>
        <v/>
      </c>
      <c r="CW98" s="5" t="str">
        <f t="shared" si="652"/>
        <v/>
      </c>
      <c r="CX98" s="8" t="str">
        <f t="shared" si="653"/>
        <v/>
      </c>
      <c r="CY98" s="9" t="str">
        <f t="shared" si="654"/>
        <v/>
      </c>
      <c r="CZ98" s="5" t="str">
        <f t="shared" si="655"/>
        <v/>
      </c>
      <c r="DA98" s="6" t="str">
        <f t="shared" si="656"/>
        <v/>
      </c>
      <c r="DB98" s="4" t="str">
        <f t="shared" si="657"/>
        <v/>
      </c>
      <c r="DC98" s="5" t="str">
        <f t="shared" si="657"/>
        <v/>
      </c>
      <c r="DD98" s="10" t="str">
        <f t="shared" si="658"/>
        <v/>
      </c>
      <c r="DE98" s="9" t="str">
        <f t="shared" si="659"/>
        <v/>
      </c>
      <c r="DF98" s="5" t="str">
        <f t="shared" si="659"/>
        <v/>
      </c>
      <c r="DG98" s="10" t="str">
        <f t="shared" si="660"/>
        <v/>
      </c>
      <c r="DH98" s="70" t="str">
        <f t="shared" si="661"/>
        <v/>
      </c>
      <c r="DI98" s="4" t="str">
        <f t="shared" si="662"/>
        <v/>
      </c>
      <c r="DJ98" s="5" t="str">
        <f t="shared" si="663"/>
        <v/>
      </c>
      <c r="DK98" s="10" t="str">
        <f t="shared" si="664"/>
        <v/>
      </c>
      <c r="DL98" s="9" t="str">
        <f t="shared" si="665"/>
        <v/>
      </c>
      <c r="DM98" s="173" t="str">
        <f t="shared" si="666"/>
        <v/>
      </c>
      <c r="DN98" s="178" t="str">
        <f t="shared" si="667"/>
        <v/>
      </c>
      <c r="DO98" s="9" t="str">
        <f t="shared" si="668"/>
        <v/>
      </c>
      <c r="DP98" s="173" t="str">
        <f t="shared" si="669"/>
        <v/>
      </c>
      <c r="DQ98" s="11" t="str">
        <f t="shared" si="670"/>
        <v/>
      </c>
      <c r="DR98" s="173" t="str">
        <f t="shared" si="671"/>
        <v/>
      </c>
      <c r="DS98" s="5" t="str">
        <f t="shared" si="672"/>
        <v/>
      </c>
      <c r="DT98" s="5" t="str">
        <f t="shared" si="673"/>
        <v/>
      </c>
      <c r="DU98" s="5" t="str">
        <f t="shared" si="674"/>
        <v/>
      </c>
      <c r="DV98" s="5" t="str">
        <f t="shared" si="675"/>
        <v/>
      </c>
      <c r="DW98" s="5" t="str">
        <f t="shared" si="676"/>
        <v/>
      </c>
      <c r="DX98" s="167" t="str">
        <f t="shared" si="677"/>
        <v/>
      </c>
      <c r="DY98" s="9" t="str">
        <f t="shared" si="678"/>
        <v/>
      </c>
      <c r="DZ98" s="5" t="str">
        <f t="shared" si="679"/>
        <v/>
      </c>
      <c r="EA98" s="10" t="str">
        <f t="shared" si="680"/>
        <v/>
      </c>
      <c r="EB98" s="6" t="str">
        <f t="shared" si="681"/>
        <v/>
      </c>
      <c r="EC98" s="173" t="str">
        <f t="shared" si="682"/>
        <v/>
      </c>
      <c r="ED98" s="5" t="str">
        <f t="shared" si="683"/>
        <v/>
      </c>
      <c r="EE98" s="4" t="str">
        <f t="shared" si="684"/>
        <v/>
      </c>
      <c r="EF98" s="5" t="str">
        <f t="shared" si="685"/>
        <v/>
      </c>
      <c r="EG98" s="10" t="str">
        <f t="shared" si="686"/>
        <v/>
      </c>
      <c r="EH98" s="9" t="str">
        <f t="shared" si="687"/>
        <v/>
      </c>
      <c r="EI98" s="5" t="str">
        <f t="shared" si="688"/>
        <v/>
      </c>
      <c r="EJ98" s="6" t="str">
        <f t="shared" si="689"/>
        <v/>
      </c>
      <c r="EK98" s="236" t="str">
        <f t="shared" si="690"/>
        <v/>
      </c>
      <c r="EL98" s="238" t="str">
        <f t="shared" si="691"/>
        <v/>
      </c>
      <c r="EM98" s="4" t="str">
        <f t="shared" si="692"/>
        <v/>
      </c>
      <c r="EN98" s="5" t="str">
        <f t="shared" si="693"/>
        <v/>
      </c>
      <c r="EO98" s="10" t="str">
        <f t="shared" si="694"/>
        <v/>
      </c>
      <c r="EP98" s="9" t="str">
        <f t="shared" si="695"/>
        <v/>
      </c>
      <c r="EQ98" s="5" t="str">
        <f t="shared" si="696"/>
        <v/>
      </c>
      <c r="ER98" s="7" t="str">
        <f t="shared" si="697"/>
        <v/>
      </c>
      <c r="ES98" s="21" t="str">
        <f t="shared" si="547"/>
        <v/>
      </c>
      <c r="ET98" s="5" t="str">
        <f t="shared" si="548"/>
        <v/>
      </c>
      <c r="EU98" s="10" t="str">
        <f t="shared" si="549"/>
        <v/>
      </c>
      <c r="EV98" s="174" t="str">
        <f t="shared" si="550"/>
        <v/>
      </c>
      <c r="EW98" s="9" t="str">
        <f t="shared" si="551"/>
        <v/>
      </c>
      <c r="EX98" s="5" t="str">
        <f t="shared" si="552"/>
        <v/>
      </c>
      <c r="EY98" s="6" t="str">
        <f t="shared" si="698"/>
        <v/>
      </c>
      <c r="EZ98" s="51" t="str">
        <f t="shared" si="699"/>
        <v/>
      </c>
      <c r="FA98" s="173" t="str">
        <f t="shared" si="553"/>
        <v/>
      </c>
      <c r="FB98" s="5" t="str">
        <f t="shared" si="554"/>
        <v/>
      </c>
      <c r="FC98" s="6" t="str">
        <f t="shared" si="555"/>
        <v/>
      </c>
      <c r="FD98" s="4" t="str">
        <f t="shared" si="556"/>
        <v/>
      </c>
      <c r="FE98" s="5" t="str">
        <f t="shared" si="557"/>
        <v/>
      </c>
      <c r="FF98" s="7" t="str">
        <f t="shared" si="700"/>
        <v/>
      </c>
      <c r="FG98" s="173" t="str">
        <f t="shared" si="558"/>
        <v/>
      </c>
      <c r="FH98" s="5" t="str">
        <f t="shared" si="559"/>
        <v/>
      </c>
      <c r="FI98" s="10" t="str">
        <f t="shared" si="560"/>
        <v/>
      </c>
      <c r="FJ98" s="279" t="str">
        <f t="shared" si="701"/>
        <v/>
      </c>
      <c r="FK98" s="4" t="str">
        <f t="shared" si="561"/>
        <v/>
      </c>
      <c r="FL98" s="5" t="str">
        <f t="shared" si="626"/>
        <v/>
      </c>
      <c r="FM98" s="8" t="str">
        <f t="shared" si="627"/>
        <v/>
      </c>
      <c r="FN98" s="9" t="str">
        <f t="shared" si="628"/>
        <v/>
      </c>
      <c r="FO98" s="10" t="str">
        <f t="shared" si="562"/>
        <v/>
      </c>
      <c r="FP98" s="277" t="str">
        <f t="shared" si="629"/>
        <v/>
      </c>
      <c r="FQ98" s="173" t="str">
        <f t="shared" si="702"/>
        <v/>
      </c>
      <c r="FR98" s="10" t="str">
        <f t="shared" si="703"/>
        <v/>
      </c>
      <c r="FS98" s="9" t="str">
        <f t="shared" si="704"/>
        <v/>
      </c>
      <c r="FT98" s="6" t="str">
        <f t="shared" si="705"/>
        <v/>
      </c>
      <c r="FU98" s="4" t="str">
        <f t="shared" si="706"/>
        <v/>
      </c>
      <c r="FV98" s="5" t="str">
        <f t="shared" si="707"/>
        <v/>
      </c>
      <c r="FW98" s="8" t="str">
        <f t="shared" si="708"/>
        <v/>
      </c>
      <c r="FX98" s="9" t="str">
        <f t="shared" si="709"/>
        <v/>
      </c>
      <c r="FY98" s="10" t="str">
        <f t="shared" si="563"/>
        <v/>
      </c>
      <c r="FZ98" s="277" t="str">
        <f t="shared" si="710"/>
        <v/>
      </c>
      <c r="GA98" s="177" t="str">
        <f t="shared" si="711"/>
        <v/>
      </c>
      <c r="GB98" s="4" t="str">
        <f t="shared" si="712"/>
        <v/>
      </c>
      <c r="GC98" s="5" t="str">
        <f t="shared" si="713"/>
        <v/>
      </c>
      <c r="GD98" s="10" t="str">
        <f t="shared" si="714"/>
        <v/>
      </c>
      <c r="GE98" s="311" t="str">
        <f t="shared" si="715"/>
        <v/>
      </c>
      <c r="GF98" s="341" t="str">
        <f t="shared" si="716"/>
        <v/>
      </c>
      <c r="GG98" s="285" t="str">
        <f t="shared" si="564"/>
        <v/>
      </c>
      <c r="GH98" s="286" t="str">
        <f t="shared" si="565"/>
        <v/>
      </c>
      <c r="GI98" s="281" t="str">
        <f t="shared" si="566"/>
        <v/>
      </c>
      <c r="GJ98" s="167" t="str">
        <f t="shared" si="717"/>
        <v/>
      </c>
      <c r="GK98" s="174" t="str">
        <f t="shared" si="567"/>
        <v/>
      </c>
      <c r="GL98" s="174" t="str">
        <f t="shared" si="718"/>
        <v/>
      </c>
      <c r="GM98" s="177" t="str">
        <f t="shared" si="719"/>
        <v/>
      </c>
      <c r="GN98" s="280" t="str">
        <f t="shared" si="720"/>
        <v/>
      </c>
      <c r="GO98" s="4" t="str">
        <f t="shared" si="721"/>
        <v/>
      </c>
      <c r="GP98" s="8" t="str">
        <f t="shared" si="722"/>
        <v/>
      </c>
      <c r="GQ98" s="177" t="str">
        <f t="shared" si="723"/>
        <v/>
      </c>
      <c r="GR98" s="371" t="str">
        <f t="shared" si="724"/>
        <v/>
      </c>
      <c r="GS98" s="342" t="str">
        <f t="shared" si="568"/>
        <v/>
      </c>
      <c r="GT98" s="343" t="str">
        <f t="shared" si="569"/>
        <v/>
      </c>
      <c r="GU98" s="344" t="str">
        <f t="shared" si="570"/>
        <v/>
      </c>
      <c r="GV98" s="343" t="str">
        <f t="shared" si="725"/>
        <v/>
      </c>
      <c r="GW98" s="345" t="str">
        <f t="shared" si="571"/>
        <v/>
      </c>
      <c r="GX98" s="346" t="str">
        <f t="shared" si="572"/>
        <v/>
      </c>
      <c r="GY98" s="344" t="str">
        <f t="shared" si="573"/>
        <v/>
      </c>
      <c r="GZ98" s="345" t="str">
        <f t="shared" si="574"/>
        <v/>
      </c>
      <c r="HA98" s="342" t="str">
        <f t="shared" si="575"/>
        <v/>
      </c>
      <c r="HB98" s="5" t="str">
        <f t="shared" si="726"/>
        <v/>
      </c>
      <c r="HC98" s="343" t="str">
        <f t="shared" si="727"/>
        <v/>
      </c>
      <c r="HD98" s="363" t="str">
        <f t="shared" si="728"/>
        <v/>
      </c>
      <c r="HE98" s="344" t="str">
        <f t="shared" si="576"/>
        <v/>
      </c>
      <c r="HF98" s="5" t="str">
        <f t="shared" si="577"/>
        <v/>
      </c>
      <c r="HG98" s="343" t="str">
        <f t="shared" si="729"/>
        <v/>
      </c>
      <c r="HH98" s="349" t="str">
        <f t="shared" si="730"/>
        <v/>
      </c>
      <c r="HI98" s="317" t="str">
        <f t="shared" si="578"/>
        <v/>
      </c>
      <c r="HK98" s="310" t="str">
        <f t="shared" si="630"/>
        <v/>
      </c>
      <c r="HL98" s="348" t="str">
        <f t="shared" si="579"/>
        <v/>
      </c>
      <c r="HM98" s="909" t="str">
        <f t="shared" si="580"/>
        <v/>
      </c>
      <c r="HN98" s="910" t="str">
        <f t="shared" si="581"/>
        <v/>
      </c>
      <c r="HO98" s="911"/>
      <c r="HP98" s="912"/>
      <c r="HQ98" s="910" t="str">
        <f t="shared" si="582"/>
        <v/>
      </c>
      <c r="HR98" s="913" t="str">
        <f t="shared" si="583"/>
        <v/>
      </c>
      <c r="HS98" s="865" t="str">
        <f t="shared" si="631"/>
        <v/>
      </c>
      <c r="HT98" s="875" t="str">
        <f t="shared" si="584"/>
        <v/>
      </c>
      <c r="HU98" s="876" t="str">
        <f t="shared" si="585"/>
        <v/>
      </c>
      <c r="HV98" s="872" t="str">
        <f t="shared" si="586"/>
        <v/>
      </c>
      <c r="HW98" s="866" t="str">
        <f t="shared" si="587"/>
        <v/>
      </c>
      <c r="HX98" s="867" t="str">
        <f t="shared" si="588"/>
        <v/>
      </c>
      <c r="HY98" s="866" t="str">
        <f t="shared" si="589"/>
        <v/>
      </c>
      <c r="HZ98" s="868" t="str">
        <f t="shared" si="590"/>
        <v/>
      </c>
      <c r="IA98" s="869" t="str">
        <f t="shared" si="591"/>
        <v/>
      </c>
      <c r="IB98" s="870" t="str">
        <f t="shared" si="592"/>
        <v/>
      </c>
      <c r="IC98" s="841" t="str">
        <f t="shared" si="593"/>
        <v/>
      </c>
      <c r="ID98" s="351" t="str">
        <f t="shared" si="594"/>
        <v/>
      </c>
      <c r="IE98" s="843" t="str">
        <f t="shared" si="595"/>
        <v/>
      </c>
      <c r="IF98" s="844"/>
      <c r="IG98" s="790" t="str">
        <f>IFERROR(IF($IW98="","",IF($IW98&lt;(((Settings!$C$19/2)*-1)*$IG$8),"Taper","Nose")),"")</f>
        <v/>
      </c>
      <c r="IH98" s="482" t="str">
        <f>IFERROR(IF((((($IY98*COS(RADIANS(180-$JA98)))*COS(RADIANS($JA98)))-(($IZ98*SIN(RADIANS(180-$JA98)))*SIN(RADIANS($JA98))))+$IW98)&lt;(((Settings!$C$19+$IH$8)/2)*-1),"Gage",""),"")</f>
        <v/>
      </c>
      <c r="II98" s="788">
        <f t="shared" si="731"/>
        <v>6.2539999999999996</v>
      </c>
      <c r="IJ98" s="674" t="str" cm="1">
        <f t="array" ref="IJ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K98" s="677" t="str" cm="1">
        <f t="array" ref="IK98">IFERROR(ROUND(VALUE(IF($IJ98&lt;1,$IJ98+LARGE((IF($M$9:$M$150="",0,$M$9:$M$150)-MOD(IF($M$9:$M$150="",0,$M$9:$M$150),1)),1),$IJ98)),4),"")</f>
        <v/>
      </c>
      <c r="IL98" s="482">
        <f t="shared" si="596"/>
        <v>1313</v>
      </c>
      <c r="IM98" s="482" t="str">
        <f t="shared" si="732"/>
        <v/>
      </c>
      <c r="IN98" s="670" t="str">
        <f t="shared" si="597"/>
        <v/>
      </c>
      <c r="IO98" s="702"/>
      <c r="IP98" s="5" t="str">
        <f t="shared" si="598"/>
        <v/>
      </c>
      <c r="IQ98" s="714"/>
      <c r="IR98" s="9" t="str">
        <f t="shared" si="599"/>
        <v/>
      </c>
      <c r="IS98" s="5" t="str">
        <f t="shared" si="600"/>
        <v/>
      </c>
      <c r="IT98" s="5" t="str">
        <f t="shared" si="601"/>
        <v/>
      </c>
      <c r="IU98" s="5" t="str">
        <f t="shared" si="602"/>
        <v/>
      </c>
      <c r="IV98" s="670" t="str">
        <f t="shared" si="603"/>
        <v/>
      </c>
      <c r="IW98" s="9" t="str">
        <f t="shared" si="604"/>
        <v/>
      </c>
      <c r="IX98" s="5" t="str">
        <f t="shared" si="605"/>
        <v/>
      </c>
      <c r="IY98" s="5" t="str">
        <f t="shared" si="606"/>
        <v/>
      </c>
      <c r="IZ98" s="5" t="str">
        <f t="shared" si="607"/>
        <v/>
      </c>
      <c r="JA98" s="705" t="str">
        <f t="shared" si="608"/>
        <v/>
      </c>
    </row>
    <row r="99" spans="1:261" ht="15" customHeight="1" x14ac:dyDescent="0.25">
      <c r="A99" s="75" t="str">
        <f t="shared" si="256"/>
        <v/>
      </c>
      <c r="B99" s="578" t="str">
        <f t="shared" si="515"/>
        <v/>
      </c>
      <c r="C99" s="572" t="str">
        <f t="shared" si="516"/>
        <v/>
      </c>
      <c r="D99" s="576" t="str">
        <f t="shared" si="517"/>
        <v/>
      </c>
      <c r="E99" s="580" t="str">
        <f t="shared" si="518"/>
        <v/>
      </c>
      <c r="F99" s="572" t="str">
        <f t="shared" si="519"/>
        <v/>
      </c>
      <c r="G99" s="579" t="str">
        <f t="shared" si="520"/>
        <v/>
      </c>
      <c r="H99" s="580" t="str">
        <f t="shared" si="521"/>
        <v/>
      </c>
      <c r="I99" s="572" t="str">
        <f t="shared" si="522"/>
        <v/>
      </c>
      <c r="J99" s="483" t="str">
        <f t="shared" si="523"/>
        <v/>
      </c>
      <c r="K99" s="806" t="str">
        <f t="shared" si="524"/>
        <v/>
      </c>
      <c r="L99" s="309"/>
      <c r="M99" s="164" t="str">
        <f t="shared" si="526"/>
        <v/>
      </c>
      <c r="N99" s="575" t="str">
        <f t="shared" si="527"/>
        <v/>
      </c>
      <c r="O99" s="572" t="str">
        <f t="shared" si="528"/>
        <v/>
      </c>
      <c r="P99" s="576" t="str">
        <f t="shared" si="529"/>
        <v/>
      </c>
      <c r="Q99" s="528" t="str">
        <f t="shared" si="609"/>
        <v/>
      </c>
      <c r="R99" s="572" t="str">
        <f t="shared" si="101"/>
        <v/>
      </c>
      <c r="S99" s="577" t="str">
        <f t="shared" si="102"/>
        <v/>
      </c>
      <c r="T99" s="578" t="str">
        <f t="shared" si="103"/>
        <v/>
      </c>
      <c r="U99" s="572" t="str">
        <f t="shared" si="104"/>
        <v/>
      </c>
      <c r="V99" s="579" t="str">
        <f t="shared" si="141"/>
        <v/>
      </c>
      <c r="W99" s="528" t="str">
        <f t="shared" si="735"/>
        <v/>
      </c>
      <c r="X99" s="572" t="str">
        <f t="shared" si="105"/>
        <v/>
      </c>
      <c r="Y99" s="573" t="str">
        <f t="shared" si="733"/>
        <v/>
      </c>
      <c r="Z99" s="575" t="str">
        <f t="shared" si="530"/>
        <v/>
      </c>
      <c r="AA99" s="572" t="str">
        <f t="shared" si="531"/>
        <v/>
      </c>
      <c r="AB99" s="572" t="str">
        <f t="shared" si="532"/>
        <v/>
      </c>
      <c r="AC99" s="579" t="str">
        <f t="shared" si="106"/>
        <v/>
      </c>
      <c r="AD99" s="580" t="str">
        <f t="shared" si="142"/>
        <v/>
      </c>
      <c r="AE99" s="572" t="str">
        <f t="shared" si="107"/>
        <v/>
      </c>
      <c r="AF99" s="576" t="str">
        <f t="shared" si="108"/>
        <v/>
      </c>
      <c r="AG99" s="545" t="str">
        <f t="shared" si="109"/>
        <v/>
      </c>
      <c r="AH99" s="546" t="str">
        <f t="shared" si="110"/>
        <v/>
      </c>
      <c r="AI99" s="528" t="str">
        <f t="shared" si="111"/>
        <v/>
      </c>
      <c r="AJ99" s="529" t="str">
        <f t="shared" si="112"/>
        <v/>
      </c>
      <c r="AK99" s="578" t="str">
        <f t="shared" si="238"/>
        <v/>
      </c>
      <c r="AL99" s="572" t="str">
        <f t="shared" si="113"/>
        <v/>
      </c>
      <c r="AM99" s="577" t="str">
        <f t="shared" si="114"/>
        <v/>
      </c>
      <c r="AN99" s="524" t="str">
        <f t="shared" si="115"/>
        <v/>
      </c>
      <c r="AO99" s="525" t="str">
        <f t="shared" si="525"/>
        <v/>
      </c>
      <c r="AP99" s="528" t="str">
        <f t="shared" si="117"/>
        <v/>
      </c>
      <c r="AQ99" s="529" t="str">
        <f t="shared" si="533"/>
        <v/>
      </c>
      <c r="AS99" s="932" t="str">
        <f t="shared" si="632"/>
        <v/>
      </c>
      <c r="AT99" s="928" t="str">
        <f t="shared" si="534"/>
        <v/>
      </c>
      <c r="AU99" s="418"/>
      <c r="AV99" s="164" t="str">
        <f t="shared" si="535"/>
        <v/>
      </c>
      <c r="AW99" s="797" t="str">
        <f>IFERROR(INDEX(MassProp!C$9:C$150,MATCH($M99,MassProp!$B$9:$B$150,0)),"")</f>
        <v/>
      </c>
      <c r="AX99" s="744" t="str">
        <f>IFERROR(INDEX(MassProp!D$9:D$150,MATCH($M99,MassProp!$B$9:$B$150,0)),"")</f>
        <v/>
      </c>
      <c r="AY99" s="731" t="str">
        <f>IFERROR(INDEX(MassProp!E$9:E$150,MATCH($M99,MassProp!$B$9:$B$150,0)),"")</f>
        <v/>
      </c>
      <c r="AZ99" s="297" t="str">
        <f t="shared" si="633"/>
        <v/>
      </c>
      <c r="BA99" s="296" t="str">
        <f t="shared" si="536"/>
        <v/>
      </c>
      <c r="BB99" s="177" t="str">
        <f t="shared" si="610"/>
        <v/>
      </c>
      <c r="BC99" s="9"/>
      <c r="BD99" s="5" t="str">
        <f t="shared" si="611"/>
        <v/>
      </c>
      <c r="BE99" s="6" t="str">
        <f t="shared" si="537"/>
        <v/>
      </c>
      <c r="BF99" s="4" t="str">
        <f t="shared" si="538"/>
        <v/>
      </c>
      <c r="BG99" s="5" t="str">
        <f t="shared" si="539"/>
        <v/>
      </c>
      <c r="BH99" s="10" t="str">
        <f t="shared" si="540"/>
        <v/>
      </c>
      <c r="BI99" s="9" t="str">
        <f t="shared" si="634"/>
        <v/>
      </c>
      <c r="BJ99" s="5" t="str">
        <f t="shared" si="541"/>
        <v/>
      </c>
      <c r="BK99" s="8" t="str">
        <f t="shared" si="542"/>
        <v/>
      </c>
      <c r="BL99" s="173" t="str">
        <f t="shared" si="543"/>
        <v/>
      </c>
      <c r="BM99" s="5" t="str">
        <f t="shared" si="544"/>
        <v/>
      </c>
      <c r="BN99" s="6" t="str">
        <f t="shared" si="545"/>
        <v/>
      </c>
      <c r="BO99" s="4" t="str">
        <f t="shared" si="635"/>
        <v/>
      </c>
      <c r="BP99" s="5" t="str">
        <f t="shared" si="734"/>
        <v/>
      </c>
      <c r="BQ99" s="5" t="str">
        <f t="shared" si="636"/>
        <v/>
      </c>
      <c r="BR99" s="6" t="str">
        <f t="shared" si="637"/>
        <v/>
      </c>
      <c r="BS99" s="4" t="str">
        <f t="shared" si="612"/>
        <v/>
      </c>
      <c r="BT99" s="5" t="str">
        <f t="shared" si="612"/>
        <v/>
      </c>
      <c r="BU99" s="10" t="str">
        <f t="shared" si="613"/>
        <v/>
      </c>
      <c r="BV99" s="9" t="str">
        <f t="shared" si="614"/>
        <v/>
      </c>
      <c r="BW99" s="5" t="str">
        <f t="shared" si="615"/>
        <v/>
      </c>
      <c r="BX99" s="8" t="str">
        <f t="shared" si="616"/>
        <v/>
      </c>
      <c r="BY99" s="173" t="str">
        <f t="shared" si="617"/>
        <v/>
      </c>
      <c r="BZ99" s="5" t="str">
        <f t="shared" si="618"/>
        <v/>
      </c>
      <c r="CA99" s="6" t="str">
        <f t="shared" si="619"/>
        <v/>
      </c>
      <c r="CB99" s="4" t="str">
        <f t="shared" si="638"/>
        <v/>
      </c>
      <c r="CC99" s="5" t="str">
        <f t="shared" si="639"/>
        <v/>
      </c>
      <c r="CD99" s="5" t="str">
        <f t="shared" si="640"/>
        <v/>
      </c>
      <c r="CE99" s="6" t="str">
        <f t="shared" si="641"/>
        <v/>
      </c>
      <c r="CF99" s="4" t="str">
        <f t="shared" si="642"/>
        <v/>
      </c>
      <c r="CG99" s="5" t="str">
        <f t="shared" si="643"/>
        <v/>
      </c>
      <c r="CH99" s="5" t="str">
        <f t="shared" si="644"/>
        <v/>
      </c>
      <c r="CI99" s="4" t="str">
        <f t="shared" si="620"/>
        <v/>
      </c>
      <c r="CJ99" s="5" t="str">
        <f t="shared" si="621"/>
        <v/>
      </c>
      <c r="CK99" s="8" t="str">
        <f t="shared" si="622"/>
        <v/>
      </c>
      <c r="CL99" s="173" t="str">
        <f t="shared" si="623"/>
        <v/>
      </c>
      <c r="CM99" s="5" t="str">
        <f t="shared" si="624"/>
        <v/>
      </c>
      <c r="CN99" s="6" t="str">
        <f t="shared" si="625"/>
        <v/>
      </c>
      <c r="CO99" s="167" t="str">
        <f t="shared" si="546"/>
        <v/>
      </c>
      <c r="CP99" s="4" t="str">
        <f t="shared" si="645"/>
        <v/>
      </c>
      <c r="CQ99" s="5" t="str">
        <f t="shared" si="646"/>
        <v/>
      </c>
      <c r="CR99" s="5" t="str">
        <f t="shared" si="647"/>
        <v/>
      </c>
      <c r="CS99" s="8" t="str">
        <f t="shared" si="648"/>
        <v/>
      </c>
      <c r="CT99" s="9" t="str">
        <f t="shared" si="649"/>
        <v/>
      </c>
      <c r="CU99" s="6" t="str">
        <f t="shared" si="650"/>
        <v/>
      </c>
      <c r="CV99" s="4" t="str">
        <f t="shared" si="651"/>
        <v/>
      </c>
      <c r="CW99" s="5" t="str">
        <f t="shared" si="652"/>
        <v/>
      </c>
      <c r="CX99" s="8" t="str">
        <f t="shared" si="653"/>
        <v/>
      </c>
      <c r="CY99" s="9" t="str">
        <f t="shared" si="654"/>
        <v/>
      </c>
      <c r="CZ99" s="5" t="str">
        <f t="shared" si="655"/>
        <v/>
      </c>
      <c r="DA99" s="6" t="str">
        <f t="shared" si="656"/>
        <v/>
      </c>
      <c r="DB99" s="4" t="str">
        <f t="shared" si="657"/>
        <v/>
      </c>
      <c r="DC99" s="5" t="str">
        <f t="shared" si="657"/>
        <v/>
      </c>
      <c r="DD99" s="10" t="str">
        <f t="shared" si="658"/>
        <v/>
      </c>
      <c r="DE99" s="9" t="str">
        <f t="shared" si="659"/>
        <v/>
      </c>
      <c r="DF99" s="5" t="str">
        <f t="shared" si="659"/>
        <v/>
      </c>
      <c r="DG99" s="10" t="str">
        <f t="shared" si="660"/>
        <v/>
      </c>
      <c r="DH99" s="70" t="str">
        <f t="shared" si="661"/>
        <v/>
      </c>
      <c r="DI99" s="4" t="str">
        <f t="shared" si="662"/>
        <v/>
      </c>
      <c r="DJ99" s="5" t="str">
        <f t="shared" si="663"/>
        <v/>
      </c>
      <c r="DK99" s="10" t="str">
        <f t="shared" si="664"/>
        <v/>
      </c>
      <c r="DL99" s="9" t="str">
        <f t="shared" si="665"/>
        <v/>
      </c>
      <c r="DM99" s="173" t="str">
        <f t="shared" si="666"/>
        <v/>
      </c>
      <c r="DN99" s="178" t="str">
        <f t="shared" si="667"/>
        <v/>
      </c>
      <c r="DO99" s="9" t="str">
        <f t="shared" si="668"/>
        <v/>
      </c>
      <c r="DP99" s="173" t="str">
        <f t="shared" si="669"/>
        <v/>
      </c>
      <c r="DQ99" s="11" t="str">
        <f t="shared" si="670"/>
        <v/>
      </c>
      <c r="DR99" s="173" t="str">
        <f t="shared" si="671"/>
        <v/>
      </c>
      <c r="DS99" s="5" t="str">
        <f t="shared" si="672"/>
        <v/>
      </c>
      <c r="DT99" s="5" t="str">
        <f t="shared" si="673"/>
        <v/>
      </c>
      <c r="DU99" s="5" t="str">
        <f t="shared" si="674"/>
        <v/>
      </c>
      <c r="DV99" s="5" t="str">
        <f t="shared" si="675"/>
        <v/>
      </c>
      <c r="DW99" s="5" t="str">
        <f t="shared" si="676"/>
        <v/>
      </c>
      <c r="DX99" s="167" t="str">
        <f t="shared" si="677"/>
        <v/>
      </c>
      <c r="DY99" s="9" t="str">
        <f t="shared" si="678"/>
        <v/>
      </c>
      <c r="DZ99" s="5" t="str">
        <f t="shared" si="679"/>
        <v/>
      </c>
      <c r="EA99" s="10" t="str">
        <f t="shared" si="680"/>
        <v/>
      </c>
      <c r="EB99" s="6" t="str">
        <f t="shared" si="681"/>
        <v/>
      </c>
      <c r="EC99" s="173" t="str">
        <f t="shared" si="682"/>
        <v/>
      </c>
      <c r="ED99" s="5" t="str">
        <f t="shared" si="683"/>
        <v/>
      </c>
      <c r="EE99" s="4" t="str">
        <f t="shared" si="684"/>
        <v/>
      </c>
      <c r="EF99" s="5" t="str">
        <f t="shared" si="685"/>
        <v/>
      </c>
      <c r="EG99" s="10" t="str">
        <f t="shared" si="686"/>
        <v/>
      </c>
      <c r="EH99" s="9" t="str">
        <f t="shared" si="687"/>
        <v/>
      </c>
      <c r="EI99" s="5" t="str">
        <f t="shared" si="688"/>
        <v/>
      </c>
      <c r="EJ99" s="6" t="str">
        <f t="shared" si="689"/>
        <v/>
      </c>
      <c r="EK99" s="236" t="str">
        <f t="shared" si="690"/>
        <v/>
      </c>
      <c r="EL99" s="238" t="str">
        <f t="shared" si="691"/>
        <v/>
      </c>
      <c r="EM99" s="4" t="str">
        <f t="shared" si="692"/>
        <v/>
      </c>
      <c r="EN99" s="5" t="str">
        <f t="shared" si="693"/>
        <v/>
      </c>
      <c r="EO99" s="10" t="str">
        <f t="shared" si="694"/>
        <v/>
      </c>
      <c r="EP99" s="9" t="str">
        <f t="shared" si="695"/>
        <v/>
      </c>
      <c r="EQ99" s="5" t="str">
        <f t="shared" si="696"/>
        <v/>
      </c>
      <c r="ER99" s="7" t="str">
        <f t="shared" si="697"/>
        <v/>
      </c>
      <c r="ES99" s="21" t="str">
        <f t="shared" si="547"/>
        <v/>
      </c>
      <c r="ET99" s="5" t="str">
        <f t="shared" si="548"/>
        <v/>
      </c>
      <c r="EU99" s="10" t="str">
        <f t="shared" si="549"/>
        <v/>
      </c>
      <c r="EV99" s="174" t="str">
        <f t="shared" si="550"/>
        <v/>
      </c>
      <c r="EW99" s="9" t="str">
        <f t="shared" si="551"/>
        <v/>
      </c>
      <c r="EX99" s="5" t="str">
        <f t="shared" si="552"/>
        <v/>
      </c>
      <c r="EY99" s="6" t="str">
        <f t="shared" si="698"/>
        <v/>
      </c>
      <c r="EZ99" s="51" t="str">
        <f t="shared" si="699"/>
        <v/>
      </c>
      <c r="FA99" s="173" t="str">
        <f t="shared" si="553"/>
        <v/>
      </c>
      <c r="FB99" s="5" t="str">
        <f t="shared" si="554"/>
        <v/>
      </c>
      <c r="FC99" s="6" t="str">
        <f t="shared" si="555"/>
        <v/>
      </c>
      <c r="FD99" s="4" t="str">
        <f t="shared" si="556"/>
        <v/>
      </c>
      <c r="FE99" s="5" t="str">
        <f t="shared" si="557"/>
        <v/>
      </c>
      <c r="FF99" s="7" t="str">
        <f t="shared" si="700"/>
        <v/>
      </c>
      <c r="FG99" s="173" t="str">
        <f t="shared" si="558"/>
        <v/>
      </c>
      <c r="FH99" s="5" t="str">
        <f t="shared" si="559"/>
        <v/>
      </c>
      <c r="FI99" s="10" t="str">
        <f t="shared" si="560"/>
        <v/>
      </c>
      <c r="FJ99" s="279" t="str">
        <f t="shared" si="701"/>
        <v/>
      </c>
      <c r="FK99" s="4" t="str">
        <f t="shared" si="561"/>
        <v/>
      </c>
      <c r="FL99" s="5" t="str">
        <f t="shared" si="626"/>
        <v/>
      </c>
      <c r="FM99" s="8" t="str">
        <f t="shared" si="627"/>
        <v/>
      </c>
      <c r="FN99" s="9" t="str">
        <f t="shared" si="628"/>
        <v/>
      </c>
      <c r="FO99" s="10" t="str">
        <f t="shared" si="562"/>
        <v/>
      </c>
      <c r="FP99" s="277" t="str">
        <f t="shared" si="629"/>
        <v/>
      </c>
      <c r="FQ99" s="173" t="str">
        <f t="shared" si="702"/>
        <v/>
      </c>
      <c r="FR99" s="10" t="str">
        <f t="shared" si="703"/>
        <v/>
      </c>
      <c r="FS99" s="9" t="str">
        <f t="shared" si="704"/>
        <v/>
      </c>
      <c r="FT99" s="6" t="str">
        <f t="shared" si="705"/>
        <v/>
      </c>
      <c r="FU99" s="4" t="str">
        <f t="shared" si="706"/>
        <v/>
      </c>
      <c r="FV99" s="5" t="str">
        <f t="shared" si="707"/>
        <v/>
      </c>
      <c r="FW99" s="8" t="str">
        <f t="shared" si="708"/>
        <v/>
      </c>
      <c r="FX99" s="9" t="str">
        <f t="shared" si="709"/>
        <v/>
      </c>
      <c r="FY99" s="10" t="str">
        <f t="shared" si="563"/>
        <v/>
      </c>
      <c r="FZ99" s="277" t="str">
        <f t="shared" si="710"/>
        <v/>
      </c>
      <c r="GA99" s="177" t="str">
        <f t="shared" si="711"/>
        <v/>
      </c>
      <c r="GB99" s="4" t="str">
        <f t="shared" si="712"/>
        <v/>
      </c>
      <c r="GC99" s="5" t="str">
        <f t="shared" si="713"/>
        <v/>
      </c>
      <c r="GD99" s="10" t="str">
        <f t="shared" si="714"/>
        <v/>
      </c>
      <c r="GE99" s="311" t="str">
        <f t="shared" si="715"/>
        <v/>
      </c>
      <c r="GF99" s="341" t="str">
        <f t="shared" si="716"/>
        <v/>
      </c>
      <c r="GG99" s="285" t="str">
        <f t="shared" si="564"/>
        <v/>
      </c>
      <c r="GH99" s="286" t="str">
        <f t="shared" si="565"/>
        <v/>
      </c>
      <c r="GI99" s="281" t="str">
        <f t="shared" si="566"/>
        <v/>
      </c>
      <c r="GJ99" s="167" t="str">
        <f t="shared" si="717"/>
        <v/>
      </c>
      <c r="GK99" s="174" t="str">
        <f t="shared" si="567"/>
        <v/>
      </c>
      <c r="GL99" s="174" t="str">
        <f t="shared" si="718"/>
        <v/>
      </c>
      <c r="GM99" s="177" t="str">
        <f t="shared" si="719"/>
        <v/>
      </c>
      <c r="GN99" s="280" t="str">
        <f t="shared" si="720"/>
        <v/>
      </c>
      <c r="GO99" s="4" t="str">
        <f t="shared" si="721"/>
        <v/>
      </c>
      <c r="GP99" s="8" t="str">
        <f t="shared" si="722"/>
        <v/>
      </c>
      <c r="GQ99" s="177" t="str">
        <f t="shared" si="723"/>
        <v/>
      </c>
      <c r="GR99" s="371" t="str">
        <f t="shared" si="724"/>
        <v/>
      </c>
      <c r="GS99" s="342" t="str">
        <f t="shared" si="568"/>
        <v/>
      </c>
      <c r="GT99" s="343" t="str">
        <f t="shared" si="569"/>
        <v/>
      </c>
      <c r="GU99" s="344" t="str">
        <f t="shared" si="570"/>
        <v/>
      </c>
      <c r="GV99" s="343" t="str">
        <f t="shared" si="725"/>
        <v/>
      </c>
      <c r="GW99" s="345" t="str">
        <f t="shared" si="571"/>
        <v/>
      </c>
      <c r="GX99" s="346" t="str">
        <f t="shared" si="572"/>
        <v/>
      </c>
      <c r="GY99" s="344" t="str">
        <f t="shared" si="573"/>
        <v/>
      </c>
      <c r="GZ99" s="345" t="str">
        <f t="shared" si="574"/>
        <v/>
      </c>
      <c r="HA99" s="342" t="str">
        <f t="shared" si="575"/>
        <v/>
      </c>
      <c r="HB99" s="5" t="str">
        <f t="shared" si="726"/>
        <v/>
      </c>
      <c r="HC99" s="343" t="str">
        <f t="shared" si="727"/>
        <v/>
      </c>
      <c r="HD99" s="363" t="str">
        <f t="shared" si="728"/>
        <v/>
      </c>
      <c r="HE99" s="344" t="str">
        <f t="shared" si="576"/>
        <v/>
      </c>
      <c r="HF99" s="5" t="str">
        <f t="shared" si="577"/>
        <v/>
      </c>
      <c r="HG99" s="343" t="str">
        <f t="shared" si="729"/>
        <v/>
      </c>
      <c r="HH99" s="349" t="str">
        <f t="shared" si="730"/>
        <v/>
      </c>
      <c r="HI99" s="317" t="str">
        <f t="shared" si="578"/>
        <v/>
      </c>
      <c r="HK99" s="310" t="str">
        <f t="shared" si="630"/>
        <v/>
      </c>
      <c r="HL99" s="348" t="str">
        <f t="shared" si="579"/>
        <v/>
      </c>
      <c r="HM99" s="909" t="str">
        <f t="shared" si="580"/>
        <v/>
      </c>
      <c r="HN99" s="910" t="str">
        <f t="shared" si="581"/>
        <v/>
      </c>
      <c r="HO99" s="911"/>
      <c r="HP99" s="912"/>
      <c r="HQ99" s="910" t="str">
        <f t="shared" si="582"/>
        <v/>
      </c>
      <c r="HR99" s="913" t="str">
        <f t="shared" si="583"/>
        <v/>
      </c>
      <c r="HS99" s="865" t="str">
        <f t="shared" si="631"/>
        <v/>
      </c>
      <c r="HT99" s="875" t="str">
        <f t="shared" si="584"/>
        <v/>
      </c>
      <c r="HU99" s="876" t="str">
        <f t="shared" si="585"/>
        <v/>
      </c>
      <c r="HV99" s="872" t="str">
        <f t="shared" si="586"/>
        <v/>
      </c>
      <c r="HW99" s="866" t="str">
        <f t="shared" si="587"/>
        <v/>
      </c>
      <c r="HX99" s="867" t="str">
        <f t="shared" si="588"/>
        <v/>
      </c>
      <c r="HY99" s="866" t="str">
        <f t="shared" si="589"/>
        <v/>
      </c>
      <c r="HZ99" s="868" t="str">
        <f t="shared" si="590"/>
        <v/>
      </c>
      <c r="IA99" s="869" t="str">
        <f t="shared" si="591"/>
        <v/>
      </c>
      <c r="IB99" s="870" t="str">
        <f t="shared" si="592"/>
        <v/>
      </c>
      <c r="IC99" s="841" t="str">
        <f t="shared" si="593"/>
        <v/>
      </c>
      <c r="ID99" s="351" t="str">
        <f t="shared" si="594"/>
        <v/>
      </c>
      <c r="IE99" s="843" t="str">
        <f t="shared" si="595"/>
        <v/>
      </c>
      <c r="IF99" s="844"/>
      <c r="IG99" s="790" t="str">
        <f>IFERROR(IF($IW99="","",IF($IW99&lt;(((Settings!$C$19/2)*-1)*$IG$8),"Taper","Nose")),"")</f>
        <v/>
      </c>
      <c r="IH99" s="482" t="str">
        <f>IFERROR(IF((((($IY99*COS(RADIANS(180-$JA99)))*COS(RADIANS($JA99)))-(($IZ99*SIN(RADIANS(180-$JA99)))*SIN(RADIANS($JA99))))+$IW99)&lt;(((Settings!$C$19+$IH$8)/2)*-1),"Gage",""),"")</f>
        <v/>
      </c>
      <c r="II99" s="788" t="str">
        <f t="shared" si="731"/>
        <v/>
      </c>
      <c r="IJ99" s="674" t="str" cm="1">
        <f t="array" ref="IJ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K99" s="677" t="str" cm="1">
        <f t="array" ref="IK99">IFERROR(ROUND(VALUE(IF($IJ99&lt;1,$IJ99+LARGE((IF($M$9:$M$150="",0,$M$9:$M$150)-MOD(IF($M$9:$M$150="",0,$M$9:$M$150),1)),1),$IJ99)),4),"")</f>
        <v/>
      </c>
      <c r="IL99" s="482" t="str">
        <f t="shared" si="596"/>
        <v/>
      </c>
      <c r="IM99" s="482" t="str">
        <f t="shared" si="732"/>
        <v/>
      </c>
      <c r="IN99" s="670" t="str">
        <f t="shared" si="597"/>
        <v/>
      </c>
      <c r="IO99" s="702"/>
      <c r="IP99" s="5" t="str">
        <f t="shared" si="598"/>
        <v/>
      </c>
      <c r="IQ99" s="714"/>
      <c r="IR99" s="9" t="str">
        <f t="shared" si="599"/>
        <v/>
      </c>
      <c r="IS99" s="5" t="str">
        <f t="shared" si="600"/>
        <v/>
      </c>
      <c r="IT99" s="5" t="str">
        <f t="shared" si="601"/>
        <v/>
      </c>
      <c r="IU99" s="5" t="str">
        <f t="shared" si="602"/>
        <v/>
      </c>
      <c r="IV99" s="670" t="str">
        <f t="shared" si="603"/>
        <v/>
      </c>
      <c r="IW99" s="9" t="str">
        <f t="shared" si="604"/>
        <v/>
      </c>
      <c r="IX99" s="5" t="str">
        <f t="shared" si="605"/>
        <v/>
      </c>
      <c r="IY99" s="5" t="str">
        <f t="shared" si="606"/>
        <v/>
      </c>
      <c r="IZ99" s="5" t="str">
        <f t="shared" si="607"/>
        <v/>
      </c>
      <c r="JA99" s="705" t="str">
        <f t="shared" si="608"/>
        <v/>
      </c>
    </row>
    <row r="100" spans="1:261" ht="15" customHeight="1" x14ac:dyDescent="0.25">
      <c r="A100" s="75" t="str">
        <f t="shared" si="256"/>
        <v/>
      </c>
      <c r="B100" s="578" t="str">
        <f t="shared" si="515"/>
        <v/>
      </c>
      <c r="C100" s="572" t="str">
        <f t="shared" si="516"/>
        <v/>
      </c>
      <c r="D100" s="576" t="str">
        <f t="shared" si="517"/>
        <v/>
      </c>
      <c r="E100" s="580" t="str">
        <f t="shared" si="518"/>
        <v/>
      </c>
      <c r="F100" s="572" t="str">
        <f t="shared" si="519"/>
        <v/>
      </c>
      <c r="G100" s="579" t="str">
        <f t="shared" si="520"/>
        <v/>
      </c>
      <c r="H100" s="580" t="str">
        <f t="shared" si="521"/>
        <v/>
      </c>
      <c r="I100" s="572" t="str">
        <f t="shared" si="522"/>
        <v/>
      </c>
      <c r="J100" s="483" t="str">
        <f t="shared" si="523"/>
        <v/>
      </c>
      <c r="K100" s="806" t="str">
        <f t="shared" si="524"/>
        <v/>
      </c>
      <c r="L100" s="309"/>
      <c r="M100" s="164" t="str">
        <f t="shared" si="526"/>
        <v/>
      </c>
      <c r="N100" s="575" t="str">
        <f t="shared" si="527"/>
        <v/>
      </c>
      <c r="O100" s="572" t="str">
        <f t="shared" si="528"/>
        <v/>
      </c>
      <c r="P100" s="576" t="str">
        <f t="shared" si="529"/>
        <v/>
      </c>
      <c r="Q100" s="528" t="str">
        <f t="shared" si="609"/>
        <v/>
      </c>
      <c r="R100" s="572" t="str">
        <f t="shared" si="101"/>
        <v/>
      </c>
      <c r="S100" s="577" t="str">
        <f t="shared" si="102"/>
        <v/>
      </c>
      <c r="T100" s="578" t="str">
        <f t="shared" si="103"/>
        <v/>
      </c>
      <c r="U100" s="572" t="str">
        <f t="shared" si="104"/>
        <v/>
      </c>
      <c r="V100" s="579" t="str">
        <f t="shared" si="141"/>
        <v/>
      </c>
      <c r="W100" s="528" t="str">
        <f t="shared" si="735"/>
        <v/>
      </c>
      <c r="X100" s="572" t="str">
        <f t="shared" si="105"/>
        <v/>
      </c>
      <c r="Y100" s="573" t="str">
        <f t="shared" si="733"/>
        <v/>
      </c>
      <c r="Z100" s="575" t="str">
        <f t="shared" si="530"/>
        <v/>
      </c>
      <c r="AA100" s="572" t="str">
        <f t="shared" si="531"/>
        <v/>
      </c>
      <c r="AB100" s="572" t="str">
        <f t="shared" si="532"/>
        <v/>
      </c>
      <c r="AC100" s="579" t="str">
        <f t="shared" si="106"/>
        <v/>
      </c>
      <c r="AD100" s="580" t="str">
        <f t="shared" si="142"/>
        <v/>
      </c>
      <c r="AE100" s="572" t="str">
        <f t="shared" si="107"/>
        <v/>
      </c>
      <c r="AF100" s="576" t="str">
        <f t="shared" si="108"/>
        <v/>
      </c>
      <c r="AG100" s="545" t="str">
        <f t="shared" si="109"/>
        <v/>
      </c>
      <c r="AH100" s="546" t="str">
        <f t="shared" si="110"/>
        <v/>
      </c>
      <c r="AI100" s="528" t="str">
        <f t="shared" si="111"/>
        <v/>
      </c>
      <c r="AJ100" s="529" t="str">
        <f t="shared" si="112"/>
        <v/>
      </c>
      <c r="AK100" s="578" t="str">
        <f t="shared" si="238"/>
        <v/>
      </c>
      <c r="AL100" s="572" t="str">
        <f t="shared" si="113"/>
        <v/>
      </c>
      <c r="AM100" s="577" t="str">
        <f t="shared" si="114"/>
        <v/>
      </c>
      <c r="AN100" s="524" t="str">
        <f t="shared" si="115"/>
        <v/>
      </c>
      <c r="AO100" s="525" t="str">
        <f t="shared" si="525"/>
        <v/>
      </c>
      <c r="AP100" s="528" t="str">
        <f t="shared" si="117"/>
        <v/>
      </c>
      <c r="AQ100" s="529" t="str">
        <f t="shared" si="533"/>
        <v/>
      </c>
      <c r="AS100" s="932" t="str">
        <f t="shared" si="632"/>
        <v/>
      </c>
      <c r="AT100" s="928" t="str">
        <f t="shared" si="534"/>
        <v/>
      </c>
      <c r="AU100" s="418"/>
      <c r="AV100" s="164" t="str">
        <f t="shared" si="535"/>
        <v/>
      </c>
      <c r="AW100" s="797" t="str">
        <f>IFERROR(INDEX(MassProp!C$9:C$150,MATCH($M100,MassProp!$B$9:$B$150,0)),"")</f>
        <v/>
      </c>
      <c r="AX100" s="744" t="str">
        <f>IFERROR(INDEX(MassProp!D$9:D$150,MATCH($M100,MassProp!$B$9:$B$150,0)),"")</f>
        <v/>
      </c>
      <c r="AY100" s="731" t="str">
        <f>IFERROR(INDEX(MassProp!E$9:E$150,MATCH($M100,MassProp!$B$9:$B$150,0)),"")</f>
        <v/>
      </c>
      <c r="AZ100" s="297" t="str">
        <f t="shared" si="633"/>
        <v/>
      </c>
      <c r="BA100" s="296" t="str">
        <f t="shared" si="536"/>
        <v/>
      </c>
      <c r="BB100" s="177" t="str">
        <f t="shared" si="610"/>
        <v/>
      </c>
      <c r="BC100" s="9"/>
      <c r="BD100" s="5" t="str">
        <f t="shared" si="611"/>
        <v/>
      </c>
      <c r="BE100" s="6" t="str">
        <f t="shared" si="537"/>
        <v/>
      </c>
      <c r="BF100" s="4" t="str">
        <f t="shared" si="538"/>
        <v/>
      </c>
      <c r="BG100" s="5" t="str">
        <f t="shared" si="539"/>
        <v/>
      </c>
      <c r="BH100" s="10" t="str">
        <f t="shared" si="540"/>
        <v/>
      </c>
      <c r="BI100" s="9" t="str">
        <f t="shared" si="634"/>
        <v/>
      </c>
      <c r="BJ100" s="5" t="str">
        <f t="shared" si="541"/>
        <v/>
      </c>
      <c r="BK100" s="8" t="str">
        <f t="shared" si="542"/>
        <v/>
      </c>
      <c r="BL100" s="173" t="str">
        <f t="shared" si="543"/>
        <v/>
      </c>
      <c r="BM100" s="5" t="str">
        <f t="shared" si="544"/>
        <v/>
      </c>
      <c r="BN100" s="6" t="str">
        <f t="shared" si="545"/>
        <v/>
      </c>
      <c r="BO100" s="4" t="str">
        <f t="shared" si="635"/>
        <v/>
      </c>
      <c r="BP100" s="5" t="str">
        <f t="shared" si="734"/>
        <v/>
      </c>
      <c r="BQ100" s="5" t="str">
        <f t="shared" si="636"/>
        <v/>
      </c>
      <c r="BR100" s="6" t="str">
        <f t="shared" si="637"/>
        <v/>
      </c>
      <c r="BS100" s="4" t="str">
        <f t="shared" si="612"/>
        <v/>
      </c>
      <c r="BT100" s="5" t="str">
        <f t="shared" si="612"/>
        <v/>
      </c>
      <c r="BU100" s="10" t="str">
        <f t="shared" si="613"/>
        <v/>
      </c>
      <c r="BV100" s="9" t="str">
        <f t="shared" si="614"/>
        <v/>
      </c>
      <c r="BW100" s="5" t="str">
        <f t="shared" si="615"/>
        <v/>
      </c>
      <c r="BX100" s="8" t="str">
        <f t="shared" si="616"/>
        <v/>
      </c>
      <c r="BY100" s="173" t="str">
        <f t="shared" si="617"/>
        <v/>
      </c>
      <c r="BZ100" s="5" t="str">
        <f t="shared" si="618"/>
        <v/>
      </c>
      <c r="CA100" s="6" t="str">
        <f t="shared" si="619"/>
        <v/>
      </c>
      <c r="CB100" s="4" t="str">
        <f t="shared" si="638"/>
        <v/>
      </c>
      <c r="CC100" s="5" t="str">
        <f t="shared" si="639"/>
        <v/>
      </c>
      <c r="CD100" s="5" t="str">
        <f t="shared" si="640"/>
        <v/>
      </c>
      <c r="CE100" s="6" t="str">
        <f t="shared" si="641"/>
        <v/>
      </c>
      <c r="CF100" s="4" t="str">
        <f t="shared" si="642"/>
        <v/>
      </c>
      <c r="CG100" s="5" t="str">
        <f t="shared" si="643"/>
        <v/>
      </c>
      <c r="CH100" s="5" t="str">
        <f t="shared" si="644"/>
        <v/>
      </c>
      <c r="CI100" s="4" t="str">
        <f t="shared" si="620"/>
        <v/>
      </c>
      <c r="CJ100" s="5" t="str">
        <f t="shared" si="621"/>
        <v/>
      </c>
      <c r="CK100" s="8" t="str">
        <f t="shared" si="622"/>
        <v/>
      </c>
      <c r="CL100" s="173" t="str">
        <f t="shared" si="623"/>
        <v/>
      </c>
      <c r="CM100" s="5" t="str">
        <f t="shared" si="624"/>
        <v/>
      </c>
      <c r="CN100" s="6" t="str">
        <f t="shared" si="625"/>
        <v/>
      </c>
      <c r="CO100" s="167" t="str">
        <f t="shared" si="546"/>
        <v/>
      </c>
      <c r="CP100" s="4" t="str">
        <f t="shared" si="645"/>
        <v/>
      </c>
      <c r="CQ100" s="5" t="str">
        <f t="shared" si="646"/>
        <v/>
      </c>
      <c r="CR100" s="5" t="str">
        <f t="shared" si="647"/>
        <v/>
      </c>
      <c r="CS100" s="8" t="str">
        <f t="shared" si="648"/>
        <v/>
      </c>
      <c r="CT100" s="9" t="str">
        <f t="shared" si="649"/>
        <v/>
      </c>
      <c r="CU100" s="6" t="str">
        <f t="shared" si="650"/>
        <v/>
      </c>
      <c r="CV100" s="4" t="str">
        <f t="shared" si="651"/>
        <v/>
      </c>
      <c r="CW100" s="5" t="str">
        <f t="shared" si="652"/>
        <v/>
      </c>
      <c r="CX100" s="8" t="str">
        <f t="shared" si="653"/>
        <v/>
      </c>
      <c r="CY100" s="9" t="str">
        <f t="shared" si="654"/>
        <v/>
      </c>
      <c r="CZ100" s="5" t="str">
        <f t="shared" si="655"/>
        <v/>
      </c>
      <c r="DA100" s="6" t="str">
        <f t="shared" si="656"/>
        <v/>
      </c>
      <c r="DB100" s="4" t="str">
        <f t="shared" si="657"/>
        <v/>
      </c>
      <c r="DC100" s="5" t="str">
        <f t="shared" si="657"/>
        <v/>
      </c>
      <c r="DD100" s="10" t="str">
        <f t="shared" si="658"/>
        <v/>
      </c>
      <c r="DE100" s="9" t="str">
        <f t="shared" si="659"/>
        <v/>
      </c>
      <c r="DF100" s="5" t="str">
        <f t="shared" si="659"/>
        <v/>
      </c>
      <c r="DG100" s="10" t="str">
        <f t="shared" si="660"/>
        <v/>
      </c>
      <c r="DH100" s="70" t="str">
        <f t="shared" si="661"/>
        <v/>
      </c>
      <c r="DI100" s="4" t="str">
        <f t="shared" si="662"/>
        <v/>
      </c>
      <c r="DJ100" s="5" t="str">
        <f t="shared" si="663"/>
        <v/>
      </c>
      <c r="DK100" s="10" t="str">
        <f t="shared" si="664"/>
        <v/>
      </c>
      <c r="DL100" s="9" t="str">
        <f t="shared" si="665"/>
        <v/>
      </c>
      <c r="DM100" s="173" t="str">
        <f t="shared" si="666"/>
        <v/>
      </c>
      <c r="DN100" s="178" t="str">
        <f t="shared" si="667"/>
        <v/>
      </c>
      <c r="DO100" s="9" t="str">
        <f t="shared" si="668"/>
        <v/>
      </c>
      <c r="DP100" s="173" t="str">
        <f t="shared" si="669"/>
        <v/>
      </c>
      <c r="DQ100" s="11" t="str">
        <f t="shared" si="670"/>
        <v/>
      </c>
      <c r="DR100" s="173" t="str">
        <f t="shared" si="671"/>
        <v/>
      </c>
      <c r="DS100" s="5" t="str">
        <f t="shared" si="672"/>
        <v/>
      </c>
      <c r="DT100" s="5" t="str">
        <f t="shared" si="673"/>
        <v/>
      </c>
      <c r="DU100" s="5" t="str">
        <f t="shared" si="674"/>
        <v/>
      </c>
      <c r="DV100" s="5" t="str">
        <f t="shared" si="675"/>
        <v/>
      </c>
      <c r="DW100" s="5" t="str">
        <f t="shared" si="676"/>
        <v/>
      </c>
      <c r="DX100" s="167" t="str">
        <f t="shared" si="677"/>
        <v/>
      </c>
      <c r="DY100" s="9" t="str">
        <f t="shared" si="678"/>
        <v/>
      </c>
      <c r="DZ100" s="5" t="str">
        <f t="shared" si="679"/>
        <v/>
      </c>
      <c r="EA100" s="10" t="str">
        <f t="shared" si="680"/>
        <v/>
      </c>
      <c r="EB100" s="6" t="str">
        <f t="shared" si="681"/>
        <v/>
      </c>
      <c r="EC100" s="173" t="str">
        <f t="shared" si="682"/>
        <v/>
      </c>
      <c r="ED100" s="5" t="str">
        <f t="shared" si="683"/>
        <v/>
      </c>
      <c r="EE100" s="4" t="str">
        <f t="shared" si="684"/>
        <v/>
      </c>
      <c r="EF100" s="5" t="str">
        <f t="shared" si="685"/>
        <v/>
      </c>
      <c r="EG100" s="10" t="str">
        <f t="shared" si="686"/>
        <v/>
      </c>
      <c r="EH100" s="9" t="str">
        <f t="shared" si="687"/>
        <v/>
      </c>
      <c r="EI100" s="5" t="str">
        <f t="shared" si="688"/>
        <v/>
      </c>
      <c r="EJ100" s="6" t="str">
        <f t="shared" si="689"/>
        <v/>
      </c>
      <c r="EK100" s="236" t="str">
        <f t="shared" si="690"/>
        <v/>
      </c>
      <c r="EL100" s="238" t="str">
        <f t="shared" si="691"/>
        <v/>
      </c>
      <c r="EM100" s="4" t="str">
        <f t="shared" si="692"/>
        <v/>
      </c>
      <c r="EN100" s="5" t="str">
        <f t="shared" si="693"/>
        <v/>
      </c>
      <c r="EO100" s="10" t="str">
        <f t="shared" si="694"/>
        <v/>
      </c>
      <c r="EP100" s="9" t="str">
        <f t="shared" si="695"/>
        <v/>
      </c>
      <c r="EQ100" s="5" t="str">
        <f t="shared" si="696"/>
        <v/>
      </c>
      <c r="ER100" s="7" t="str">
        <f t="shared" si="697"/>
        <v/>
      </c>
      <c r="ES100" s="21" t="str">
        <f t="shared" si="547"/>
        <v/>
      </c>
      <c r="ET100" s="5" t="str">
        <f t="shared" si="548"/>
        <v/>
      </c>
      <c r="EU100" s="10" t="str">
        <f t="shared" si="549"/>
        <v/>
      </c>
      <c r="EV100" s="174" t="str">
        <f t="shared" si="550"/>
        <v/>
      </c>
      <c r="EW100" s="9" t="str">
        <f t="shared" si="551"/>
        <v/>
      </c>
      <c r="EX100" s="5" t="str">
        <f t="shared" si="552"/>
        <v/>
      </c>
      <c r="EY100" s="6" t="str">
        <f t="shared" si="698"/>
        <v/>
      </c>
      <c r="EZ100" s="51" t="str">
        <f t="shared" si="699"/>
        <v/>
      </c>
      <c r="FA100" s="173" t="str">
        <f t="shared" si="553"/>
        <v/>
      </c>
      <c r="FB100" s="5" t="str">
        <f t="shared" si="554"/>
        <v/>
      </c>
      <c r="FC100" s="6" t="str">
        <f t="shared" si="555"/>
        <v/>
      </c>
      <c r="FD100" s="4" t="str">
        <f t="shared" si="556"/>
        <v/>
      </c>
      <c r="FE100" s="5" t="str">
        <f t="shared" si="557"/>
        <v/>
      </c>
      <c r="FF100" s="7" t="str">
        <f t="shared" si="700"/>
        <v/>
      </c>
      <c r="FG100" s="173" t="str">
        <f t="shared" si="558"/>
        <v/>
      </c>
      <c r="FH100" s="5" t="str">
        <f t="shared" si="559"/>
        <v/>
      </c>
      <c r="FI100" s="10" t="str">
        <f t="shared" si="560"/>
        <v/>
      </c>
      <c r="FJ100" s="279" t="str">
        <f t="shared" si="701"/>
        <v/>
      </c>
      <c r="FK100" s="4" t="str">
        <f t="shared" si="561"/>
        <v/>
      </c>
      <c r="FL100" s="5" t="str">
        <f t="shared" si="626"/>
        <v/>
      </c>
      <c r="FM100" s="8" t="str">
        <f t="shared" si="627"/>
        <v/>
      </c>
      <c r="FN100" s="9" t="str">
        <f t="shared" si="628"/>
        <v/>
      </c>
      <c r="FO100" s="10" t="str">
        <f t="shared" si="562"/>
        <v/>
      </c>
      <c r="FP100" s="277" t="str">
        <f t="shared" si="629"/>
        <v/>
      </c>
      <c r="FQ100" s="173" t="str">
        <f t="shared" si="702"/>
        <v/>
      </c>
      <c r="FR100" s="10" t="str">
        <f t="shared" si="703"/>
        <v/>
      </c>
      <c r="FS100" s="9" t="str">
        <f t="shared" si="704"/>
        <v/>
      </c>
      <c r="FT100" s="6" t="str">
        <f t="shared" si="705"/>
        <v/>
      </c>
      <c r="FU100" s="4" t="str">
        <f t="shared" si="706"/>
        <v/>
      </c>
      <c r="FV100" s="5" t="str">
        <f t="shared" si="707"/>
        <v/>
      </c>
      <c r="FW100" s="8" t="str">
        <f t="shared" si="708"/>
        <v/>
      </c>
      <c r="FX100" s="9" t="str">
        <f t="shared" si="709"/>
        <v/>
      </c>
      <c r="FY100" s="10" t="str">
        <f t="shared" si="563"/>
        <v/>
      </c>
      <c r="FZ100" s="277" t="str">
        <f t="shared" si="710"/>
        <v/>
      </c>
      <c r="GA100" s="177" t="str">
        <f t="shared" si="711"/>
        <v/>
      </c>
      <c r="GB100" s="4" t="str">
        <f t="shared" si="712"/>
        <v/>
      </c>
      <c r="GC100" s="5" t="str">
        <f t="shared" si="713"/>
        <v/>
      </c>
      <c r="GD100" s="10" t="str">
        <f t="shared" si="714"/>
        <v/>
      </c>
      <c r="GE100" s="311" t="str">
        <f t="shared" si="715"/>
        <v/>
      </c>
      <c r="GF100" s="341" t="str">
        <f t="shared" si="716"/>
        <v/>
      </c>
      <c r="GG100" s="285" t="str">
        <f t="shared" si="564"/>
        <v/>
      </c>
      <c r="GH100" s="286" t="str">
        <f t="shared" si="565"/>
        <v/>
      </c>
      <c r="GI100" s="281" t="str">
        <f t="shared" si="566"/>
        <v/>
      </c>
      <c r="GJ100" s="167" t="str">
        <f t="shared" si="717"/>
        <v/>
      </c>
      <c r="GK100" s="174" t="str">
        <f t="shared" si="567"/>
        <v/>
      </c>
      <c r="GL100" s="174" t="str">
        <f t="shared" si="718"/>
        <v/>
      </c>
      <c r="GM100" s="177" t="str">
        <f t="shared" si="719"/>
        <v/>
      </c>
      <c r="GN100" s="280" t="str">
        <f t="shared" si="720"/>
        <v/>
      </c>
      <c r="GO100" s="4" t="str">
        <f t="shared" si="721"/>
        <v/>
      </c>
      <c r="GP100" s="8" t="str">
        <f t="shared" si="722"/>
        <v/>
      </c>
      <c r="GQ100" s="177" t="str">
        <f t="shared" si="723"/>
        <v/>
      </c>
      <c r="GR100" s="371" t="str">
        <f t="shared" si="724"/>
        <v/>
      </c>
      <c r="GS100" s="342" t="str">
        <f t="shared" si="568"/>
        <v/>
      </c>
      <c r="GT100" s="343" t="str">
        <f t="shared" si="569"/>
        <v/>
      </c>
      <c r="GU100" s="344" t="str">
        <f t="shared" si="570"/>
        <v/>
      </c>
      <c r="GV100" s="343" t="str">
        <f t="shared" si="725"/>
        <v/>
      </c>
      <c r="GW100" s="345" t="str">
        <f t="shared" si="571"/>
        <v/>
      </c>
      <c r="GX100" s="346" t="str">
        <f t="shared" si="572"/>
        <v/>
      </c>
      <c r="GY100" s="344" t="str">
        <f t="shared" si="573"/>
        <v/>
      </c>
      <c r="GZ100" s="345" t="str">
        <f t="shared" si="574"/>
        <v/>
      </c>
      <c r="HA100" s="342" t="str">
        <f t="shared" si="575"/>
        <v/>
      </c>
      <c r="HB100" s="5" t="str">
        <f t="shared" si="726"/>
        <v/>
      </c>
      <c r="HC100" s="343" t="str">
        <f t="shared" si="727"/>
        <v/>
      </c>
      <c r="HD100" s="363" t="str">
        <f t="shared" si="728"/>
        <v/>
      </c>
      <c r="HE100" s="344" t="str">
        <f t="shared" si="576"/>
        <v/>
      </c>
      <c r="HF100" s="5" t="str">
        <f t="shared" si="577"/>
        <v/>
      </c>
      <c r="HG100" s="343" t="str">
        <f t="shared" si="729"/>
        <v/>
      </c>
      <c r="HH100" s="349" t="str">
        <f t="shared" si="730"/>
        <v/>
      </c>
      <c r="HI100" s="317" t="str">
        <f t="shared" si="578"/>
        <v/>
      </c>
      <c r="HK100" s="310" t="str">
        <f t="shared" si="630"/>
        <v/>
      </c>
      <c r="HL100" s="348" t="str">
        <f t="shared" si="579"/>
        <v/>
      </c>
      <c r="HM100" s="909" t="str">
        <f t="shared" si="580"/>
        <v/>
      </c>
      <c r="HN100" s="910" t="str">
        <f t="shared" si="581"/>
        <v/>
      </c>
      <c r="HO100" s="911"/>
      <c r="HP100" s="912"/>
      <c r="HQ100" s="910" t="str">
        <f t="shared" si="582"/>
        <v/>
      </c>
      <c r="HR100" s="913" t="str">
        <f t="shared" si="583"/>
        <v/>
      </c>
      <c r="HS100" s="865" t="str">
        <f t="shared" si="631"/>
        <v/>
      </c>
      <c r="HT100" s="875" t="str">
        <f t="shared" si="584"/>
        <v/>
      </c>
      <c r="HU100" s="876" t="str">
        <f t="shared" si="585"/>
        <v/>
      </c>
      <c r="HV100" s="872" t="str">
        <f t="shared" si="586"/>
        <v/>
      </c>
      <c r="HW100" s="866" t="str">
        <f t="shared" si="587"/>
        <v/>
      </c>
      <c r="HX100" s="867" t="str">
        <f t="shared" si="588"/>
        <v/>
      </c>
      <c r="HY100" s="866" t="str">
        <f t="shared" si="589"/>
        <v/>
      </c>
      <c r="HZ100" s="868" t="str">
        <f t="shared" si="590"/>
        <v/>
      </c>
      <c r="IA100" s="869" t="str">
        <f t="shared" si="591"/>
        <v/>
      </c>
      <c r="IB100" s="870" t="str">
        <f t="shared" si="592"/>
        <v/>
      </c>
      <c r="IC100" s="841" t="str">
        <f t="shared" si="593"/>
        <v/>
      </c>
      <c r="ID100" s="351" t="str">
        <f t="shared" si="594"/>
        <v/>
      </c>
      <c r="IE100" s="843" t="str">
        <f t="shared" si="595"/>
        <v/>
      </c>
      <c r="IF100" s="844"/>
      <c r="IG100" s="790" t="str">
        <f>IFERROR(IF($IW100="","",IF($IW100&lt;(((Settings!$C$19/2)*-1)*$IG$8),"Taper","Nose")),"")</f>
        <v/>
      </c>
      <c r="IH100" s="482" t="str">
        <f>IFERROR(IF((((($IY100*COS(RADIANS(180-$JA100)))*COS(RADIANS($JA100)))-(($IZ100*SIN(RADIANS(180-$JA100)))*SIN(RADIANS($JA100))))+$IW100)&lt;(((Settings!$C$19+$IH$8)/2)*-1),"Gage",""),"")</f>
        <v/>
      </c>
      <c r="II100" s="788" t="str">
        <f t="shared" si="731"/>
        <v/>
      </c>
      <c r="IJ100" s="674" t="str" cm="1">
        <f t="array" ref="IJ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K100" s="677" t="str" cm="1">
        <f t="array" ref="IK100">IFERROR(ROUND(VALUE(IF($IJ100&lt;1,$IJ100+LARGE((IF($M$9:$M$150="",0,$M$9:$M$150)-MOD(IF($M$9:$M$150="",0,$M$9:$M$150),1)),1),$IJ100)),4),"")</f>
        <v/>
      </c>
      <c r="IL100" s="482" t="str">
        <f t="shared" si="596"/>
        <v/>
      </c>
      <c r="IM100" s="482" t="str">
        <f t="shared" si="732"/>
        <v/>
      </c>
      <c r="IN100" s="670" t="str">
        <f t="shared" si="597"/>
        <v/>
      </c>
      <c r="IO100" s="702"/>
      <c r="IP100" s="5" t="str">
        <f t="shared" si="598"/>
        <v/>
      </c>
      <c r="IQ100" s="714"/>
      <c r="IR100" s="9" t="str">
        <f t="shared" si="599"/>
        <v/>
      </c>
      <c r="IS100" s="5" t="str">
        <f t="shared" si="600"/>
        <v/>
      </c>
      <c r="IT100" s="5" t="str">
        <f t="shared" si="601"/>
        <v/>
      </c>
      <c r="IU100" s="5" t="str">
        <f t="shared" si="602"/>
        <v/>
      </c>
      <c r="IV100" s="670" t="str">
        <f t="shared" si="603"/>
        <v/>
      </c>
      <c r="IW100" s="9" t="str">
        <f t="shared" si="604"/>
        <v/>
      </c>
      <c r="IX100" s="5" t="str">
        <f t="shared" si="605"/>
        <v/>
      </c>
      <c r="IY100" s="5" t="str">
        <f t="shared" si="606"/>
        <v/>
      </c>
      <c r="IZ100" s="5" t="str">
        <f t="shared" si="607"/>
        <v/>
      </c>
      <c r="JA100" s="705" t="str">
        <f t="shared" si="608"/>
        <v/>
      </c>
    </row>
    <row r="101" spans="1:261" ht="15" customHeight="1" x14ac:dyDescent="0.25">
      <c r="A101" s="75" t="str">
        <f t="shared" si="256"/>
        <v/>
      </c>
      <c r="B101" s="578" t="str">
        <f t="shared" si="515"/>
        <v/>
      </c>
      <c r="C101" s="572" t="str">
        <f t="shared" si="516"/>
        <v/>
      </c>
      <c r="D101" s="576" t="str">
        <f t="shared" si="517"/>
        <v/>
      </c>
      <c r="E101" s="580" t="str">
        <f t="shared" si="518"/>
        <v/>
      </c>
      <c r="F101" s="572" t="str">
        <f t="shared" si="519"/>
        <v/>
      </c>
      <c r="G101" s="579" t="str">
        <f t="shared" si="520"/>
        <v/>
      </c>
      <c r="H101" s="580" t="str">
        <f t="shared" si="521"/>
        <v/>
      </c>
      <c r="I101" s="572" t="str">
        <f t="shared" si="522"/>
        <v/>
      </c>
      <c r="J101" s="483" t="str">
        <f t="shared" si="523"/>
        <v/>
      </c>
      <c r="K101" s="806" t="str">
        <f t="shared" si="524"/>
        <v/>
      </c>
      <c r="L101" s="309"/>
      <c r="M101" s="164" t="str">
        <f t="shared" si="526"/>
        <v/>
      </c>
      <c r="N101" s="575" t="str">
        <f t="shared" si="527"/>
        <v/>
      </c>
      <c r="O101" s="572" t="str">
        <f t="shared" si="528"/>
        <v/>
      </c>
      <c r="P101" s="576" t="str">
        <f t="shared" si="529"/>
        <v/>
      </c>
      <c r="Q101" s="528" t="str">
        <f t="shared" si="609"/>
        <v/>
      </c>
      <c r="R101" s="572" t="str">
        <f t="shared" si="101"/>
        <v/>
      </c>
      <c r="S101" s="577" t="str">
        <f t="shared" si="102"/>
        <v/>
      </c>
      <c r="T101" s="578" t="str">
        <f t="shared" si="103"/>
        <v/>
      </c>
      <c r="U101" s="572" t="str">
        <f t="shared" si="104"/>
        <v/>
      </c>
      <c r="V101" s="579" t="str">
        <f t="shared" si="141"/>
        <v/>
      </c>
      <c r="W101" s="528" t="str">
        <f t="shared" si="735"/>
        <v/>
      </c>
      <c r="X101" s="572" t="str">
        <f t="shared" si="105"/>
        <v/>
      </c>
      <c r="Y101" s="573" t="str">
        <f t="shared" si="733"/>
        <v/>
      </c>
      <c r="Z101" s="575" t="str">
        <f t="shared" si="530"/>
        <v/>
      </c>
      <c r="AA101" s="572" t="str">
        <f t="shared" si="531"/>
        <v/>
      </c>
      <c r="AB101" s="572" t="str">
        <f t="shared" si="532"/>
        <v/>
      </c>
      <c r="AC101" s="579" t="str">
        <f t="shared" si="106"/>
        <v/>
      </c>
      <c r="AD101" s="580" t="str">
        <f t="shared" si="142"/>
        <v/>
      </c>
      <c r="AE101" s="572" t="str">
        <f t="shared" si="107"/>
        <v/>
      </c>
      <c r="AF101" s="576" t="str">
        <f t="shared" si="108"/>
        <v/>
      </c>
      <c r="AG101" s="545" t="str">
        <f t="shared" si="109"/>
        <v/>
      </c>
      <c r="AH101" s="546" t="str">
        <f t="shared" si="110"/>
        <v/>
      </c>
      <c r="AI101" s="528" t="str">
        <f t="shared" si="111"/>
        <v/>
      </c>
      <c r="AJ101" s="529" t="str">
        <f t="shared" si="112"/>
        <v/>
      </c>
      <c r="AK101" s="578" t="str">
        <f t="shared" si="238"/>
        <v/>
      </c>
      <c r="AL101" s="572" t="str">
        <f t="shared" si="113"/>
        <v/>
      </c>
      <c r="AM101" s="577" t="str">
        <f t="shared" si="114"/>
        <v/>
      </c>
      <c r="AN101" s="524" t="str">
        <f t="shared" si="115"/>
        <v/>
      </c>
      <c r="AO101" s="525" t="str">
        <f t="shared" si="525"/>
        <v/>
      </c>
      <c r="AP101" s="528" t="str">
        <f t="shared" si="117"/>
        <v/>
      </c>
      <c r="AQ101" s="529" t="str">
        <f t="shared" si="533"/>
        <v/>
      </c>
      <c r="AS101" s="932" t="str">
        <f t="shared" si="632"/>
        <v/>
      </c>
      <c r="AT101" s="928" t="str">
        <f t="shared" si="534"/>
        <v/>
      </c>
      <c r="AU101" s="418"/>
      <c r="AV101" s="164" t="str">
        <f t="shared" si="535"/>
        <v/>
      </c>
      <c r="AW101" s="797" t="str">
        <f>IFERROR(INDEX(MassProp!C$9:C$150,MATCH($M101,MassProp!$B$9:$B$150,0)),"")</f>
        <v/>
      </c>
      <c r="AX101" s="744" t="str">
        <f>IFERROR(INDEX(MassProp!D$9:D$150,MATCH($M101,MassProp!$B$9:$B$150,0)),"")</f>
        <v/>
      </c>
      <c r="AY101" s="731" t="str">
        <f>IFERROR(INDEX(MassProp!E$9:E$150,MATCH($M101,MassProp!$B$9:$B$150,0)),"")</f>
        <v/>
      </c>
      <c r="AZ101" s="297" t="str">
        <f t="shared" si="633"/>
        <v/>
      </c>
      <c r="BA101" s="296" t="str">
        <f t="shared" si="536"/>
        <v/>
      </c>
      <c r="BB101" s="177" t="str">
        <f t="shared" si="610"/>
        <v/>
      </c>
      <c r="BC101" s="9"/>
      <c r="BD101" s="5" t="str">
        <f t="shared" si="611"/>
        <v/>
      </c>
      <c r="BE101" s="6" t="str">
        <f t="shared" si="537"/>
        <v/>
      </c>
      <c r="BF101" s="4" t="str">
        <f t="shared" si="538"/>
        <v/>
      </c>
      <c r="BG101" s="5" t="str">
        <f t="shared" si="539"/>
        <v/>
      </c>
      <c r="BH101" s="10" t="str">
        <f t="shared" si="540"/>
        <v/>
      </c>
      <c r="BI101" s="9" t="str">
        <f t="shared" si="634"/>
        <v/>
      </c>
      <c r="BJ101" s="5" t="str">
        <f t="shared" si="541"/>
        <v/>
      </c>
      <c r="BK101" s="8" t="str">
        <f t="shared" si="542"/>
        <v/>
      </c>
      <c r="BL101" s="173" t="str">
        <f t="shared" si="543"/>
        <v/>
      </c>
      <c r="BM101" s="5" t="str">
        <f t="shared" si="544"/>
        <v/>
      </c>
      <c r="BN101" s="6" t="str">
        <f t="shared" si="545"/>
        <v/>
      </c>
      <c r="BO101" s="4" t="str">
        <f t="shared" si="635"/>
        <v/>
      </c>
      <c r="BP101" s="5" t="str">
        <f t="shared" si="734"/>
        <v/>
      </c>
      <c r="BQ101" s="5" t="str">
        <f t="shared" si="636"/>
        <v/>
      </c>
      <c r="BR101" s="6" t="str">
        <f t="shared" si="637"/>
        <v/>
      </c>
      <c r="BS101" s="4" t="str">
        <f t="shared" si="612"/>
        <v/>
      </c>
      <c r="BT101" s="5" t="str">
        <f t="shared" si="612"/>
        <v/>
      </c>
      <c r="BU101" s="10" t="str">
        <f t="shared" si="613"/>
        <v/>
      </c>
      <c r="BV101" s="9" t="str">
        <f t="shared" si="614"/>
        <v/>
      </c>
      <c r="BW101" s="5" t="str">
        <f t="shared" si="615"/>
        <v/>
      </c>
      <c r="BX101" s="8" t="str">
        <f t="shared" si="616"/>
        <v/>
      </c>
      <c r="BY101" s="173" t="str">
        <f t="shared" si="617"/>
        <v/>
      </c>
      <c r="BZ101" s="5" t="str">
        <f t="shared" si="618"/>
        <v/>
      </c>
      <c r="CA101" s="6" t="str">
        <f t="shared" si="619"/>
        <v/>
      </c>
      <c r="CB101" s="4" t="str">
        <f t="shared" si="638"/>
        <v/>
      </c>
      <c r="CC101" s="5" t="str">
        <f t="shared" si="639"/>
        <v/>
      </c>
      <c r="CD101" s="5" t="str">
        <f t="shared" si="640"/>
        <v/>
      </c>
      <c r="CE101" s="6" t="str">
        <f t="shared" si="641"/>
        <v/>
      </c>
      <c r="CF101" s="4" t="str">
        <f t="shared" si="642"/>
        <v/>
      </c>
      <c r="CG101" s="5" t="str">
        <f t="shared" si="643"/>
        <v/>
      </c>
      <c r="CH101" s="5" t="str">
        <f t="shared" si="644"/>
        <v/>
      </c>
      <c r="CI101" s="4" t="str">
        <f t="shared" si="620"/>
        <v/>
      </c>
      <c r="CJ101" s="5" t="str">
        <f t="shared" si="621"/>
        <v/>
      </c>
      <c r="CK101" s="8" t="str">
        <f t="shared" si="622"/>
        <v/>
      </c>
      <c r="CL101" s="173" t="str">
        <f t="shared" si="623"/>
        <v/>
      </c>
      <c r="CM101" s="5" t="str">
        <f t="shared" si="624"/>
        <v/>
      </c>
      <c r="CN101" s="6" t="str">
        <f t="shared" si="625"/>
        <v/>
      </c>
      <c r="CO101" s="167" t="str">
        <f t="shared" si="546"/>
        <v/>
      </c>
      <c r="CP101" s="4" t="str">
        <f t="shared" si="645"/>
        <v/>
      </c>
      <c r="CQ101" s="5" t="str">
        <f t="shared" si="646"/>
        <v/>
      </c>
      <c r="CR101" s="5" t="str">
        <f t="shared" si="647"/>
        <v/>
      </c>
      <c r="CS101" s="8" t="str">
        <f t="shared" si="648"/>
        <v/>
      </c>
      <c r="CT101" s="9" t="str">
        <f t="shared" si="649"/>
        <v/>
      </c>
      <c r="CU101" s="6" t="str">
        <f t="shared" si="650"/>
        <v/>
      </c>
      <c r="CV101" s="4" t="str">
        <f t="shared" si="651"/>
        <v/>
      </c>
      <c r="CW101" s="5" t="str">
        <f t="shared" si="652"/>
        <v/>
      </c>
      <c r="CX101" s="8" t="str">
        <f t="shared" si="653"/>
        <v/>
      </c>
      <c r="CY101" s="9" t="str">
        <f t="shared" si="654"/>
        <v/>
      </c>
      <c r="CZ101" s="5" t="str">
        <f t="shared" si="655"/>
        <v/>
      </c>
      <c r="DA101" s="6" t="str">
        <f t="shared" si="656"/>
        <v/>
      </c>
      <c r="DB101" s="4" t="str">
        <f t="shared" si="657"/>
        <v/>
      </c>
      <c r="DC101" s="5" t="str">
        <f t="shared" si="657"/>
        <v/>
      </c>
      <c r="DD101" s="10" t="str">
        <f t="shared" si="658"/>
        <v/>
      </c>
      <c r="DE101" s="9" t="str">
        <f t="shared" si="659"/>
        <v/>
      </c>
      <c r="DF101" s="5" t="str">
        <f t="shared" si="659"/>
        <v/>
      </c>
      <c r="DG101" s="10" t="str">
        <f t="shared" si="660"/>
        <v/>
      </c>
      <c r="DH101" s="70" t="str">
        <f t="shared" si="661"/>
        <v/>
      </c>
      <c r="DI101" s="4" t="str">
        <f t="shared" si="662"/>
        <v/>
      </c>
      <c r="DJ101" s="5" t="str">
        <f t="shared" si="663"/>
        <v/>
      </c>
      <c r="DK101" s="10" t="str">
        <f t="shared" si="664"/>
        <v/>
      </c>
      <c r="DL101" s="9" t="str">
        <f t="shared" si="665"/>
        <v/>
      </c>
      <c r="DM101" s="173" t="str">
        <f t="shared" si="666"/>
        <v/>
      </c>
      <c r="DN101" s="178" t="str">
        <f t="shared" si="667"/>
        <v/>
      </c>
      <c r="DO101" s="9" t="str">
        <f t="shared" si="668"/>
        <v/>
      </c>
      <c r="DP101" s="173" t="str">
        <f t="shared" si="669"/>
        <v/>
      </c>
      <c r="DQ101" s="11" t="str">
        <f t="shared" si="670"/>
        <v/>
      </c>
      <c r="DR101" s="173" t="str">
        <f t="shared" si="671"/>
        <v/>
      </c>
      <c r="DS101" s="5" t="str">
        <f t="shared" si="672"/>
        <v/>
      </c>
      <c r="DT101" s="5" t="str">
        <f t="shared" si="673"/>
        <v/>
      </c>
      <c r="DU101" s="5" t="str">
        <f t="shared" si="674"/>
        <v/>
      </c>
      <c r="DV101" s="5" t="str">
        <f t="shared" si="675"/>
        <v/>
      </c>
      <c r="DW101" s="5" t="str">
        <f t="shared" si="676"/>
        <v/>
      </c>
      <c r="DX101" s="167" t="str">
        <f t="shared" si="677"/>
        <v/>
      </c>
      <c r="DY101" s="9" t="str">
        <f t="shared" si="678"/>
        <v/>
      </c>
      <c r="DZ101" s="5" t="str">
        <f t="shared" si="679"/>
        <v/>
      </c>
      <c r="EA101" s="10" t="str">
        <f t="shared" si="680"/>
        <v/>
      </c>
      <c r="EB101" s="6" t="str">
        <f t="shared" si="681"/>
        <v/>
      </c>
      <c r="EC101" s="173" t="str">
        <f t="shared" si="682"/>
        <v/>
      </c>
      <c r="ED101" s="5" t="str">
        <f t="shared" si="683"/>
        <v/>
      </c>
      <c r="EE101" s="4" t="str">
        <f t="shared" si="684"/>
        <v/>
      </c>
      <c r="EF101" s="5" t="str">
        <f t="shared" si="685"/>
        <v/>
      </c>
      <c r="EG101" s="10" t="str">
        <f t="shared" si="686"/>
        <v/>
      </c>
      <c r="EH101" s="9" t="str">
        <f t="shared" si="687"/>
        <v/>
      </c>
      <c r="EI101" s="5" t="str">
        <f t="shared" si="688"/>
        <v/>
      </c>
      <c r="EJ101" s="6" t="str">
        <f t="shared" si="689"/>
        <v/>
      </c>
      <c r="EK101" s="236" t="str">
        <f t="shared" si="690"/>
        <v/>
      </c>
      <c r="EL101" s="238" t="str">
        <f t="shared" si="691"/>
        <v/>
      </c>
      <c r="EM101" s="4" t="str">
        <f t="shared" si="692"/>
        <v/>
      </c>
      <c r="EN101" s="5" t="str">
        <f t="shared" si="693"/>
        <v/>
      </c>
      <c r="EO101" s="10" t="str">
        <f t="shared" si="694"/>
        <v/>
      </c>
      <c r="EP101" s="9" t="str">
        <f t="shared" si="695"/>
        <v/>
      </c>
      <c r="EQ101" s="5" t="str">
        <f t="shared" si="696"/>
        <v/>
      </c>
      <c r="ER101" s="7" t="str">
        <f t="shared" si="697"/>
        <v/>
      </c>
      <c r="ES101" s="21" t="str">
        <f t="shared" si="547"/>
        <v/>
      </c>
      <c r="ET101" s="5" t="str">
        <f t="shared" si="548"/>
        <v/>
      </c>
      <c r="EU101" s="10" t="str">
        <f t="shared" si="549"/>
        <v/>
      </c>
      <c r="EV101" s="174" t="str">
        <f t="shared" si="550"/>
        <v/>
      </c>
      <c r="EW101" s="9" t="str">
        <f t="shared" si="551"/>
        <v/>
      </c>
      <c r="EX101" s="5" t="str">
        <f t="shared" si="552"/>
        <v/>
      </c>
      <c r="EY101" s="6" t="str">
        <f t="shared" si="698"/>
        <v/>
      </c>
      <c r="EZ101" s="51" t="str">
        <f t="shared" si="699"/>
        <v/>
      </c>
      <c r="FA101" s="173" t="str">
        <f t="shared" si="553"/>
        <v/>
      </c>
      <c r="FB101" s="5" t="str">
        <f t="shared" si="554"/>
        <v/>
      </c>
      <c r="FC101" s="6" t="str">
        <f t="shared" si="555"/>
        <v/>
      </c>
      <c r="FD101" s="4" t="str">
        <f t="shared" si="556"/>
        <v/>
      </c>
      <c r="FE101" s="5" t="str">
        <f t="shared" si="557"/>
        <v/>
      </c>
      <c r="FF101" s="7" t="str">
        <f t="shared" si="700"/>
        <v/>
      </c>
      <c r="FG101" s="173" t="str">
        <f t="shared" si="558"/>
        <v/>
      </c>
      <c r="FH101" s="5" t="str">
        <f t="shared" si="559"/>
        <v/>
      </c>
      <c r="FI101" s="10" t="str">
        <f t="shared" si="560"/>
        <v/>
      </c>
      <c r="FJ101" s="279" t="str">
        <f t="shared" si="701"/>
        <v/>
      </c>
      <c r="FK101" s="4" t="str">
        <f t="shared" si="561"/>
        <v/>
      </c>
      <c r="FL101" s="5" t="str">
        <f t="shared" si="626"/>
        <v/>
      </c>
      <c r="FM101" s="8" t="str">
        <f t="shared" si="627"/>
        <v/>
      </c>
      <c r="FN101" s="9" t="str">
        <f t="shared" si="628"/>
        <v/>
      </c>
      <c r="FO101" s="10" t="str">
        <f t="shared" si="562"/>
        <v/>
      </c>
      <c r="FP101" s="277" t="str">
        <f t="shared" si="629"/>
        <v/>
      </c>
      <c r="FQ101" s="173" t="str">
        <f t="shared" si="702"/>
        <v/>
      </c>
      <c r="FR101" s="10" t="str">
        <f t="shared" si="703"/>
        <v/>
      </c>
      <c r="FS101" s="9" t="str">
        <f t="shared" si="704"/>
        <v/>
      </c>
      <c r="FT101" s="6" t="str">
        <f t="shared" si="705"/>
        <v/>
      </c>
      <c r="FU101" s="4" t="str">
        <f t="shared" si="706"/>
        <v/>
      </c>
      <c r="FV101" s="5" t="str">
        <f t="shared" si="707"/>
        <v/>
      </c>
      <c r="FW101" s="8" t="str">
        <f t="shared" si="708"/>
        <v/>
      </c>
      <c r="FX101" s="9" t="str">
        <f t="shared" si="709"/>
        <v/>
      </c>
      <c r="FY101" s="10" t="str">
        <f t="shared" si="563"/>
        <v/>
      </c>
      <c r="FZ101" s="277" t="str">
        <f t="shared" si="710"/>
        <v/>
      </c>
      <c r="GA101" s="177" t="str">
        <f t="shared" si="711"/>
        <v/>
      </c>
      <c r="GB101" s="4" t="str">
        <f t="shared" si="712"/>
        <v/>
      </c>
      <c r="GC101" s="5" t="str">
        <f t="shared" si="713"/>
        <v/>
      </c>
      <c r="GD101" s="10" t="str">
        <f t="shared" si="714"/>
        <v/>
      </c>
      <c r="GE101" s="311" t="str">
        <f t="shared" si="715"/>
        <v/>
      </c>
      <c r="GF101" s="341" t="str">
        <f t="shared" si="716"/>
        <v/>
      </c>
      <c r="GG101" s="285" t="str">
        <f t="shared" si="564"/>
        <v/>
      </c>
      <c r="GH101" s="286" t="str">
        <f t="shared" si="565"/>
        <v/>
      </c>
      <c r="GI101" s="281" t="str">
        <f t="shared" si="566"/>
        <v/>
      </c>
      <c r="GJ101" s="167" t="str">
        <f t="shared" si="717"/>
        <v/>
      </c>
      <c r="GK101" s="174" t="str">
        <f t="shared" si="567"/>
        <v/>
      </c>
      <c r="GL101" s="174" t="str">
        <f t="shared" si="718"/>
        <v/>
      </c>
      <c r="GM101" s="177" t="str">
        <f t="shared" si="719"/>
        <v/>
      </c>
      <c r="GN101" s="280" t="str">
        <f t="shared" si="720"/>
        <v/>
      </c>
      <c r="GO101" s="4" t="str">
        <f t="shared" si="721"/>
        <v/>
      </c>
      <c r="GP101" s="8" t="str">
        <f t="shared" si="722"/>
        <v/>
      </c>
      <c r="GQ101" s="177" t="str">
        <f t="shared" si="723"/>
        <v/>
      </c>
      <c r="GR101" s="371" t="str">
        <f t="shared" si="724"/>
        <v/>
      </c>
      <c r="GS101" s="342" t="str">
        <f t="shared" si="568"/>
        <v/>
      </c>
      <c r="GT101" s="343" t="str">
        <f t="shared" si="569"/>
        <v/>
      </c>
      <c r="GU101" s="344" t="str">
        <f t="shared" si="570"/>
        <v/>
      </c>
      <c r="GV101" s="343" t="str">
        <f t="shared" si="725"/>
        <v/>
      </c>
      <c r="GW101" s="345" t="str">
        <f t="shared" si="571"/>
        <v/>
      </c>
      <c r="GX101" s="346" t="str">
        <f t="shared" si="572"/>
        <v/>
      </c>
      <c r="GY101" s="344" t="str">
        <f t="shared" si="573"/>
        <v/>
      </c>
      <c r="GZ101" s="345" t="str">
        <f t="shared" si="574"/>
        <v/>
      </c>
      <c r="HA101" s="342" t="str">
        <f t="shared" si="575"/>
        <v/>
      </c>
      <c r="HB101" s="5" t="str">
        <f t="shared" si="726"/>
        <v/>
      </c>
      <c r="HC101" s="343" t="str">
        <f t="shared" si="727"/>
        <v/>
      </c>
      <c r="HD101" s="363" t="str">
        <f t="shared" si="728"/>
        <v/>
      </c>
      <c r="HE101" s="344" t="str">
        <f t="shared" si="576"/>
        <v/>
      </c>
      <c r="HF101" s="5" t="str">
        <f t="shared" si="577"/>
        <v/>
      </c>
      <c r="HG101" s="343" t="str">
        <f t="shared" si="729"/>
        <v/>
      </c>
      <c r="HH101" s="349" t="str">
        <f t="shared" si="730"/>
        <v/>
      </c>
      <c r="HI101" s="317" t="str">
        <f t="shared" si="578"/>
        <v/>
      </c>
      <c r="HK101" s="310" t="str">
        <f t="shared" si="630"/>
        <v/>
      </c>
      <c r="HL101" s="348" t="str">
        <f t="shared" si="579"/>
        <v/>
      </c>
      <c r="HM101" s="909" t="str">
        <f t="shared" si="580"/>
        <v/>
      </c>
      <c r="HN101" s="910" t="str">
        <f t="shared" si="581"/>
        <v/>
      </c>
      <c r="HO101" s="911"/>
      <c r="HP101" s="912"/>
      <c r="HQ101" s="910" t="str">
        <f t="shared" si="582"/>
        <v/>
      </c>
      <c r="HR101" s="913" t="str">
        <f t="shared" si="583"/>
        <v/>
      </c>
      <c r="HS101" s="865" t="str">
        <f t="shared" si="631"/>
        <v/>
      </c>
      <c r="HT101" s="875" t="str">
        <f t="shared" si="584"/>
        <v/>
      </c>
      <c r="HU101" s="876" t="str">
        <f t="shared" si="585"/>
        <v/>
      </c>
      <c r="HV101" s="872" t="str">
        <f t="shared" si="586"/>
        <v/>
      </c>
      <c r="HW101" s="866" t="str">
        <f t="shared" si="587"/>
        <v/>
      </c>
      <c r="HX101" s="867" t="str">
        <f t="shared" si="588"/>
        <v/>
      </c>
      <c r="HY101" s="866" t="str">
        <f t="shared" si="589"/>
        <v/>
      </c>
      <c r="HZ101" s="868" t="str">
        <f t="shared" si="590"/>
        <v/>
      </c>
      <c r="IA101" s="869" t="str">
        <f t="shared" si="591"/>
        <v/>
      </c>
      <c r="IB101" s="870" t="str">
        <f t="shared" si="592"/>
        <v/>
      </c>
      <c r="IC101" s="841" t="str">
        <f t="shared" si="593"/>
        <v/>
      </c>
      <c r="ID101" s="351" t="str">
        <f t="shared" si="594"/>
        <v/>
      </c>
      <c r="IE101" s="843" t="str">
        <f t="shared" si="595"/>
        <v/>
      </c>
      <c r="IF101" s="844"/>
      <c r="IG101" s="790" t="str">
        <f>IFERROR(IF($IW101="","",IF($IW101&lt;(((Settings!$C$19/2)*-1)*$IG$8),"Taper","Nose")),"")</f>
        <v/>
      </c>
      <c r="IH101" s="482" t="str">
        <f>IFERROR(IF((((($IY101*COS(RADIANS(180-$JA101)))*COS(RADIANS($JA101)))-(($IZ101*SIN(RADIANS(180-$JA101)))*SIN(RADIANS($JA101))))+$IW101)&lt;(((Settings!$C$19+$IH$8)/2)*-1),"Gage",""),"")</f>
        <v/>
      </c>
      <c r="II101" s="788" t="str">
        <f t="shared" si="731"/>
        <v/>
      </c>
      <c r="IJ101" s="674" t="str" cm="1">
        <f t="array" ref="IJ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K101" s="677" t="str" cm="1">
        <f t="array" ref="IK101">IFERROR(ROUND(VALUE(IF($IJ101&lt;1,$IJ101+LARGE((IF($M$9:$M$150="",0,$M$9:$M$150)-MOD(IF($M$9:$M$150="",0,$M$9:$M$150),1)),1),$IJ101)),4),"")</f>
        <v/>
      </c>
      <c r="IL101" s="482" t="str">
        <f t="shared" si="596"/>
        <v/>
      </c>
      <c r="IM101" s="482" t="str">
        <f t="shared" si="732"/>
        <v/>
      </c>
      <c r="IN101" s="670" t="str">
        <f t="shared" si="597"/>
        <v/>
      </c>
      <c r="IO101" s="702"/>
      <c r="IP101" s="5" t="str">
        <f t="shared" si="598"/>
        <v/>
      </c>
      <c r="IQ101" s="714"/>
      <c r="IR101" s="9" t="str">
        <f t="shared" si="599"/>
        <v/>
      </c>
      <c r="IS101" s="5" t="str">
        <f t="shared" si="600"/>
        <v/>
      </c>
      <c r="IT101" s="5" t="str">
        <f t="shared" si="601"/>
        <v/>
      </c>
      <c r="IU101" s="5" t="str">
        <f t="shared" si="602"/>
        <v/>
      </c>
      <c r="IV101" s="670" t="str">
        <f t="shared" si="603"/>
        <v/>
      </c>
      <c r="IW101" s="9" t="str">
        <f t="shared" si="604"/>
        <v/>
      </c>
      <c r="IX101" s="5" t="str">
        <f t="shared" si="605"/>
        <v/>
      </c>
      <c r="IY101" s="5" t="str">
        <f t="shared" si="606"/>
        <v/>
      </c>
      <c r="IZ101" s="5" t="str">
        <f t="shared" si="607"/>
        <v/>
      </c>
      <c r="JA101" s="705" t="str">
        <f t="shared" si="608"/>
        <v/>
      </c>
    </row>
    <row r="102" spans="1:261" ht="15" customHeight="1" x14ac:dyDescent="0.25">
      <c r="A102" s="75" t="str">
        <f t="shared" si="256"/>
        <v/>
      </c>
      <c r="B102" s="578" t="str">
        <f t="shared" si="515"/>
        <v/>
      </c>
      <c r="C102" s="572" t="str">
        <f t="shared" si="516"/>
        <v/>
      </c>
      <c r="D102" s="576" t="str">
        <f t="shared" si="517"/>
        <v/>
      </c>
      <c r="E102" s="580" t="str">
        <f t="shared" si="518"/>
        <v/>
      </c>
      <c r="F102" s="572" t="str">
        <f t="shared" si="519"/>
        <v/>
      </c>
      <c r="G102" s="579" t="str">
        <f t="shared" si="520"/>
        <v/>
      </c>
      <c r="H102" s="580" t="str">
        <f t="shared" si="521"/>
        <v/>
      </c>
      <c r="I102" s="572" t="str">
        <f t="shared" si="522"/>
        <v/>
      </c>
      <c r="J102" s="483" t="str">
        <f t="shared" si="523"/>
        <v/>
      </c>
      <c r="K102" s="806" t="str">
        <f t="shared" si="524"/>
        <v/>
      </c>
      <c r="L102" s="309"/>
      <c r="M102" s="164" t="str">
        <f t="shared" si="526"/>
        <v/>
      </c>
      <c r="N102" s="575" t="str">
        <f t="shared" si="527"/>
        <v/>
      </c>
      <c r="O102" s="572" t="str">
        <f t="shared" si="528"/>
        <v/>
      </c>
      <c r="P102" s="576" t="str">
        <f t="shared" si="529"/>
        <v/>
      </c>
      <c r="Q102" s="528" t="str">
        <f t="shared" si="609"/>
        <v/>
      </c>
      <c r="R102" s="572" t="str">
        <f t="shared" si="101"/>
        <v/>
      </c>
      <c r="S102" s="577" t="str">
        <f t="shared" si="102"/>
        <v/>
      </c>
      <c r="T102" s="578" t="str">
        <f t="shared" si="103"/>
        <v/>
      </c>
      <c r="U102" s="572" t="str">
        <f t="shared" si="104"/>
        <v/>
      </c>
      <c r="V102" s="579" t="str">
        <f t="shared" si="141"/>
        <v/>
      </c>
      <c r="W102" s="528" t="str">
        <f t="shared" si="735"/>
        <v/>
      </c>
      <c r="X102" s="572" t="str">
        <f t="shared" si="105"/>
        <v/>
      </c>
      <c r="Y102" s="573" t="str">
        <f t="shared" si="733"/>
        <v/>
      </c>
      <c r="Z102" s="575" t="str">
        <f t="shared" si="530"/>
        <v/>
      </c>
      <c r="AA102" s="572" t="str">
        <f t="shared" si="531"/>
        <v/>
      </c>
      <c r="AB102" s="572" t="str">
        <f t="shared" si="532"/>
        <v/>
      </c>
      <c r="AC102" s="579" t="str">
        <f t="shared" si="106"/>
        <v/>
      </c>
      <c r="AD102" s="580" t="str">
        <f t="shared" si="142"/>
        <v/>
      </c>
      <c r="AE102" s="572" t="str">
        <f t="shared" si="107"/>
        <v/>
      </c>
      <c r="AF102" s="576" t="str">
        <f t="shared" si="108"/>
        <v/>
      </c>
      <c r="AG102" s="545" t="str">
        <f t="shared" si="109"/>
        <v/>
      </c>
      <c r="AH102" s="546" t="str">
        <f t="shared" si="110"/>
        <v/>
      </c>
      <c r="AI102" s="528" t="str">
        <f t="shared" si="111"/>
        <v/>
      </c>
      <c r="AJ102" s="529" t="str">
        <f t="shared" si="112"/>
        <v/>
      </c>
      <c r="AK102" s="578" t="str">
        <f t="shared" si="238"/>
        <v/>
      </c>
      <c r="AL102" s="572" t="str">
        <f t="shared" si="113"/>
        <v/>
      </c>
      <c r="AM102" s="577" t="str">
        <f t="shared" si="114"/>
        <v/>
      </c>
      <c r="AN102" s="524" t="str">
        <f t="shared" si="115"/>
        <v/>
      </c>
      <c r="AO102" s="525" t="str">
        <f t="shared" si="525"/>
        <v/>
      </c>
      <c r="AP102" s="528" t="str">
        <f t="shared" si="117"/>
        <v/>
      </c>
      <c r="AQ102" s="529" t="str">
        <f t="shared" si="533"/>
        <v/>
      </c>
      <c r="AS102" s="932" t="str">
        <f t="shared" si="632"/>
        <v/>
      </c>
      <c r="AT102" s="928" t="str">
        <f t="shared" si="534"/>
        <v/>
      </c>
      <c r="AU102" s="418"/>
      <c r="AV102" s="164" t="str">
        <f t="shared" si="535"/>
        <v/>
      </c>
      <c r="AW102" s="797" t="str">
        <f>IFERROR(INDEX(MassProp!C$9:C$150,MATCH($M102,MassProp!$B$9:$B$150,0)),"")</f>
        <v/>
      </c>
      <c r="AX102" s="744" t="str">
        <f>IFERROR(INDEX(MassProp!D$9:D$150,MATCH($M102,MassProp!$B$9:$B$150,0)),"")</f>
        <v/>
      </c>
      <c r="AY102" s="731" t="str">
        <f>IFERROR(INDEX(MassProp!E$9:E$150,MATCH($M102,MassProp!$B$9:$B$150,0)),"")</f>
        <v/>
      </c>
      <c r="AZ102" s="297" t="str">
        <f t="shared" si="633"/>
        <v/>
      </c>
      <c r="BA102" s="296" t="str">
        <f t="shared" si="536"/>
        <v/>
      </c>
      <c r="BB102" s="177" t="str">
        <f t="shared" si="610"/>
        <v/>
      </c>
      <c r="BC102" s="9"/>
      <c r="BD102" s="5" t="str">
        <f t="shared" si="611"/>
        <v/>
      </c>
      <c r="BE102" s="6" t="str">
        <f t="shared" si="537"/>
        <v/>
      </c>
      <c r="BF102" s="4" t="str">
        <f t="shared" si="538"/>
        <v/>
      </c>
      <c r="BG102" s="5" t="str">
        <f t="shared" si="539"/>
        <v/>
      </c>
      <c r="BH102" s="10" t="str">
        <f t="shared" si="540"/>
        <v/>
      </c>
      <c r="BI102" s="9" t="str">
        <f t="shared" si="634"/>
        <v/>
      </c>
      <c r="BJ102" s="5" t="str">
        <f t="shared" si="541"/>
        <v/>
      </c>
      <c r="BK102" s="8" t="str">
        <f t="shared" si="542"/>
        <v/>
      </c>
      <c r="BL102" s="173" t="str">
        <f t="shared" si="543"/>
        <v/>
      </c>
      <c r="BM102" s="5" t="str">
        <f t="shared" si="544"/>
        <v/>
      </c>
      <c r="BN102" s="6" t="str">
        <f t="shared" si="545"/>
        <v/>
      </c>
      <c r="BO102" s="4" t="str">
        <f t="shared" si="635"/>
        <v/>
      </c>
      <c r="BP102" s="5" t="str">
        <f t="shared" si="734"/>
        <v/>
      </c>
      <c r="BQ102" s="5" t="str">
        <f t="shared" si="636"/>
        <v/>
      </c>
      <c r="BR102" s="6" t="str">
        <f t="shared" si="637"/>
        <v/>
      </c>
      <c r="BS102" s="4" t="str">
        <f t="shared" si="612"/>
        <v/>
      </c>
      <c r="BT102" s="5" t="str">
        <f t="shared" si="612"/>
        <v/>
      </c>
      <c r="BU102" s="10" t="str">
        <f t="shared" si="613"/>
        <v/>
      </c>
      <c r="BV102" s="9" t="str">
        <f t="shared" si="614"/>
        <v/>
      </c>
      <c r="BW102" s="5" t="str">
        <f t="shared" si="615"/>
        <v/>
      </c>
      <c r="BX102" s="8" t="str">
        <f t="shared" si="616"/>
        <v/>
      </c>
      <c r="BY102" s="173" t="str">
        <f t="shared" si="617"/>
        <v/>
      </c>
      <c r="BZ102" s="5" t="str">
        <f t="shared" si="618"/>
        <v/>
      </c>
      <c r="CA102" s="6" t="str">
        <f t="shared" si="619"/>
        <v/>
      </c>
      <c r="CB102" s="4" t="str">
        <f t="shared" si="638"/>
        <v/>
      </c>
      <c r="CC102" s="5" t="str">
        <f t="shared" si="639"/>
        <v/>
      </c>
      <c r="CD102" s="5" t="str">
        <f t="shared" si="640"/>
        <v/>
      </c>
      <c r="CE102" s="6" t="str">
        <f t="shared" si="641"/>
        <v/>
      </c>
      <c r="CF102" s="4" t="str">
        <f t="shared" si="642"/>
        <v/>
      </c>
      <c r="CG102" s="5" t="str">
        <f t="shared" si="643"/>
        <v/>
      </c>
      <c r="CH102" s="5" t="str">
        <f t="shared" si="644"/>
        <v/>
      </c>
      <c r="CI102" s="4" t="str">
        <f t="shared" si="620"/>
        <v/>
      </c>
      <c r="CJ102" s="5" t="str">
        <f t="shared" si="621"/>
        <v/>
      </c>
      <c r="CK102" s="8" t="str">
        <f t="shared" si="622"/>
        <v/>
      </c>
      <c r="CL102" s="173" t="str">
        <f t="shared" si="623"/>
        <v/>
      </c>
      <c r="CM102" s="5" t="str">
        <f t="shared" si="624"/>
        <v/>
      </c>
      <c r="CN102" s="6" t="str">
        <f t="shared" si="625"/>
        <v/>
      </c>
      <c r="CO102" s="167" t="str">
        <f t="shared" si="546"/>
        <v/>
      </c>
      <c r="CP102" s="4" t="str">
        <f t="shared" si="645"/>
        <v/>
      </c>
      <c r="CQ102" s="5" t="str">
        <f t="shared" si="646"/>
        <v/>
      </c>
      <c r="CR102" s="5" t="str">
        <f t="shared" si="647"/>
        <v/>
      </c>
      <c r="CS102" s="8" t="str">
        <f t="shared" si="648"/>
        <v/>
      </c>
      <c r="CT102" s="9" t="str">
        <f t="shared" si="649"/>
        <v/>
      </c>
      <c r="CU102" s="6" t="str">
        <f t="shared" si="650"/>
        <v/>
      </c>
      <c r="CV102" s="4" t="str">
        <f t="shared" si="651"/>
        <v/>
      </c>
      <c r="CW102" s="5" t="str">
        <f t="shared" si="652"/>
        <v/>
      </c>
      <c r="CX102" s="8" t="str">
        <f t="shared" si="653"/>
        <v/>
      </c>
      <c r="CY102" s="9" t="str">
        <f t="shared" si="654"/>
        <v/>
      </c>
      <c r="CZ102" s="5" t="str">
        <f t="shared" si="655"/>
        <v/>
      </c>
      <c r="DA102" s="6" t="str">
        <f t="shared" si="656"/>
        <v/>
      </c>
      <c r="DB102" s="4" t="str">
        <f t="shared" si="657"/>
        <v/>
      </c>
      <c r="DC102" s="5" t="str">
        <f t="shared" si="657"/>
        <v/>
      </c>
      <c r="DD102" s="10" t="str">
        <f t="shared" si="658"/>
        <v/>
      </c>
      <c r="DE102" s="9" t="str">
        <f t="shared" si="659"/>
        <v/>
      </c>
      <c r="DF102" s="5" t="str">
        <f t="shared" si="659"/>
        <v/>
      </c>
      <c r="DG102" s="10" t="str">
        <f t="shared" si="660"/>
        <v/>
      </c>
      <c r="DH102" s="70" t="str">
        <f t="shared" si="661"/>
        <v/>
      </c>
      <c r="DI102" s="4" t="str">
        <f t="shared" si="662"/>
        <v/>
      </c>
      <c r="DJ102" s="5" t="str">
        <f t="shared" si="663"/>
        <v/>
      </c>
      <c r="DK102" s="10" t="str">
        <f t="shared" si="664"/>
        <v/>
      </c>
      <c r="DL102" s="9" t="str">
        <f t="shared" si="665"/>
        <v/>
      </c>
      <c r="DM102" s="173" t="str">
        <f t="shared" si="666"/>
        <v/>
      </c>
      <c r="DN102" s="178" t="str">
        <f t="shared" si="667"/>
        <v/>
      </c>
      <c r="DO102" s="9" t="str">
        <f t="shared" si="668"/>
        <v/>
      </c>
      <c r="DP102" s="173" t="str">
        <f t="shared" si="669"/>
        <v/>
      </c>
      <c r="DQ102" s="11" t="str">
        <f t="shared" si="670"/>
        <v/>
      </c>
      <c r="DR102" s="173" t="str">
        <f t="shared" si="671"/>
        <v/>
      </c>
      <c r="DS102" s="5" t="str">
        <f t="shared" si="672"/>
        <v/>
      </c>
      <c r="DT102" s="5" t="str">
        <f t="shared" si="673"/>
        <v/>
      </c>
      <c r="DU102" s="5" t="str">
        <f t="shared" si="674"/>
        <v/>
      </c>
      <c r="DV102" s="5" t="str">
        <f t="shared" si="675"/>
        <v/>
      </c>
      <c r="DW102" s="5" t="str">
        <f t="shared" si="676"/>
        <v/>
      </c>
      <c r="DX102" s="167" t="str">
        <f t="shared" si="677"/>
        <v/>
      </c>
      <c r="DY102" s="9" t="str">
        <f t="shared" si="678"/>
        <v/>
      </c>
      <c r="DZ102" s="5" t="str">
        <f t="shared" si="679"/>
        <v/>
      </c>
      <c r="EA102" s="10" t="str">
        <f t="shared" si="680"/>
        <v/>
      </c>
      <c r="EB102" s="6" t="str">
        <f t="shared" si="681"/>
        <v/>
      </c>
      <c r="EC102" s="173" t="str">
        <f t="shared" si="682"/>
        <v/>
      </c>
      <c r="ED102" s="5" t="str">
        <f t="shared" si="683"/>
        <v/>
      </c>
      <c r="EE102" s="4" t="str">
        <f t="shared" si="684"/>
        <v/>
      </c>
      <c r="EF102" s="5" t="str">
        <f t="shared" si="685"/>
        <v/>
      </c>
      <c r="EG102" s="10" t="str">
        <f t="shared" si="686"/>
        <v/>
      </c>
      <c r="EH102" s="9" t="str">
        <f t="shared" si="687"/>
        <v/>
      </c>
      <c r="EI102" s="5" t="str">
        <f t="shared" si="688"/>
        <v/>
      </c>
      <c r="EJ102" s="6" t="str">
        <f t="shared" si="689"/>
        <v/>
      </c>
      <c r="EK102" s="236" t="str">
        <f t="shared" si="690"/>
        <v/>
      </c>
      <c r="EL102" s="238" t="str">
        <f t="shared" si="691"/>
        <v/>
      </c>
      <c r="EM102" s="4" t="str">
        <f t="shared" si="692"/>
        <v/>
      </c>
      <c r="EN102" s="5" t="str">
        <f t="shared" si="693"/>
        <v/>
      </c>
      <c r="EO102" s="10" t="str">
        <f t="shared" si="694"/>
        <v/>
      </c>
      <c r="EP102" s="9" t="str">
        <f t="shared" si="695"/>
        <v/>
      </c>
      <c r="EQ102" s="5" t="str">
        <f t="shared" si="696"/>
        <v/>
      </c>
      <c r="ER102" s="7" t="str">
        <f t="shared" si="697"/>
        <v/>
      </c>
      <c r="ES102" s="21" t="str">
        <f t="shared" si="547"/>
        <v/>
      </c>
      <c r="ET102" s="5" t="str">
        <f t="shared" si="548"/>
        <v/>
      </c>
      <c r="EU102" s="10" t="str">
        <f t="shared" si="549"/>
        <v/>
      </c>
      <c r="EV102" s="174" t="str">
        <f t="shared" si="550"/>
        <v/>
      </c>
      <c r="EW102" s="9" t="str">
        <f t="shared" si="551"/>
        <v/>
      </c>
      <c r="EX102" s="5" t="str">
        <f t="shared" si="552"/>
        <v/>
      </c>
      <c r="EY102" s="6" t="str">
        <f t="shared" si="698"/>
        <v/>
      </c>
      <c r="EZ102" s="51" t="str">
        <f t="shared" si="699"/>
        <v/>
      </c>
      <c r="FA102" s="173" t="str">
        <f t="shared" si="553"/>
        <v/>
      </c>
      <c r="FB102" s="5" t="str">
        <f t="shared" si="554"/>
        <v/>
      </c>
      <c r="FC102" s="6" t="str">
        <f t="shared" si="555"/>
        <v/>
      </c>
      <c r="FD102" s="4" t="str">
        <f t="shared" si="556"/>
        <v/>
      </c>
      <c r="FE102" s="5" t="str">
        <f t="shared" si="557"/>
        <v/>
      </c>
      <c r="FF102" s="7" t="str">
        <f t="shared" si="700"/>
        <v/>
      </c>
      <c r="FG102" s="173" t="str">
        <f t="shared" si="558"/>
        <v/>
      </c>
      <c r="FH102" s="5" t="str">
        <f t="shared" si="559"/>
        <v/>
      </c>
      <c r="FI102" s="10" t="str">
        <f t="shared" si="560"/>
        <v/>
      </c>
      <c r="FJ102" s="279" t="str">
        <f t="shared" si="701"/>
        <v/>
      </c>
      <c r="FK102" s="4" t="str">
        <f t="shared" si="561"/>
        <v/>
      </c>
      <c r="FL102" s="5" t="str">
        <f t="shared" si="626"/>
        <v/>
      </c>
      <c r="FM102" s="8" t="str">
        <f t="shared" si="627"/>
        <v/>
      </c>
      <c r="FN102" s="9" t="str">
        <f t="shared" si="628"/>
        <v/>
      </c>
      <c r="FO102" s="10" t="str">
        <f t="shared" si="562"/>
        <v/>
      </c>
      <c r="FP102" s="277" t="str">
        <f t="shared" si="629"/>
        <v/>
      </c>
      <c r="FQ102" s="173" t="str">
        <f t="shared" si="702"/>
        <v/>
      </c>
      <c r="FR102" s="10" t="str">
        <f t="shared" si="703"/>
        <v/>
      </c>
      <c r="FS102" s="9" t="str">
        <f t="shared" si="704"/>
        <v/>
      </c>
      <c r="FT102" s="6" t="str">
        <f t="shared" si="705"/>
        <v/>
      </c>
      <c r="FU102" s="4" t="str">
        <f t="shared" si="706"/>
        <v/>
      </c>
      <c r="FV102" s="5" t="str">
        <f t="shared" si="707"/>
        <v/>
      </c>
      <c r="FW102" s="8" t="str">
        <f t="shared" si="708"/>
        <v/>
      </c>
      <c r="FX102" s="9" t="str">
        <f t="shared" si="709"/>
        <v/>
      </c>
      <c r="FY102" s="10" t="str">
        <f t="shared" si="563"/>
        <v/>
      </c>
      <c r="FZ102" s="277" t="str">
        <f t="shared" si="710"/>
        <v/>
      </c>
      <c r="GA102" s="177" t="str">
        <f t="shared" si="711"/>
        <v/>
      </c>
      <c r="GB102" s="4" t="str">
        <f t="shared" si="712"/>
        <v/>
      </c>
      <c r="GC102" s="5" t="str">
        <f t="shared" si="713"/>
        <v/>
      </c>
      <c r="GD102" s="10" t="str">
        <f t="shared" si="714"/>
        <v/>
      </c>
      <c r="GE102" s="311" t="str">
        <f t="shared" si="715"/>
        <v/>
      </c>
      <c r="GF102" s="341" t="str">
        <f t="shared" si="716"/>
        <v/>
      </c>
      <c r="GG102" s="285" t="str">
        <f t="shared" si="564"/>
        <v/>
      </c>
      <c r="GH102" s="286" t="str">
        <f t="shared" si="565"/>
        <v/>
      </c>
      <c r="GI102" s="281" t="str">
        <f t="shared" si="566"/>
        <v/>
      </c>
      <c r="GJ102" s="167" t="str">
        <f t="shared" si="717"/>
        <v/>
      </c>
      <c r="GK102" s="174" t="str">
        <f t="shared" si="567"/>
        <v/>
      </c>
      <c r="GL102" s="174" t="str">
        <f t="shared" si="718"/>
        <v/>
      </c>
      <c r="GM102" s="177" t="str">
        <f t="shared" si="719"/>
        <v/>
      </c>
      <c r="GN102" s="280" t="str">
        <f t="shared" si="720"/>
        <v/>
      </c>
      <c r="GO102" s="4" t="str">
        <f t="shared" si="721"/>
        <v/>
      </c>
      <c r="GP102" s="8" t="str">
        <f t="shared" si="722"/>
        <v/>
      </c>
      <c r="GQ102" s="177" t="str">
        <f t="shared" si="723"/>
        <v/>
      </c>
      <c r="GR102" s="371" t="str">
        <f t="shared" si="724"/>
        <v/>
      </c>
      <c r="GS102" s="342" t="str">
        <f t="shared" si="568"/>
        <v/>
      </c>
      <c r="GT102" s="343" t="str">
        <f t="shared" si="569"/>
        <v/>
      </c>
      <c r="GU102" s="344" t="str">
        <f t="shared" si="570"/>
        <v/>
      </c>
      <c r="GV102" s="343" t="str">
        <f t="shared" si="725"/>
        <v/>
      </c>
      <c r="GW102" s="345" t="str">
        <f t="shared" si="571"/>
        <v/>
      </c>
      <c r="GX102" s="346" t="str">
        <f t="shared" si="572"/>
        <v/>
      </c>
      <c r="GY102" s="344" t="str">
        <f t="shared" si="573"/>
        <v/>
      </c>
      <c r="GZ102" s="345" t="str">
        <f t="shared" si="574"/>
        <v/>
      </c>
      <c r="HA102" s="342" t="str">
        <f t="shared" si="575"/>
        <v/>
      </c>
      <c r="HB102" s="5" t="str">
        <f t="shared" si="726"/>
        <v/>
      </c>
      <c r="HC102" s="343" t="str">
        <f t="shared" si="727"/>
        <v/>
      </c>
      <c r="HD102" s="363" t="str">
        <f t="shared" si="728"/>
        <v/>
      </c>
      <c r="HE102" s="344" t="str">
        <f t="shared" si="576"/>
        <v/>
      </c>
      <c r="HF102" s="5" t="str">
        <f t="shared" si="577"/>
        <v/>
      </c>
      <c r="HG102" s="343" t="str">
        <f t="shared" si="729"/>
        <v/>
      </c>
      <c r="HH102" s="349" t="str">
        <f t="shared" si="730"/>
        <v/>
      </c>
      <c r="HI102" s="317" t="str">
        <f t="shared" si="578"/>
        <v/>
      </c>
      <c r="HK102" s="310" t="str">
        <f t="shared" si="630"/>
        <v/>
      </c>
      <c r="HL102" s="348" t="str">
        <f t="shared" si="579"/>
        <v/>
      </c>
      <c r="HM102" s="909" t="str">
        <f t="shared" si="580"/>
        <v/>
      </c>
      <c r="HN102" s="910" t="str">
        <f t="shared" si="581"/>
        <v/>
      </c>
      <c r="HO102" s="911"/>
      <c r="HP102" s="912"/>
      <c r="HQ102" s="910" t="str">
        <f t="shared" si="582"/>
        <v/>
      </c>
      <c r="HR102" s="913" t="str">
        <f t="shared" si="583"/>
        <v/>
      </c>
      <c r="HS102" s="865" t="str">
        <f t="shared" si="631"/>
        <v/>
      </c>
      <c r="HT102" s="875" t="str">
        <f t="shared" si="584"/>
        <v/>
      </c>
      <c r="HU102" s="876" t="str">
        <f t="shared" si="585"/>
        <v/>
      </c>
      <c r="HV102" s="872" t="str">
        <f t="shared" si="586"/>
        <v/>
      </c>
      <c r="HW102" s="866" t="str">
        <f t="shared" si="587"/>
        <v/>
      </c>
      <c r="HX102" s="867" t="str">
        <f t="shared" si="588"/>
        <v/>
      </c>
      <c r="HY102" s="866" t="str">
        <f t="shared" si="589"/>
        <v/>
      </c>
      <c r="HZ102" s="868" t="str">
        <f t="shared" si="590"/>
        <v/>
      </c>
      <c r="IA102" s="869" t="str">
        <f t="shared" si="591"/>
        <v/>
      </c>
      <c r="IB102" s="870" t="str">
        <f t="shared" si="592"/>
        <v/>
      </c>
      <c r="IC102" s="841" t="str">
        <f t="shared" si="593"/>
        <v/>
      </c>
      <c r="ID102" s="351" t="str">
        <f t="shared" si="594"/>
        <v/>
      </c>
      <c r="IE102" s="843" t="str">
        <f t="shared" si="595"/>
        <v/>
      </c>
      <c r="IF102" s="844"/>
      <c r="IG102" s="790" t="str">
        <f>IFERROR(IF($IW102="","",IF($IW102&lt;(((Settings!$C$19/2)*-1)*$IG$8),"Taper","Nose")),"")</f>
        <v/>
      </c>
      <c r="IH102" s="482" t="str">
        <f>IFERROR(IF((((($IY102*COS(RADIANS(180-$JA102)))*COS(RADIANS($JA102)))-(($IZ102*SIN(RADIANS(180-$JA102)))*SIN(RADIANS($JA102))))+$IW102)&lt;(((Settings!$C$19+$IH$8)/2)*-1),"Gage",""),"")</f>
        <v/>
      </c>
      <c r="II102" s="788" t="str">
        <f t="shared" si="731"/>
        <v/>
      </c>
      <c r="IJ102" s="674" t="str" cm="1">
        <f t="array" ref="IJ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K102" s="677" t="str" cm="1">
        <f t="array" ref="IK102">IFERROR(ROUND(VALUE(IF($IJ102&lt;1,$IJ102+LARGE((IF($M$9:$M$150="",0,$M$9:$M$150)-MOD(IF($M$9:$M$150="",0,$M$9:$M$150),1)),1),$IJ102)),4),"")</f>
        <v/>
      </c>
      <c r="IL102" s="482" t="str">
        <f t="shared" si="596"/>
        <v/>
      </c>
      <c r="IM102" s="482" t="str">
        <f t="shared" si="732"/>
        <v/>
      </c>
      <c r="IN102" s="670" t="str">
        <f t="shared" si="597"/>
        <v/>
      </c>
      <c r="IO102" s="702"/>
      <c r="IP102" s="5" t="str">
        <f t="shared" si="598"/>
        <v/>
      </c>
      <c r="IQ102" s="714"/>
      <c r="IR102" s="9" t="str">
        <f t="shared" si="599"/>
        <v/>
      </c>
      <c r="IS102" s="5" t="str">
        <f t="shared" si="600"/>
        <v/>
      </c>
      <c r="IT102" s="5" t="str">
        <f t="shared" si="601"/>
        <v/>
      </c>
      <c r="IU102" s="5" t="str">
        <f t="shared" si="602"/>
        <v/>
      </c>
      <c r="IV102" s="670" t="str">
        <f t="shared" si="603"/>
        <v/>
      </c>
      <c r="IW102" s="9" t="str">
        <f t="shared" si="604"/>
        <v/>
      </c>
      <c r="IX102" s="5" t="str">
        <f t="shared" si="605"/>
        <v/>
      </c>
      <c r="IY102" s="5" t="str">
        <f t="shared" si="606"/>
        <v/>
      </c>
      <c r="IZ102" s="5" t="str">
        <f t="shared" si="607"/>
        <v/>
      </c>
      <c r="JA102" s="705" t="str">
        <f t="shared" si="608"/>
        <v/>
      </c>
    </row>
    <row r="103" spans="1:261" ht="15" customHeight="1" x14ac:dyDescent="0.25">
      <c r="A103" s="75" t="str">
        <f t="shared" si="256"/>
        <v/>
      </c>
      <c r="B103" s="578" t="str">
        <f t="shared" si="515"/>
        <v/>
      </c>
      <c r="C103" s="572" t="str">
        <f t="shared" si="516"/>
        <v/>
      </c>
      <c r="D103" s="576" t="str">
        <f t="shared" si="517"/>
        <v/>
      </c>
      <c r="E103" s="580" t="str">
        <f t="shared" si="518"/>
        <v/>
      </c>
      <c r="F103" s="572" t="str">
        <f t="shared" si="519"/>
        <v/>
      </c>
      <c r="G103" s="579" t="str">
        <f t="shared" si="520"/>
        <v/>
      </c>
      <c r="H103" s="580" t="str">
        <f t="shared" si="521"/>
        <v/>
      </c>
      <c r="I103" s="572" t="str">
        <f t="shared" si="522"/>
        <v/>
      </c>
      <c r="J103" s="483" t="str">
        <f t="shared" si="523"/>
        <v/>
      </c>
      <c r="K103" s="806" t="str">
        <f t="shared" si="524"/>
        <v/>
      </c>
      <c r="L103" s="309"/>
      <c r="M103" s="164" t="str">
        <f t="shared" si="526"/>
        <v/>
      </c>
      <c r="N103" s="575" t="str">
        <f t="shared" si="527"/>
        <v/>
      </c>
      <c r="O103" s="572" t="str">
        <f t="shared" si="528"/>
        <v/>
      </c>
      <c r="P103" s="576" t="str">
        <f t="shared" si="529"/>
        <v/>
      </c>
      <c r="Q103" s="528" t="str">
        <f t="shared" si="609"/>
        <v/>
      </c>
      <c r="R103" s="572" t="str">
        <f t="shared" si="101"/>
        <v/>
      </c>
      <c r="S103" s="577" t="str">
        <f t="shared" si="102"/>
        <v/>
      </c>
      <c r="T103" s="578" t="str">
        <f t="shared" si="103"/>
        <v/>
      </c>
      <c r="U103" s="572" t="str">
        <f t="shared" si="104"/>
        <v/>
      </c>
      <c r="V103" s="579" t="str">
        <f t="shared" si="141"/>
        <v/>
      </c>
      <c r="W103" s="528" t="str">
        <f t="shared" si="735"/>
        <v/>
      </c>
      <c r="X103" s="572" t="str">
        <f t="shared" si="105"/>
        <v/>
      </c>
      <c r="Y103" s="573" t="str">
        <f t="shared" si="733"/>
        <v/>
      </c>
      <c r="Z103" s="575" t="str">
        <f t="shared" si="530"/>
        <v/>
      </c>
      <c r="AA103" s="572" t="str">
        <f t="shared" si="531"/>
        <v/>
      </c>
      <c r="AB103" s="572" t="str">
        <f t="shared" si="532"/>
        <v/>
      </c>
      <c r="AC103" s="579" t="str">
        <f t="shared" si="106"/>
        <v/>
      </c>
      <c r="AD103" s="580" t="str">
        <f t="shared" si="142"/>
        <v/>
      </c>
      <c r="AE103" s="572" t="str">
        <f t="shared" si="107"/>
        <v/>
      </c>
      <c r="AF103" s="576" t="str">
        <f t="shared" si="108"/>
        <v/>
      </c>
      <c r="AG103" s="545" t="str">
        <f t="shared" si="109"/>
        <v/>
      </c>
      <c r="AH103" s="546" t="str">
        <f t="shared" si="110"/>
        <v/>
      </c>
      <c r="AI103" s="528" t="str">
        <f t="shared" si="111"/>
        <v/>
      </c>
      <c r="AJ103" s="529" t="str">
        <f t="shared" si="112"/>
        <v/>
      </c>
      <c r="AK103" s="578" t="str">
        <f t="shared" si="238"/>
        <v/>
      </c>
      <c r="AL103" s="572" t="str">
        <f t="shared" si="113"/>
        <v/>
      </c>
      <c r="AM103" s="577" t="str">
        <f t="shared" si="114"/>
        <v/>
      </c>
      <c r="AN103" s="524" t="str">
        <f t="shared" si="115"/>
        <v/>
      </c>
      <c r="AO103" s="525" t="str">
        <f t="shared" si="525"/>
        <v/>
      </c>
      <c r="AP103" s="528" t="str">
        <f t="shared" si="117"/>
        <v/>
      </c>
      <c r="AQ103" s="529" t="str">
        <f t="shared" si="533"/>
        <v/>
      </c>
      <c r="AS103" s="932" t="str">
        <f t="shared" si="632"/>
        <v/>
      </c>
      <c r="AT103" s="928" t="str">
        <f t="shared" si="534"/>
        <v/>
      </c>
      <c r="AU103" s="418"/>
      <c r="AV103" s="164" t="str">
        <f t="shared" si="535"/>
        <v/>
      </c>
      <c r="AW103" s="797" t="str">
        <f>IFERROR(INDEX(MassProp!C$9:C$150,MATCH($M103,MassProp!$B$9:$B$150,0)),"")</f>
        <v/>
      </c>
      <c r="AX103" s="744" t="str">
        <f>IFERROR(INDEX(MassProp!D$9:D$150,MATCH($M103,MassProp!$B$9:$B$150,0)),"")</f>
        <v/>
      </c>
      <c r="AY103" s="731" t="str">
        <f>IFERROR(INDEX(MassProp!E$9:E$150,MATCH($M103,MassProp!$B$9:$B$150,0)),"")</f>
        <v/>
      </c>
      <c r="AZ103" s="297" t="str">
        <f t="shared" si="633"/>
        <v/>
      </c>
      <c r="BA103" s="296" t="str">
        <f t="shared" si="536"/>
        <v/>
      </c>
      <c r="BB103" s="177" t="str">
        <f t="shared" si="610"/>
        <v/>
      </c>
      <c r="BC103" s="9"/>
      <c r="BD103" s="5" t="str">
        <f t="shared" si="611"/>
        <v/>
      </c>
      <c r="BE103" s="6" t="str">
        <f t="shared" si="537"/>
        <v/>
      </c>
      <c r="BF103" s="4" t="str">
        <f t="shared" si="538"/>
        <v/>
      </c>
      <c r="BG103" s="5" t="str">
        <f t="shared" si="539"/>
        <v/>
      </c>
      <c r="BH103" s="10" t="str">
        <f t="shared" si="540"/>
        <v/>
      </c>
      <c r="BI103" s="9" t="str">
        <f t="shared" si="634"/>
        <v/>
      </c>
      <c r="BJ103" s="5" t="str">
        <f t="shared" si="541"/>
        <v/>
      </c>
      <c r="BK103" s="8" t="str">
        <f t="shared" si="542"/>
        <v/>
      </c>
      <c r="BL103" s="173" t="str">
        <f t="shared" si="543"/>
        <v/>
      </c>
      <c r="BM103" s="5" t="str">
        <f t="shared" si="544"/>
        <v/>
      </c>
      <c r="BN103" s="6" t="str">
        <f t="shared" si="545"/>
        <v/>
      </c>
      <c r="BO103" s="4" t="str">
        <f t="shared" si="635"/>
        <v/>
      </c>
      <c r="BP103" s="5" t="str">
        <f t="shared" si="734"/>
        <v/>
      </c>
      <c r="BQ103" s="5" t="str">
        <f t="shared" si="636"/>
        <v/>
      </c>
      <c r="BR103" s="6" t="str">
        <f t="shared" si="637"/>
        <v/>
      </c>
      <c r="BS103" s="4" t="str">
        <f t="shared" si="612"/>
        <v/>
      </c>
      <c r="BT103" s="5" t="str">
        <f t="shared" si="612"/>
        <v/>
      </c>
      <c r="BU103" s="10" t="str">
        <f t="shared" si="613"/>
        <v/>
      </c>
      <c r="BV103" s="9" t="str">
        <f t="shared" si="614"/>
        <v/>
      </c>
      <c r="BW103" s="5" t="str">
        <f t="shared" si="615"/>
        <v/>
      </c>
      <c r="BX103" s="8" t="str">
        <f t="shared" si="616"/>
        <v/>
      </c>
      <c r="BY103" s="173" t="str">
        <f t="shared" si="617"/>
        <v/>
      </c>
      <c r="BZ103" s="5" t="str">
        <f t="shared" si="618"/>
        <v/>
      </c>
      <c r="CA103" s="6" t="str">
        <f t="shared" si="619"/>
        <v/>
      </c>
      <c r="CB103" s="4" t="str">
        <f t="shared" si="638"/>
        <v/>
      </c>
      <c r="CC103" s="5" t="str">
        <f t="shared" si="639"/>
        <v/>
      </c>
      <c r="CD103" s="5" t="str">
        <f t="shared" si="640"/>
        <v/>
      </c>
      <c r="CE103" s="6" t="str">
        <f t="shared" si="641"/>
        <v/>
      </c>
      <c r="CF103" s="4" t="str">
        <f t="shared" si="642"/>
        <v/>
      </c>
      <c r="CG103" s="5" t="str">
        <f t="shared" si="643"/>
        <v/>
      </c>
      <c r="CH103" s="5" t="str">
        <f t="shared" si="644"/>
        <v/>
      </c>
      <c r="CI103" s="4" t="str">
        <f t="shared" si="620"/>
        <v/>
      </c>
      <c r="CJ103" s="5" t="str">
        <f t="shared" si="621"/>
        <v/>
      </c>
      <c r="CK103" s="8" t="str">
        <f t="shared" si="622"/>
        <v/>
      </c>
      <c r="CL103" s="173" t="str">
        <f t="shared" si="623"/>
        <v/>
      </c>
      <c r="CM103" s="5" t="str">
        <f t="shared" si="624"/>
        <v/>
      </c>
      <c r="CN103" s="6" t="str">
        <f t="shared" si="625"/>
        <v/>
      </c>
      <c r="CO103" s="167" t="str">
        <f t="shared" si="546"/>
        <v/>
      </c>
      <c r="CP103" s="4" t="str">
        <f t="shared" si="645"/>
        <v/>
      </c>
      <c r="CQ103" s="5" t="str">
        <f t="shared" si="646"/>
        <v/>
      </c>
      <c r="CR103" s="5" t="str">
        <f t="shared" si="647"/>
        <v/>
      </c>
      <c r="CS103" s="8" t="str">
        <f t="shared" si="648"/>
        <v/>
      </c>
      <c r="CT103" s="9" t="str">
        <f t="shared" si="649"/>
        <v/>
      </c>
      <c r="CU103" s="6" t="str">
        <f t="shared" si="650"/>
        <v/>
      </c>
      <c r="CV103" s="4" t="str">
        <f t="shared" si="651"/>
        <v/>
      </c>
      <c r="CW103" s="5" t="str">
        <f t="shared" si="652"/>
        <v/>
      </c>
      <c r="CX103" s="8" t="str">
        <f t="shared" si="653"/>
        <v/>
      </c>
      <c r="CY103" s="9" t="str">
        <f t="shared" si="654"/>
        <v/>
      </c>
      <c r="CZ103" s="5" t="str">
        <f t="shared" si="655"/>
        <v/>
      </c>
      <c r="DA103" s="6" t="str">
        <f t="shared" si="656"/>
        <v/>
      </c>
      <c r="DB103" s="4" t="str">
        <f t="shared" si="657"/>
        <v/>
      </c>
      <c r="DC103" s="5" t="str">
        <f t="shared" si="657"/>
        <v/>
      </c>
      <c r="DD103" s="10" t="str">
        <f t="shared" si="658"/>
        <v/>
      </c>
      <c r="DE103" s="9" t="str">
        <f t="shared" si="659"/>
        <v/>
      </c>
      <c r="DF103" s="5" t="str">
        <f t="shared" si="659"/>
        <v/>
      </c>
      <c r="DG103" s="10" t="str">
        <f t="shared" si="660"/>
        <v/>
      </c>
      <c r="DH103" s="70" t="str">
        <f t="shared" si="661"/>
        <v/>
      </c>
      <c r="DI103" s="4" t="str">
        <f t="shared" si="662"/>
        <v/>
      </c>
      <c r="DJ103" s="5" t="str">
        <f t="shared" si="663"/>
        <v/>
      </c>
      <c r="DK103" s="10" t="str">
        <f t="shared" si="664"/>
        <v/>
      </c>
      <c r="DL103" s="9" t="str">
        <f t="shared" si="665"/>
        <v/>
      </c>
      <c r="DM103" s="173" t="str">
        <f t="shared" si="666"/>
        <v/>
      </c>
      <c r="DN103" s="178" t="str">
        <f t="shared" si="667"/>
        <v/>
      </c>
      <c r="DO103" s="9" t="str">
        <f t="shared" si="668"/>
        <v/>
      </c>
      <c r="DP103" s="173" t="str">
        <f t="shared" si="669"/>
        <v/>
      </c>
      <c r="DQ103" s="11" t="str">
        <f t="shared" si="670"/>
        <v/>
      </c>
      <c r="DR103" s="173" t="str">
        <f t="shared" si="671"/>
        <v/>
      </c>
      <c r="DS103" s="5" t="str">
        <f t="shared" si="672"/>
        <v/>
      </c>
      <c r="DT103" s="5" t="str">
        <f t="shared" si="673"/>
        <v/>
      </c>
      <c r="DU103" s="5" t="str">
        <f t="shared" si="674"/>
        <v/>
      </c>
      <c r="DV103" s="5" t="str">
        <f t="shared" si="675"/>
        <v/>
      </c>
      <c r="DW103" s="5" t="str">
        <f t="shared" si="676"/>
        <v/>
      </c>
      <c r="DX103" s="167" t="str">
        <f t="shared" si="677"/>
        <v/>
      </c>
      <c r="DY103" s="9" t="str">
        <f t="shared" si="678"/>
        <v/>
      </c>
      <c r="DZ103" s="5" t="str">
        <f t="shared" si="679"/>
        <v/>
      </c>
      <c r="EA103" s="10" t="str">
        <f t="shared" si="680"/>
        <v/>
      </c>
      <c r="EB103" s="6" t="str">
        <f t="shared" si="681"/>
        <v/>
      </c>
      <c r="EC103" s="173" t="str">
        <f t="shared" si="682"/>
        <v/>
      </c>
      <c r="ED103" s="5" t="str">
        <f t="shared" si="683"/>
        <v/>
      </c>
      <c r="EE103" s="4" t="str">
        <f t="shared" si="684"/>
        <v/>
      </c>
      <c r="EF103" s="5" t="str">
        <f t="shared" si="685"/>
        <v/>
      </c>
      <c r="EG103" s="10" t="str">
        <f t="shared" si="686"/>
        <v/>
      </c>
      <c r="EH103" s="9" t="str">
        <f t="shared" si="687"/>
        <v/>
      </c>
      <c r="EI103" s="5" t="str">
        <f t="shared" si="688"/>
        <v/>
      </c>
      <c r="EJ103" s="6" t="str">
        <f t="shared" si="689"/>
        <v/>
      </c>
      <c r="EK103" s="236" t="str">
        <f t="shared" si="690"/>
        <v/>
      </c>
      <c r="EL103" s="238" t="str">
        <f t="shared" si="691"/>
        <v/>
      </c>
      <c r="EM103" s="4" t="str">
        <f t="shared" si="692"/>
        <v/>
      </c>
      <c r="EN103" s="5" t="str">
        <f t="shared" si="693"/>
        <v/>
      </c>
      <c r="EO103" s="10" t="str">
        <f t="shared" si="694"/>
        <v/>
      </c>
      <c r="EP103" s="9" t="str">
        <f t="shared" si="695"/>
        <v/>
      </c>
      <c r="EQ103" s="5" t="str">
        <f t="shared" si="696"/>
        <v/>
      </c>
      <c r="ER103" s="7" t="str">
        <f t="shared" si="697"/>
        <v/>
      </c>
      <c r="ES103" s="21" t="str">
        <f t="shared" si="547"/>
        <v/>
      </c>
      <c r="ET103" s="5" t="str">
        <f t="shared" si="548"/>
        <v/>
      </c>
      <c r="EU103" s="10" t="str">
        <f t="shared" si="549"/>
        <v/>
      </c>
      <c r="EV103" s="174" t="str">
        <f t="shared" si="550"/>
        <v/>
      </c>
      <c r="EW103" s="9" t="str">
        <f t="shared" si="551"/>
        <v/>
      </c>
      <c r="EX103" s="5" t="str">
        <f t="shared" si="552"/>
        <v/>
      </c>
      <c r="EY103" s="6" t="str">
        <f t="shared" si="698"/>
        <v/>
      </c>
      <c r="EZ103" s="51" t="str">
        <f t="shared" si="699"/>
        <v/>
      </c>
      <c r="FA103" s="173" t="str">
        <f t="shared" si="553"/>
        <v/>
      </c>
      <c r="FB103" s="5" t="str">
        <f t="shared" si="554"/>
        <v/>
      </c>
      <c r="FC103" s="6" t="str">
        <f t="shared" si="555"/>
        <v/>
      </c>
      <c r="FD103" s="4" t="str">
        <f t="shared" si="556"/>
        <v/>
      </c>
      <c r="FE103" s="5" t="str">
        <f t="shared" si="557"/>
        <v/>
      </c>
      <c r="FF103" s="7" t="str">
        <f t="shared" si="700"/>
        <v/>
      </c>
      <c r="FG103" s="173" t="str">
        <f t="shared" si="558"/>
        <v/>
      </c>
      <c r="FH103" s="5" t="str">
        <f t="shared" si="559"/>
        <v/>
      </c>
      <c r="FI103" s="10" t="str">
        <f t="shared" si="560"/>
        <v/>
      </c>
      <c r="FJ103" s="279" t="str">
        <f t="shared" si="701"/>
        <v/>
      </c>
      <c r="FK103" s="4" t="str">
        <f t="shared" si="561"/>
        <v/>
      </c>
      <c r="FL103" s="5" t="str">
        <f t="shared" si="626"/>
        <v/>
      </c>
      <c r="FM103" s="8" t="str">
        <f t="shared" si="627"/>
        <v/>
      </c>
      <c r="FN103" s="9" t="str">
        <f t="shared" si="628"/>
        <v/>
      </c>
      <c r="FO103" s="10" t="str">
        <f t="shared" si="562"/>
        <v/>
      </c>
      <c r="FP103" s="277" t="str">
        <f t="shared" si="629"/>
        <v/>
      </c>
      <c r="FQ103" s="173" t="str">
        <f t="shared" si="702"/>
        <v/>
      </c>
      <c r="FR103" s="10" t="str">
        <f t="shared" si="703"/>
        <v/>
      </c>
      <c r="FS103" s="9" t="str">
        <f t="shared" si="704"/>
        <v/>
      </c>
      <c r="FT103" s="6" t="str">
        <f t="shared" si="705"/>
        <v/>
      </c>
      <c r="FU103" s="4" t="str">
        <f t="shared" si="706"/>
        <v/>
      </c>
      <c r="FV103" s="5" t="str">
        <f t="shared" si="707"/>
        <v/>
      </c>
      <c r="FW103" s="8" t="str">
        <f t="shared" si="708"/>
        <v/>
      </c>
      <c r="FX103" s="9" t="str">
        <f t="shared" si="709"/>
        <v/>
      </c>
      <c r="FY103" s="10" t="str">
        <f t="shared" si="563"/>
        <v/>
      </c>
      <c r="FZ103" s="277" t="str">
        <f t="shared" si="710"/>
        <v/>
      </c>
      <c r="GA103" s="177" t="str">
        <f t="shared" si="711"/>
        <v/>
      </c>
      <c r="GB103" s="4" t="str">
        <f t="shared" si="712"/>
        <v/>
      </c>
      <c r="GC103" s="5" t="str">
        <f t="shared" si="713"/>
        <v/>
      </c>
      <c r="GD103" s="10" t="str">
        <f t="shared" si="714"/>
        <v/>
      </c>
      <c r="GE103" s="311" t="str">
        <f t="shared" si="715"/>
        <v/>
      </c>
      <c r="GF103" s="341" t="str">
        <f t="shared" si="716"/>
        <v/>
      </c>
      <c r="GG103" s="285" t="str">
        <f t="shared" si="564"/>
        <v/>
      </c>
      <c r="GH103" s="286" t="str">
        <f t="shared" si="565"/>
        <v/>
      </c>
      <c r="GI103" s="281" t="str">
        <f t="shared" si="566"/>
        <v/>
      </c>
      <c r="GJ103" s="167" t="str">
        <f t="shared" si="717"/>
        <v/>
      </c>
      <c r="GK103" s="174" t="str">
        <f t="shared" si="567"/>
        <v/>
      </c>
      <c r="GL103" s="174" t="str">
        <f t="shared" si="718"/>
        <v/>
      </c>
      <c r="GM103" s="177" t="str">
        <f t="shared" si="719"/>
        <v/>
      </c>
      <c r="GN103" s="280" t="str">
        <f t="shared" si="720"/>
        <v/>
      </c>
      <c r="GO103" s="4" t="str">
        <f t="shared" si="721"/>
        <v/>
      </c>
      <c r="GP103" s="8" t="str">
        <f t="shared" si="722"/>
        <v/>
      </c>
      <c r="GQ103" s="177" t="str">
        <f t="shared" si="723"/>
        <v/>
      </c>
      <c r="GR103" s="371" t="str">
        <f t="shared" si="724"/>
        <v/>
      </c>
      <c r="GS103" s="342" t="str">
        <f t="shared" si="568"/>
        <v/>
      </c>
      <c r="GT103" s="343" t="str">
        <f t="shared" si="569"/>
        <v/>
      </c>
      <c r="GU103" s="344" t="str">
        <f t="shared" si="570"/>
        <v/>
      </c>
      <c r="GV103" s="343" t="str">
        <f t="shared" si="725"/>
        <v/>
      </c>
      <c r="GW103" s="345" t="str">
        <f t="shared" si="571"/>
        <v/>
      </c>
      <c r="GX103" s="346" t="str">
        <f t="shared" si="572"/>
        <v/>
      </c>
      <c r="GY103" s="344" t="str">
        <f t="shared" si="573"/>
        <v/>
      </c>
      <c r="GZ103" s="345" t="str">
        <f t="shared" si="574"/>
        <v/>
      </c>
      <c r="HA103" s="342" t="str">
        <f t="shared" si="575"/>
        <v/>
      </c>
      <c r="HB103" s="5" t="str">
        <f t="shared" si="726"/>
        <v/>
      </c>
      <c r="HC103" s="343" t="str">
        <f t="shared" si="727"/>
        <v/>
      </c>
      <c r="HD103" s="363" t="str">
        <f t="shared" si="728"/>
        <v/>
      </c>
      <c r="HE103" s="344" t="str">
        <f t="shared" si="576"/>
        <v/>
      </c>
      <c r="HF103" s="5" t="str">
        <f t="shared" si="577"/>
        <v/>
      </c>
      <c r="HG103" s="343" t="str">
        <f t="shared" si="729"/>
        <v/>
      </c>
      <c r="HH103" s="349" t="str">
        <f t="shared" si="730"/>
        <v/>
      </c>
      <c r="HI103" s="317" t="str">
        <f t="shared" si="578"/>
        <v/>
      </c>
      <c r="HK103" s="310" t="str">
        <f t="shared" si="630"/>
        <v/>
      </c>
      <c r="HL103" s="348" t="str">
        <f t="shared" si="579"/>
        <v/>
      </c>
      <c r="HM103" s="909" t="str">
        <f t="shared" si="580"/>
        <v/>
      </c>
      <c r="HN103" s="910" t="str">
        <f t="shared" si="581"/>
        <v/>
      </c>
      <c r="HO103" s="911"/>
      <c r="HP103" s="912"/>
      <c r="HQ103" s="910" t="str">
        <f t="shared" si="582"/>
        <v/>
      </c>
      <c r="HR103" s="913" t="str">
        <f t="shared" si="583"/>
        <v/>
      </c>
      <c r="HS103" s="865" t="str">
        <f t="shared" si="631"/>
        <v/>
      </c>
      <c r="HT103" s="875" t="str">
        <f t="shared" si="584"/>
        <v/>
      </c>
      <c r="HU103" s="876" t="str">
        <f t="shared" si="585"/>
        <v/>
      </c>
      <c r="HV103" s="872" t="str">
        <f t="shared" si="586"/>
        <v/>
      </c>
      <c r="HW103" s="866" t="str">
        <f t="shared" si="587"/>
        <v/>
      </c>
      <c r="HX103" s="867" t="str">
        <f t="shared" si="588"/>
        <v/>
      </c>
      <c r="HY103" s="866" t="str">
        <f t="shared" si="589"/>
        <v/>
      </c>
      <c r="HZ103" s="868" t="str">
        <f t="shared" si="590"/>
        <v/>
      </c>
      <c r="IA103" s="869" t="str">
        <f t="shared" si="591"/>
        <v/>
      </c>
      <c r="IB103" s="870" t="str">
        <f t="shared" si="592"/>
        <v/>
      </c>
      <c r="IC103" s="841" t="str">
        <f t="shared" si="593"/>
        <v/>
      </c>
      <c r="ID103" s="351" t="str">
        <f t="shared" si="594"/>
        <v/>
      </c>
      <c r="IE103" s="843" t="str">
        <f t="shared" si="595"/>
        <v/>
      </c>
      <c r="IF103" s="844"/>
      <c r="IG103" s="790" t="str">
        <f>IFERROR(IF($IW103="","",IF($IW103&lt;(((Settings!$C$19/2)*-1)*$IG$8),"Taper","Nose")),"")</f>
        <v/>
      </c>
      <c r="IH103" s="482" t="str">
        <f>IFERROR(IF((((($IY103*COS(RADIANS(180-$JA103)))*COS(RADIANS($JA103)))-(($IZ103*SIN(RADIANS(180-$JA103)))*SIN(RADIANS($JA103))))+$IW103)&lt;(((Settings!$C$19+$IH$8)/2)*-1),"Gage",""),"")</f>
        <v/>
      </c>
      <c r="II103" s="788" t="str">
        <f t="shared" si="731"/>
        <v/>
      </c>
      <c r="IJ103" s="674" t="str" cm="1">
        <f t="array" ref="IJ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K103" s="677" t="str" cm="1">
        <f t="array" ref="IK103">IFERROR(ROUND(VALUE(IF($IJ103&lt;1,$IJ103+LARGE((IF($M$9:$M$150="",0,$M$9:$M$150)-MOD(IF($M$9:$M$150="",0,$M$9:$M$150),1)),1),$IJ103)),4),"")</f>
        <v/>
      </c>
      <c r="IL103" s="482" t="str">
        <f t="shared" si="596"/>
        <v/>
      </c>
      <c r="IM103" s="482" t="str">
        <f t="shared" si="732"/>
        <v/>
      </c>
      <c r="IN103" s="670" t="str">
        <f t="shared" si="597"/>
        <v/>
      </c>
      <c r="IO103" s="702"/>
      <c r="IP103" s="5" t="str">
        <f t="shared" si="598"/>
        <v/>
      </c>
      <c r="IQ103" s="714"/>
      <c r="IR103" s="9" t="str">
        <f t="shared" si="599"/>
        <v/>
      </c>
      <c r="IS103" s="5" t="str">
        <f t="shared" si="600"/>
        <v/>
      </c>
      <c r="IT103" s="5" t="str">
        <f t="shared" si="601"/>
        <v/>
      </c>
      <c r="IU103" s="5" t="str">
        <f t="shared" si="602"/>
        <v/>
      </c>
      <c r="IV103" s="670" t="str">
        <f t="shared" si="603"/>
        <v/>
      </c>
      <c r="IW103" s="9" t="str">
        <f t="shared" si="604"/>
        <v/>
      </c>
      <c r="IX103" s="5" t="str">
        <f t="shared" si="605"/>
        <v/>
      </c>
      <c r="IY103" s="5" t="str">
        <f t="shared" si="606"/>
        <v/>
      </c>
      <c r="IZ103" s="5" t="str">
        <f t="shared" si="607"/>
        <v/>
      </c>
      <c r="JA103" s="705" t="str">
        <f t="shared" si="608"/>
        <v/>
      </c>
    </row>
    <row r="104" spans="1:261" ht="15" customHeight="1" x14ac:dyDescent="0.25">
      <c r="A104" s="75" t="str">
        <f t="shared" si="256"/>
        <v/>
      </c>
      <c r="B104" s="578" t="str">
        <f t="shared" si="515"/>
        <v/>
      </c>
      <c r="C104" s="572" t="str">
        <f t="shared" si="516"/>
        <v/>
      </c>
      <c r="D104" s="576" t="str">
        <f t="shared" si="517"/>
        <v/>
      </c>
      <c r="E104" s="580" t="str">
        <f t="shared" si="518"/>
        <v/>
      </c>
      <c r="F104" s="572" t="str">
        <f t="shared" si="519"/>
        <v/>
      </c>
      <c r="G104" s="579" t="str">
        <f t="shared" si="520"/>
        <v/>
      </c>
      <c r="H104" s="580" t="str">
        <f t="shared" si="521"/>
        <v/>
      </c>
      <c r="I104" s="572" t="str">
        <f t="shared" si="522"/>
        <v/>
      </c>
      <c r="J104" s="483" t="str">
        <f t="shared" si="523"/>
        <v/>
      </c>
      <c r="K104" s="806" t="str">
        <f t="shared" si="524"/>
        <v/>
      </c>
      <c r="L104" s="309"/>
      <c r="M104" s="164" t="str">
        <f t="shared" si="526"/>
        <v/>
      </c>
      <c r="N104" s="575" t="str">
        <f t="shared" si="527"/>
        <v/>
      </c>
      <c r="O104" s="572" t="str">
        <f t="shared" si="528"/>
        <v/>
      </c>
      <c r="P104" s="576" t="str">
        <f t="shared" si="529"/>
        <v/>
      </c>
      <c r="Q104" s="528" t="str">
        <f t="shared" si="609"/>
        <v/>
      </c>
      <c r="R104" s="572" t="str">
        <f t="shared" si="101"/>
        <v/>
      </c>
      <c r="S104" s="577" t="str">
        <f t="shared" si="102"/>
        <v/>
      </c>
      <c r="T104" s="578" t="str">
        <f t="shared" si="103"/>
        <v/>
      </c>
      <c r="U104" s="572" t="str">
        <f t="shared" si="104"/>
        <v/>
      </c>
      <c r="V104" s="579" t="str">
        <f t="shared" si="141"/>
        <v/>
      </c>
      <c r="W104" s="528" t="str">
        <f t="shared" si="735"/>
        <v/>
      </c>
      <c r="X104" s="572" t="str">
        <f t="shared" si="105"/>
        <v/>
      </c>
      <c r="Y104" s="573" t="str">
        <f t="shared" si="733"/>
        <v/>
      </c>
      <c r="Z104" s="575" t="str">
        <f t="shared" si="530"/>
        <v/>
      </c>
      <c r="AA104" s="572" t="str">
        <f t="shared" si="531"/>
        <v/>
      </c>
      <c r="AB104" s="572" t="str">
        <f t="shared" si="532"/>
        <v/>
      </c>
      <c r="AC104" s="579" t="str">
        <f t="shared" si="106"/>
        <v/>
      </c>
      <c r="AD104" s="580" t="str">
        <f t="shared" si="142"/>
        <v/>
      </c>
      <c r="AE104" s="572" t="str">
        <f t="shared" si="107"/>
        <v/>
      </c>
      <c r="AF104" s="576" t="str">
        <f t="shared" si="108"/>
        <v/>
      </c>
      <c r="AG104" s="545" t="str">
        <f t="shared" si="109"/>
        <v/>
      </c>
      <c r="AH104" s="546" t="str">
        <f t="shared" si="110"/>
        <v/>
      </c>
      <c r="AI104" s="528" t="str">
        <f t="shared" si="111"/>
        <v/>
      </c>
      <c r="AJ104" s="529" t="str">
        <f t="shared" si="112"/>
        <v/>
      </c>
      <c r="AK104" s="578" t="str">
        <f t="shared" si="238"/>
        <v/>
      </c>
      <c r="AL104" s="572" t="str">
        <f t="shared" si="113"/>
        <v/>
      </c>
      <c r="AM104" s="577" t="str">
        <f t="shared" si="114"/>
        <v/>
      </c>
      <c r="AN104" s="524" t="str">
        <f t="shared" si="115"/>
        <v/>
      </c>
      <c r="AO104" s="525" t="str">
        <f t="shared" si="525"/>
        <v/>
      </c>
      <c r="AP104" s="528" t="str">
        <f t="shared" si="117"/>
        <v/>
      </c>
      <c r="AQ104" s="529" t="str">
        <f t="shared" si="533"/>
        <v/>
      </c>
      <c r="AS104" s="932" t="str">
        <f t="shared" si="632"/>
        <v/>
      </c>
      <c r="AT104" s="928" t="str">
        <f t="shared" si="534"/>
        <v/>
      </c>
      <c r="AU104" s="418"/>
      <c r="AV104" s="164" t="str">
        <f t="shared" si="535"/>
        <v/>
      </c>
      <c r="AW104" s="797" t="str">
        <f>IFERROR(INDEX(MassProp!C$9:C$150,MATCH($M104,MassProp!$B$9:$B$150,0)),"")</f>
        <v/>
      </c>
      <c r="AX104" s="744" t="str">
        <f>IFERROR(INDEX(MassProp!D$9:D$150,MATCH($M104,MassProp!$B$9:$B$150,0)),"")</f>
        <v/>
      </c>
      <c r="AY104" s="731" t="str">
        <f>IFERROR(INDEX(MassProp!E$9:E$150,MATCH($M104,MassProp!$B$9:$B$150,0)),"")</f>
        <v/>
      </c>
      <c r="AZ104" s="297" t="str">
        <f t="shared" si="633"/>
        <v/>
      </c>
      <c r="BA104" s="296" t="str">
        <f t="shared" si="536"/>
        <v/>
      </c>
      <c r="BB104" s="177" t="str">
        <f t="shared" si="610"/>
        <v/>
      </c>
      <c r="BC104" s="9"/>
      <c r="BD104" s="5" t="str">
        <f t="shared" si="611"/>
        <v/>
      </c>
      <c r="BE104" s="6" t="str">
        <f t="shared" si="537"/>
        <v/>
      </c>
      <c r="BF104" s="4" t="str">
        <f t="shared" si="538"/>
        <v/>
      </c>
      <c r="BG104" s="5" t="str">
        <f t="shared" si="539"/>
        <v/>
      </c>
      <c r="BH104" s="10" t="str">
        <f t="shared" si="540"/>
        <v/>
      </c>
      <c r="BI104" s="9" t="str">
        <f t="shared" si="634"/>
        <v/>
      </c>
      <c r="BJ104" s="5" t="str">
        <f t="shared" si="541"/>
        <v/>
      </c>
      <c r="BK104" s="8" t="str">
        <f t="shared" si="542"/>
        <v/>
      </c>
      <c r="BL104" s="173" t="str">
        <f t="shared" si="543"/>
        <v/>
      </c>
      <c r="BM104" s="5" t="str">
        <f t="shared" si="544"/>
        <v/>
      </c>
      <c r="BN104" s="6" t="str">
        <f t="shared" si="545"/>
        <v/>
      </c>
      <c r="BO104" s="4" t="str">
        <f t="shared" si="635"/>
        <v/>
      </c>
      <c r="BP104" s="5" t="str">
        <f t="shared" si="734"/>
        <v/>
      </c>
      <c r="BQ104" s="5" t="str">
        <f t="shared" si="636"/>
        <v/>
      </c>
      <c r="BR104" s="6" t="str">
        <f t="shared" si="637"/>
        <v/>
      </c>
      <c r="BS104" s="4" t="str">
        <f t="shared" si="612"/>
        <v/>
      </c>
      <c r="BT104" s="5" t="str">
        <f t="shared" si="612"/>
        <v/>
      </c>
      <c r="BU104" s="10" t="str">
        <f t="shared" si="613"/>
        <v/>
      </c>
      <c r="BV104" s="9" t="str">
        <f t="shared" si="614"/>
        <v/>
      </c>
      <c r="BW104" s="5" t="str">
        <f t="shared" si="615"/>
        <v/>
      </c>
      <c r="BX104" s="8" t="str">
        <f t="shared" si="616"/>
        <v/>
      </c>
      <c r="BY104" s="173" t="str">
        <f t="shared" si="617"/>
        <v/>
      </c>
      <c r="BZ104" s="5" t="str">
        <f t="shared" si="618"/>
        <v/>
      </c>
      <c r="CA104" s="6" t="str">
        <f t="shared" si="619"/>
        <v/>
      </c>
      <c r="CB104" s="4" t="str">
        <f t="shared" si="638"/>
        <v/>
      </c>
      <c r="CC104" s="5" t="str">
        <f t="shared" si="639"/>
        <v/>
      </c>
      <c r="CD104" s="5" t="str">
        <f t="shared" si="640"/>
        <v/>
      </c>
      <c r="CE104" s="6" t="str">
        <f t="shared" si="641"/>
        <v/>
      </c>
      <c r="CF104" s="4" t="str">
        <f t="shared" si="642"/>
        <v/>
      </c>
      <c r="CG104" s="5" t="str">
        <f t="shared" si="643"/>
        <v/>
      </c>
      <c r="CH104" s="5" t="str">
        <f t="shared" si="644"/>
        <v/>
      </c>
      <c r="CI104" s="4" t="str">
        <f t="shared" si="620"/>
        <v/>
      </c>
      <c r="CJ104" s="5" t="str">
        <f t="shared" si="621"/>
        <v/>
      </c>
      <c r="CK104" s="8" t="str">
        <f t="shared" si="622"/>
        <v/>
      </c>
      <c r="CL104" s="173" t="str">
        <f t="shared" si="623"/>
        <v/>
      </c>
      <c r="CM104" s="5" t="str">
        <f t="shared" si="624"/>
        <v/>
      </c>
      <c r="CN104" s="6" t="str">
        <f t="shared" si="625"/>
        <v/>
      </c>
      <c r="CO104" s="167" t="str">
        <f t="shared" si="546"/>
        <v/>
      </c>
      <c r="CP104" s="4" t="str">
        <f t="shared" si="645"/>
        <v/>
      </c>
      <c r="CQ104" s="5" t="str">
        <f t="shared" si="646"/>
        <v/>
      </c>
      <c r="CR104" s="5" t="str">
        <f t="shared" si="647"/>
        <v/>
      </c>
      <c r="CS104" s="8" t="str">
        <f t="shared" si="648"/>
        <v/>
      </c>
      <c r="CT104" s="9" t="str">
        <f t="shared" si="649"/>
        <v/>
      </c>
      <c r="CU104" s="6" t="str">
        <f t="shared" si="650"/>
        <v/>
      </c>
      <c r="CV104" s="4" t="str">
        <f t="shared" si="651"/>
        <v/>
      </c>
      <c r="CW104" s="5" t="str">
        <f t="shared" si="652"/>
        <v/>
      </c>
      <c r="CX104" s="8" t="str">
        <f t="shared" si="653"/>
        <v/>
      </c>
      <c r="CY104" s="9" t="str">
        <f t="shared" si="654"/>
        <v/>
      </c>
      <c r="CZ104" s="5" t="str">
        <f t="shared" si="655"/>
        <v/>
      </c>
      <c r="DA104" s="6" t="str">
        <f t="shared" si="656"/>
        <v/>
      </c>
      <c r="DB104" s="4" t="str">
        <f t="shared" si="657"/>
        <v/>
      </c>
      <c r="DC104" s="5" t="str">
        <f t="shared" si="657"/>
        <v/>
      </c>
      <c r="DD104" s="10" t="str">
        <f t="shared" si="658"/>
        <v/>
      </c>
      <c r="DE104" s="9" t="str">
        <f t="shared" si="659"/>
        <v/>
      </c>
      <c r="DF104" s="5" t="str">
        <f t="shared" si="659"/>
        <v/>
      </c>
      <c r="DG104" s="10" t="str">
        <f t="shared" si="660"/>
        <v/>
      </c>
      <c r="DH104" s="70" t="str">
        <f t="shared" si="661"/>
        <v/>
      </c>
      <c r="DI104" s="4" t="str">
        <f t="shared" si="662"/>
        <v/>
      </c>
      <c r="DJ104" s="5" t="str">
        <f t="shared" si="663"/>
        <v/>
      </c>
      <c r="DK104" s="10" t="str">
        <f t="shared" si="664"/>
        <v/>
      </c>
      <c r="DL104" s="9" t="str">
        <f t="shared" si="665"/>
        <v/>
      </c>
      <c r="DM104" s="173" t="str">
        <f t="shared" si="666"/>
        <v/>
      </c>
      <c r="DN104" s="178" t="str">
        <f t="shared" si="667"/>
        <v/>
      </c>
      <c r="DO104" s="9" t="str">
        <f t="shared" si="668"/>
        <v/>
      </c>
      <c r="DP104" s="173" t="str">
        <f t="shared" si="669"/>
        <v/>
      </c>
      <c r="DQ104" s="11" t="str">
        <f t="shared" si="670"/>
        <v/>
      </c>
      <c r="DR104" s="173" t="str">
        <f t="shared" si="671"/>
        <v/>
      </c>
      <c r="DS104" s="5" t="str">
        <f t="shared" si="672"/>
        <v/>
      </c>
      <c r="DT104" s="5" t="str">
        <f t="shared" si="673"/>
        <v/>
      </c>
      <c r="DU104" s="5" t="str">
        <f t="shared" si="674"/>
        <v/>
      </c>
      <c r="DV104" s="5" t="str">
        <f t="shared" si="675"/>
        <v/>
      </c>
      <c r="DW104" s="5" t="str">
        <f t="shared" si="676"/>
        <v/>
      </c>
      <c r="DX104" s="167" t="str">
        <f t="shared" si="677"/>
        <v/>
      </c>
      <c r="DY104" s="9" t="str">
        <f t="shared" si="678"/>
        <v/>
      </c>
      <c r="DZ104" s="5" t="str">
        <f t="shared" si="679"/>
        <v/>
      </c>
      <c r="EA104" s="10" t="str">
        <f t="shared" si="680"/>
        <v/>
      </c>
      <c r="EB104" s="6" t="str">
        <f t="shared" si="681"/>
        <v/>
      </c>
      <c r="EC104" s="173" t="str">
        <f t="shared" si="682"/>
        <v/>
      </c>
      <c r="ED104" s="5" t="str">
        <f t="shared" si="683"/>
        <v/>
      </c>
      <c r="EE104" s="4" t="str">
        <f t="shared" si="684"/>
        <v/>
      </c>
      <c r="EF104" s="5" t="str">
        <f t="shared" si="685"/>
        <v/>
      </c>
      <c r="EG104" s="10" t="str">
        <f t="shared" si="686"/>
        <v/>
      </c>
      <c r="EH104" s="9" t="str">
        <f t="shared" si="687"/>
        <v/>
      </c>
      <c r="EI104" s="5" t="str">
        <f t="shared" si="688"/>
        <v/>
      </c>
      <c r="EJ104" s="6" t="str">
        <f t="shared" si="689"/>
        <v/>
      </c>
      <c r="EK104" s="236" t="str">
        <f t="shared" si="690"/>
        <v/>
      </c>
      <c r="EL104" s="238" t="str">
        <f t="shared" si="691"/>
        <v/>
      </c>
      <c r="EM104" s="4" t="str">
        <f t="shared" si="692"/>
        <v/>
      </c>
      <c r="EN104" s="5" t="str">
        <f t="shared" si="693"/>
        <v/>
      </c>
      <c r="EO104" s="10" t="str">
        <f t="shared" si="694"/>
        <v/>
      </c>
      <c r="EP104" s="9" t="str">
        <f t="shared" si="695"/>
        <v/>
      </c>
      <c r="EQ104" s="5" t="str">
        <f t="shared" si="696"/>
        <v/>
      </c>
      <c r="ER104" s="7" t="str">
        <f t="shared" si="697"/>
        <v/>
      </c>
      <c r="ES104" s="21" t="str">
        <f t="shared" si="547"/>
        <v/>
      </c>
      <c r="ET104" s="5" t="str">
        <f t="shared" si="548"/>
        <v/>
      </c>
      <c r="EU104" s="10" t="str">
        <f t="shared" si="549"/>
        <v/>
      </c>
      <c r="EV104" s="174" t="str">
        <f t="shared" si="550"/>
        <v/>
      </c>
      <c r="EW104" s="9" t="str">
        <f t="shared" si="551"/>
        <v/>
      </c>
      <c r="EX104" s="5" t="str">
        <f t="shared" si="552"/>
        <v/>
      </c>
      <c r="EY104" s="6" t="str">
        <f t="shared" si="698"/>
        <v/>
      </c>
      <c r="EZ104" s="51" t="str">
        <f t="shared" si="699"/>
        <v/>
      </c>
      <c r="FA104" s="173" t="str">
        <f t="shared" si="553"/>
        <v/>
      </c>
      <c r="FB104" s="5" t="str">
        <f t="shared" si="554"/>
        <v/>
      </c>
      <c r="FC104" s="6" t="str">
        <f t="shared" si="555"/>
        <v/>
      </c>
      <c r="FD104" s="4" t="str">
        <f t="shared" si="556"/>
        <v/>
      </c>
      <c r="FE104" s="5" t="str">
        <f t="shared" si="557"/>
        <v/>
      </c>
      <c r="FF104" s="7" t="str">
        <f t="shared" si="700"/>
        <v/>
      </c>
      <c r="FG104" s="173" t="str">
        <f t="shared" si="558"/>
        <v/>
      </c>
      <c r="FH104" s="5" t="str">
        <f t="shared" si="559"/>
        <v/>
      </c>
      <c r="FI104" s="10" t="str">
        <f t="shared" si="560"/>
        <v/>
      </c>
      <c r="FJ104" s="279" t="str">
        <f t="shared" si="701"/>
        <v/>
      </c>
      <c r="FK104" s="4" t="str">
        <f t="shared" si="561"/>
        <v/>
      </c>
      <c r="FL104" s="5" t="str">
        <f t="shared" si="626"/>
        <v/>
      </c>
      <c r="FM104" s="8" t="str">
        <f t="shared" si="627"/>
        <v/>
      </c>
      <c r="FN104" s="9" t="str">
        <f t="shared" si="628"/>
        <v/>
      </c>
      <c r="FO104" s="10" t="str">
        <f t="shared" si="562"/>
        <v/>
      </c>
      <c r="FP104" s="277" t="str">
        <f t="shared" si="629"/>
        <v/>
      </c>
      <c r="FQ104" s="173" t="str">
        <f t="shared" si="702"/>
        <v/>
      </c>
      <c r="FR104" s="10" t="str">
        <f t="shared" si="703"/>
        <v/>
      </c>
      <c r="FS104" s="9" t="str">
        <f t="shared" si="704"/>
        <v/>
      </c>
      <c r="FT104" s="6" t="str">
        <f t="shared" si="705"/>
        <v/>
      </c>
      <c r="FU104" s="4" t="str">
        <f t="shared" si="706"/>
        <v/>
      </c>
      <c r="FV104" s="5" t="str">
        <f t="shared" si="707"/>
        <v/>
      </c>
      <c r="FW104" s="8" t="str">
        <f t="shared" si="708"/>
        <v/>
      </c>
      <c r="FX104" s="9" t="str">
        <f t="shared" si="709"/>
        <v/>
      </c>
      <c r="FY104" s="10" t="str">
        <f t="shared" si="563"/>
        <v/>
      </c>
      <c r="FZ104" s="277" t="str">
        <f t="shared" si="710"/>
        <v/>
      </c>
      <c r="GA104" s="177" t="str">
        <f t="shared" si="711"/>
        <v/>
      </c>
      <c r="GB104" s="4" t="str">
        <f t="shared" si="712"/>
        <v/>
      </c>
      <c r="GC104" s="5" t="str">
        <f t="shared" si="713"/>
        <v/>
      </c>
      <c r="GD104" s="10" t="str">
        <f t="shared" si="714"/>
        <v/>
      </c>
      <c r="GE104" s="311" t="str">
        <f t="shared" si="715"/>
        <v/>
      </c>
      <c r="GF104" s="341" t="str">
        <f t="shared" si="716"/>
        <v/>
      </c>
      <c r="GG104" s="285" t="str">
        <f t="shared" si="564"/>
        <v/>
      </c>
      <c r="GH104" s="286" t="str">
        <f t="shared" si="565"/>
        <v/>
      </c>
      <c r="GI104" s="281" t="str">
        <f t="shared" si="566"/>
        <v/>
      </c>
      <c r="GJ104" s="167" t="str">
        <f t="shared" si="717"/>
        <v/>
      </c>
      <c r="GK104" s="174" t="str">
        <f t="shared" si="567"/>
        <v/>
      </c>
      <c r="GL104" s="174" t="str">
        <f t="shared" si="718"/>
        <v/>
      </c>
      <c r="GM104" s="177" t="str">
        <f t="shared" si="719"/>
        <v/>
      </c>
      <c r="GN104" s="280" t="str">
        <f t="shared" si="720"/>
        <v/>
      </c>
      <c r="GO104" s="4" t="str">
        <f t="shared" si="721"/>
        <v/>
      </c>
      <c r="GP104" s="8" t="str">
        <f t="shared" si="722"/>
        <v/>
      </c>
      <c r="GQ104" s="177" t="str">
        <f t="shared" si="723"/>
        <v/>
      </c>
      <c r="GR104" s="371" t="str">
        <f t="shared" si="724"/>
        <v/>
      </c>
      <c r="GS104" s="342" t="str">
        <f t="shared" si="568"/>
        <v/>
      </c>
      <c r="GT104" s="343" t="str">
        <f t="shared" si="569"/>
        <v/>
      </c>
      <c r="GU104" s="344" t="str">
        <f t="shared" si="570"/>
        <v/>
      </c>
      <c r="GV104" s="343" t="str">
        <f t="shared" si="725"/>
        <v/>
      </c>
      <c r="GW104" s="345" t="str">
        <f t="shared" si="571"/>
        <v/>
      </c>
      <c r="GX104" s="346" t="str">
        <f t="shared" si="572"/>
        <v/>
      </c>
      <c r="GY104" s="344" t="str">
        <f t="shared" si="573"/>
        <v/>
      </c>
      <c r="GZ104" s="345" t="str">
        <f t="shared" si="574"/>
        <v/>
      </c>
      <c r="HA104" s="342" t="str">
        <f t="shared" si="575"/>
        <v/>
      </c>
      <c r="HB104" s="5" t="str">
        <f t="shared" si="726"/>
        <v/>
      </c>
      <c r="HC104" s="343" t="str">
        <f t="shared" si="727"/>
        <v/>
      </c>
      <c r="HD104" s="363" t="str">
        <f t="shared" si="728"/>
        <v/>
      </c>
      <c r="HE104" s="344" t="str">
        <f t="shared" si="576"/>
        <v/>
      </c>
      <c r="HF104" s="5" t="str">
        <f t="shared" si="577"/>
        <v/>
      </c>
      <c r="HG104" s="343" t="str">
        <f t="shared" si="729"/>
        <v/>
      </c>
      <c r="HH104" s="349" t="str">
        <f t="shared" si="730"/>
        <v/>
      </c>
      <c r="HI104" s="317" t="str">
        <f t="shared" si="578"/>
        <v/>
      </c>
      <c r="HK104" s="310" t="str">
        <f t="shared" si="630"/>
        <v/>
      </c>
      <c r="HL104" s="348" t="str">
        <f t="shared" si="579"/>
        <v/>
      </c>
      <c r="HM104" s="909" t="str">
        <f t="shared" si="580"/>
        <v/>
      </c>
      <c r="HN104" s="910" t="str">
        <f t="shared" si="581"/>
        <v/>
      </c>
      <c r="HO104" s="911"/>
      <c r="HP104" s="912"/>
      <c r="HQ104" s="910" t="str">
        <f t="shared" si="582"/>
        <v/>
      </c>
      <c r="HR104" s="913" t="str">
        <f t="shared" si="583"/>
        <v/>
      </c>
      <c r="HS104" s="865" t="str">
        <f t="shared" si="631"/>
        <v/>
      </c>
      <c r="HT104" s="875" t="str">
        <f t="shared" si="584"/>
        <v/>
      </c>
      <c r="HU104" s="876" t="str">
        <f t="shared" si="585"/>
        <v/>
      </c>
      <c r="HV104" s="872" t="str">
        <f t="shared" si="586"/>
        <v/>
      </c>
      <c r="HW104" s="866" t="str">
        <f t="shared" si="587"/>
        <v/>
      </c>
      <c r="HX104" s="867" t="str">
        <f t="shared" si="588"/>
        <v/>
      </c>
      <c r="HY104" s="866" t="str">
        <f t="shared" si="589"/>
        <v/>
      </c>
      <c r="HZ104" s="868" t="str">
        <f t="shared" si="590"/>
        <v/>
      </c>
      <c r="IA104" s="869" t="str">
        <f t="shared" si="591"/>
        <v/>
      </c>
      <c r="IB104" s="870" t="str">
        <f t="shared" si="592"/>
        <v/>
      </c>
      <c r="IC104" s="841" t="str">
        <f t="shared" si="593"/>
        <v/>
      </c>
      <c r="ID104" s="351" t="str">
        <f t="shared" si="594"/>
        <v/>
      </c>
      <c r="IE104" s="843" t="str">
        <f t="shared" si="595"/>
        <v/>
      </c>
      <c r="IF104" s="844"/>
      <c r="IG104" s="790" t="str">
        <f>IFERROR(IF($IW104="","",IF($IW104&lt;(((Settings!$C$19/2)*-1)*$IG$8),"Taper","Nose")),"")</f>
        <v/>
      </c>
      <c r="IH104" s="482" t="str">
        <f>IFERROR(IF((((($IY104*COS(RADIANS(180-$JA104)))*COS(RADIANS($JA104)))-(($IZ104*SIN(RADIANS(180-$JA104)))*SIN(RADIANS($JA104))))+$IW104)&lt;(((Settings!$C$19+$IH$8)/2)*-1),"Gage",""),"")</f>
        <v/>
      </c>
      <c r="II104" s="788" t="str">
        <f t="shared" si="731"/>
        <v/>
      </c>
      <c r="IJ104" s="674" t="str" cm="1">
        <f t="array" ref="IJ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K104" s="677" t="str" cm="1">
        <f t="array" ref="IK104">IFERROR(ROUND(VALUE(IF($IJ104&lt;1,$IJ104+LARGE((IF($M$9:$M$150="",0,$M$9:$M$150)-MOD(IF($M$9:$M$150="",0,$M$9:$M$150),1)),1),$IJ104)),4),"")</f>
        <v/>
      </c>
      <c r="IL104" s="482" t="str">
        <f t="shared" si="596"/>
        <v/>
      </c>
      <c r="IM104" s="482" t="str">
        <f t="shared" si="732"/>
        <v/>
      </c>
      <c r="IN104" s="670" t="str">
        <f t="shared" si="597"/>
        <v/>
      </c>
      <c r="IO104" s="702"/>
      <c r="IP104" s="5" t="str">
        <f t="shared" si="598"/>
        <v/>
      </c>
      <c r="IQ104" s="714"/>
      <c r="IR104" s="9" t="str">
        <f t="shared" si="599"/>
        <v/>
      </c>
      <c r="IS104" s="5" t="str">
        <f t="shared" si="600"/>
        <v/>
      </c>
      <c r="IT104" s="5" t="str">
        <f t="shared" si="601"/>
        <v/>
      </c>
      <c r="IU104" s="5" t="str">
        <f t="shared" si="602"/>
        <v/>
      </c>
      <c r="IV104" s="670" t="str">
        <f t="shared" si="603"/>
        <v/>
      </c>
      <c r="IW104" s="9" t="str">
        <f t="shared" si="604"/>
        <v/>
      </c>
      <c r="IX104" s="5" t="str">
        <f t="shared" si="605"/>
        <v/>
      </c>
      <c r="IY104" s="5" t="str">
        <f t="shared" si="606"/>
        <v/>
      </c>
      <c r="IZ104" s="5" t="str">
        <f t="shared" si="607"/>
        <v/>
      </c>
      <c r="JA104" s="705" t="str">
        <f t="shared" si="608"/>
        <v/>
      </c>
    </row>
    <row r="105" spans="1:261" ht="15" customHeight="1" x14ac:dyDescent="0.25">
      <c r="A105" s="75" t="str">
        <f t="shared" ref="A105:A150" si="736">IF($K105="","",IF(AND($A$8="Y",ISNUMBER($K105)),$A$5,0))</f>
        <v/>
      </c>
      <c r="B105" s="578" t="str">
        <f t="shared" si="515"/>
        <v/>
      </c>
      <c r="C105" s="572" t="str">
        <f t="shared" si="516"/>
        <v/>
      </c>
      <c r="D105" s="576" t="str">
        <f t="shared" si="517"/>
        <v/>
      </c>
      <c r="E105" s="580" t="str">
        <f t="shared" si="518"/>
        <v/>
      </c>
      <c r="F105" s="572" t="str">
        <f t="shared" si="519"/>
        <v/>
      </c>
      <c r="G105" s="579" t="str">
        <f t="shared" si="520"/>
        <v/>
      </c>
      <c r="H105" s="580" t="str">
        <f t="shared" si="521"/>
        <v/>
      </c>
      <c r="I105" s="572" t="str">
        <f t="shared" si="522"/>
        <v/>
      </c>
      <c r="J105" s="483" t="str">
        <f t="shared" si="523"/>
        <v/>
      </c>
      <c r="K105" s="806" t="str">
        <f t="shared" si="524"/>
        <v/>
      </c>
      <c r="L105" s="309"/>
      <c r="M105" s="164" t="str">
        <f t="shared" ref="M105:M136" si="737">IF(J105="","",VALUE(J105))</f>
        <v/>
      </c>
      <c r="N105" s="575" t="str">
        <f t="shared" ref="N105:N136" si="738">IF(M105="","",B105)</f>
        <v/>
      </c>
      <c r="O105" s="572" t="str">
        <f t="shared" ref="O105:O136" si="739">IF(M105="","",C105)</f>
        <v/>
      </c>
      <c r="P105" s="576" t="str">
        <f t="shared" ref="P105:P136" si="740">IF(M105="","",D105)</f>
        <v/>
      </c>
      <c r="Q105" s="528" t="str">
        <f t="shared" si="609"/>
        <v/>
      </c>
      <c r="R105" s="572" t="str">
        <f t="shared" si="101"/>
        <v/>
      </c>
      <c r="S105" s="577" t="str">
        <f t="shared" si="102"/>
        <v/>
      </c>
      <c r="T105" s="578" t="str">
        <f t="shared" si="103"/>
        <v/>
      </c>
      <c r="U105" s="572" t="str">
        <f t="shared" si="104"/>
        <v/>
      </c>
      <c r="V105" s="579" t="str">
        <f t="shared" si="141"/>
        <v/>
      </c>
      <c r="W105" s="528" t="str">
        <f t="shared" si="735"/>
        <v/>
      </c>
      <c r="X105" s="572" t="str">
        <f t="shared" si="105"/>
        <v/>
      </c>
      <c r="Y105" s="573" t="str">
        <f t="shared" si="733"/>
        <v/>
      </c>
      <c r="Z105" s="575" t="str">
        <f t="shared" ref="Z105:Z136" si="741">IF(M105="","",-E105)</f>
        <v/>
      </c>
      <c r="AA105" s="572" t="str">
        <f t="shared" ref="AA105:AA136" si="742">IF(M105="","",-F105)</f>
        <v/>
      </c>
      <c r="AB105" s="572" t="str">
        <f t="shared" ref="AB105:AB136" si="743">IF(M105="","",-G105)</f>
        <v/>
      </c>
      <c r="AC105" s="579" t="str">
        <f t="shared" si="106"/>
        <v/>
      </c>
      <c r="AD105" s="580" t="str">
        <f t="shared" si="142"/>
        <v/>
      </c>
      <c r="AE105" s="572" t="str">
        <f t="shared" si="107"/>
        <v/>
      </c>
      <c r="AF105" s="576" t="str">
        <f t="shared" si="108"/>
        <v/>
      </c>
      <c r="AG105" s="545" t="str">
        <f t="shared" si="109"/>
        <v/>
      </c>
      <c r="AH105" s="546" t="str">
        <f t="shared" si="110"/>
        <v/>
      </c>
      <c r="AI105" s="528" t="str">
        <f t="shared" si="111"/>
        <v/>
      </c>
      <c r="AJ105" s="529" t="str">
        <f t="shared" si="112"/>
        <v/>
      </c>
      <c r="AK105" s="578" t="str">
        <f t="shared" si="238"/>
        <v/>
      </c>
      <c r="AL105" s="572" t="str">
        <f t="shared" si="113"/>
        <v/>
      </c>
      <c r="AM105" s="577" t="str">
        <f t="shared" si="114"/>
        <v/>
      </c>
      <c r="AN105" s="524" t="str">
        <f t="shared" si="115"/>
        <v/>
      </c>
      <c r="AO105" s="525" t="str">
        <f t="shared" si="525"/>
        <v/>
      </c>
      <c r="AP105" s="528" t="str">
        <f t="shared" si="117"/>
        <v/>
      </c>
      <c r="AQ105" s="529" t="str">
        <f t="shared" ref="AQ105:AQ136" si="744">IF(M105="","",DEGREES(ATAN(($AS$5*SIN(RADIANS(90)))/(($X105*2*PI())-($AS$5*COS(RADIANS(90)))))))</f>
        <v/>
      </c>
      <c r="AS105" s="932" t="str">
        <f t="shared" si="632"/>
        <v/>
      </c>
      <c r="AT105" s="928" t="str">
        <f t="shared" ref="AT105:AT136" si="745">IF(M105="","",Y105+(((AS105-$AS$9)*$AS$6)*-1))</f>
        <v/>
      </c>
      <c r="AU105" s="418"/>
      <c r="AV105" s="164" t="str">
        <f t="shared" ref="AV105:AV136" si="746">IF(AND(ISNUMBER(VALUE(K105)),ISNUMBER(AW105),ISNUMBER(AX105),ISNUMBER(AY105),AY105&gt;=0.0001),$M105,"")</f>
        <v/>
      </c>
      <c r="AW105" s="797" t="str">
        <f>IFERROR(INDEX(MassProp!C$9:C$150,MATCH($M105,MassProp!$B$9:$B$150,0)),"")</f>
        <v/>
      </c>
      <c r="AX105" s="744" t="str">
        <f>IFERROR(INDEX(MassProp!D$9:D$150,MATCH($M105,MassProp!$B$9:$B$150,0)),"")</f>
        <v/>
      </c>
      <c r="AY105" s="731" t="str">
        <f>IFERROR(INDEX(MassProp!E$9:E$150,MATCH($M105,MassProp!$B$9:$B$150,0)),"")</f>
        <v/>
      </c>
      <c r="AZ105" s="297" t="str">
        <f t="shared" si="633"/>
        <v/>
      </c>
      <c r="BA105" s="296" t="str">
        <f t="shared" ref="BA105:BA129" si="747">IF(ISNUMBER(AV105),AZ105/$AZ$151,"")</f>
        <v/>
      </c>
      <c r="BB105" s="177" t="str">
        <f t="shared" si="610"/>
        <v/>
      </c>
      <c r="BC105" s="9"/>
      <c r="BD105" s="5" t="str">
        <f t="shared" si="611"/>
        <v/>
      </c>
      <c r="BE105" s="6" t="str">
        <f t="shared" ref="BE105:BE136" si="748">IF(ISNUMBER(AV105),Y105+BB105,"")</f>
        <v/>
      </c>
      <c r="BF105" s="4" t="str">
        <f t="shared" ref="BF105:BF136" si="749">IF(ISNUMBER($AV105),N105,"")</f>
        <v/>
      </c>
      <c r="BG105" s="5" t="str">
        <f t="shared" ref="BG105:BG136" si="750">IF(ISNUMBER($AV105),O105,"")</f>
        <v/>
      </c>
      <c r="BH105" s="10" t="str">
        <f t="shared" ref="BH105:BH136" si="751">IF(ISNUMBER($AV105),P105,"")</f>
        <v/>
      </c>
      <c r="BI105" s="9" t="str">
        <f t="shared" si="634"/>
        <v/>
      </c>
      <c r="BJ105" s="5" t="str">
        <f t="shared" ref="BJ105:BJ136" si="752">IF(ISNUMBER($AV105),BG105+COS(RADIANS($AG105)),"")</f>
        <v/>
      </c>
      <c r="BK105" s="8" t="str">
        <f t="shared" ref="BK105:BK136" si="753">IF(ISNUMBER($AV105),BH105+SIN(RADIANS($AG105)),"")</f>
        <v/>
      </c>
      <c r="BL105" s="173" t="str">
        <f t="shared" ref="BL105:BL136" si="754">IF(ISNUMBER($AV105),BF105+SIN(RADIANS($AH105)),"")</f>
        <v/>
      </c>
      <c r="BM105" s="5" t="str">
        <f t="shared" ref="BM105:BM136" si="755">IF(ISNUMBER($AV105),BG105-SIN(RADIANS($AG105))*COS(RADIANS($AH105)),"")</f>
        <v/>
      </c>
      <c r="BN105" s="6" t="str">
        <f t="shared" ref="BN105:BN136" si="756">IF(ISNUMBER($AV105),BH105+COS(RADIANS($AG105))*COS(RADIANS($AH105)),"")</f>
        <v/>
      </c>
      <c r="BO105" s="4" t="str">
        <f t="shared" si="635"/>
        <v/>
      </c>
      <c r="BP105" s="5" t="str">
        <f t="shared" si="734"/>
        <v/>
      </c>
      <c r="BQ105" s="5" t="str">
        <f t="shared" si="636"/>
        <v/>
      </c>
      <c r="BR105" s="6" t="str">
        <f t="shared" si="637"/>
        <v/>
      </c>
      <c r="BS105" s="4" t="str">
        <f t="shared" si="612"/>
        <v/>
      </c>
      <c r="BT105" s="5" t="str">
        <f t="shared" si="612"/>
        <v/>
      </c>
      <c r="BU105" s="10" t="str">
        <f t="shared" si="613"/>
        <v/>
      </c>
      <c r="BV105" s="9" t="str">
        <f t="shared" si="614"/>
        <v/>
      </c>
      <c r="BW105" s="5" t="str">
        <f t="shared" si="615"/>
        <v/>
      </c>
      <c r="BX105" s="8" t="str">
        <f t="shared" si="616"/>
        <v/>
      </c>
      <c r="BY105" s="173" t="str">
        <f t="shared" si="617"/>
        <v/>
      </c>
      <c r="BZ105" s="5" t="str">
        <f t="shared" si="618"/>
        <v/>
      </c>
      <c r="CA105" s="6" t="str">
        <f t="shared" si="619"/>
        <v/>
      </c>
      <c r="CB105" s="4" t="str">
        <f t="shared" si="638"/>
        <v/>
      </c>
      <c r="CC105" s="5" t="str">
        <f t="shared" si="639"/>
        <v/>
      </c>
      <c r="CD105" s="5" t="str">
        <f t="shared" si="640"/>
        <v/>
      </c>
      <c r="CE105" s="6" t="str">
        <f t="shared" si="641"/>
        <v/>
      </c>
      <c r="CF105" s="4" t="str">
        <f t="shared" si="642"/>
        <v/>
      </c>
      <c r="CG105" s="5" t="str">
        <f t="shared" si="643"/>
        <v/>
      </c>
      <c r="CH105" s="5" t="str">
        <f t="shared" si="644"/>
        <v/>
      </c>
      <c r="CI105" s="4" t="str">
        <f t="shared" si="620"/>
        <v/>
      </c>
      <c r="CJ105" s="5" t="str">
        <f t="shared" si="621"/>
        <v/>
      </c>
      <c r="CK105" s="8" t="str">
        <f t="shared" si="622"/>
        <v/>
      </c>
      <c r="CL105" s="173" t="str">
        <f t="shared" si="623"/>
        <v/>
      </c>
      <c r="CM105" s="5" t="str">
        <f t="shared" si="624"/>
        <v/>
      </c>
      <c r="CN105" s="6" t="str">
        <f t="shared" si="625"/>
        <v/>
      </c>
      <c r="CO105" s="167" t="str">
        <f t="shared" ref="CO105:CO136" si="757">IF(ISNUMBER($AV105),IF(AND(($H105*2)&gt;=$BE$161,($H105*2)&lt;=$BF$161),($BD$161/2),IF(AND(($H105*2)&gt;=$BE$163,($H105*2)&lt;=$BF$163),($BD$163/2),IF(AND(($H105*2)&gt;=$BE$165,($H105*2)&lt;=$BF$165),($BD$165/2),IF(AND(($H105*2)&gt;=$BE$168,($H105*2)&lt;=$BF$168),($BD$168/2),"Radius")))),"")</f>
        <v/>
      </c>
      <c r="CP105" s="4" t="str">
        <f t="shared" si="645"/>
        <v/>
      </c>
      <c r="CQ105" s="5" t="str">
        <f t="shared" si="646"/>
        <v/>
      </c>
      <c r="CR105" s="5" t="str">
        <f t="shared" si="647"/>
        <v/>
      </c>
      <c r="CS105" s="8" t="str">
        <f t="shared" si="648"/>
        <v/>
      </c>
      <c r="CT105" s="9" t="str">
        <f t="shared" si="649"/>
        <v/>
      </c>
      <c r="CU105" s="6" t="str">
        <f t="shared" si="650"/>
        <v/>
      </c>
      <c r="CV105" s="4" t="str">
        <f t="shared" si="651"/>
        <v/>
      </c>
      <c r="CW105" s="5" t="str">
        <f t="shared" si="652"/>
        <v/>
      </c>
      <c r="CX105" s="8" t="str">
        <f t="shared" si="653"/>
        <v/>
      </c>
      <c r="CY105" s="9" t="str">
        <f t="shared" si="654"/>
        <v/>
      </c>
      <c r="CZ105" s="5" t="str">
        <f t="shared" si="655"/>
        <v/>
      </c>
      <c r="DA105" s="6" t="str">
        <f t="shared" si="656"/>
        <v/>
      </c>
      <c r="DB105" s="4" t="str">
        <f t="shared" si="657"/>
        <v/>
      </c>
      <c r="DC105" s="5" t="str">
        <f t="shared" si="657"/>
        <v/>
      </c>
      <c r="DD105" s="10" t="str">
        <f t="shared" si="658"/>
        <v/>
      </c>
      <c r="DE105" s="9" t="str">
        <f t="shared" si="659"/>
        <v/>
      </c>
      <c r="DF105" s="5" t="str">
        <f t="shared" si="659"/>
        <v/>
      </c>
      <c r="DG105" s="10" t="str">
        <f t="shared" si="660"/>
        <v/>
      </c>
      <c r="DH105" s="70" t="str">
        <f t="shared" si="661"/>
        <v/>
      </c>
      <c r="DI105" s="4" t="str">
        <f t="shared" si="662"/>
        <v/>
      </c>
      <c r="DJ105" s="5" t="str">
        <f t="shared" si="663"/>
        <v/>
      </c>
      <c r="DK105" s="10" t="str">
        <f t="shared" si="664"/>
        <v/>
      </c>
      <c r="DL105" s="9" t="str">
        <f t="shared" si="665"/>
        <v/>
      </c>
      <c r="DM105" s="173" t="str">
        <f t="shared" si="666"/>
        <v/>
      </c>
      <c r="DN105" s="178" t="str">
        <f t="shared" si="667"/>
        <v/>
      </c>
      <c r="DO105" s="9" t="str">
        <f t="shared" si="668"/>
        <v/>
      </c>
      <c r="DP105" s="173" t="str">
        <f t="shared" si="669"/>
        <v/>
      </c>
      <c r="DQ105" s="11" t="str">
        <f t="shared" si="670"/>
        <v/>
      </c>
      <c r="DR105" s="173" t="str">
        <f t="shared" si="671"/>
        <v/>
      </c>
      <c r="DS105" s="5" t="str">
        <f t="shared" si="672"/>
        <v/>
      </c>
      <c r="DT105" s="5" t="str">
        <f t="shared" si="673"/>
        <v/>
      </c>
      <c r="DU105" s="5" t="str">
        <f t="shared" si="674"/>
        <v/>
      </c>
      <c r="DV105" s="5" t="str">
        <f t="shared" si="675"/>
        <v/>
      </c>
      <c r="DW105" s="5" t="str">
        <f t="shared" si="676"/>
        <v/>
      </c>
      <c r="DX105" s="167" t="str">
        <f t="shared" si="677"/>
        <v/>
      </c>
      <c r="DY105" s="9" t="str">
        <f t="shared" si="678"/>
        <v/>
      </c>
      <c r="DZ105" s="5" t="str">
        <f t="shared" si="679"/>
        <v/>
      </c>
      <c r="EA105" s="10" t="str">
        <f t="shared" si="680"/>
        <v/>
      </c>
      <c r="EB105" s="6" t="str">
        <f t="shared" si="681"/>
        <v/>
      </c>
      <c r="EC105" s="173" t="str">
        <f t="shared" si="682"/>
        <v/>
      </c>
      <c r="ED105" s="5" t="str">
        <f t="shared" si="683"/>
        <v/>
      </c>
      <c r="EE105" s="4" t="str">
        <f t="shared" si="684"/>
        <v/>
      </c>
      <c r="EF105" s="5" t="str">
        <f t="shared" si="685"/>
        <v/>
      </c>
      <c r="EG105" s="10" t="str">
        <f t="shared" si="686"/>
        <v/>
      </c>
      <c r="EH105" s="9" t="str">
        <f t="shared" si="687"/>
        <v/>
      </c>
      <c r="EI105" s="5" t="str">
        <f t="shared" si="688"/>
        <v/>
      </c>
      <c r="EJ105" s="6" t="str">
        <f t="shared" si="689"/>
        <v/>
      </c>
      <c r="EK105" s="236" t="str">
        <f t="shared" si="690"/>
        <v/>
      </c>
      <c r="EL105" s="238" t="str">
        <f t="shared" si="691"/>
        <v/>
      </c>
      <c r="EM105" s="4" t="str">
        <f t="shared" si="692"/>
        <v/>
      </c>
      <c r="EN105" s="5" t="str">
        <f t="shared" si="693"/>
        <v/>
      </c>
      <c r="EO105" s="10" t="str">
        <f t="shared" si="694"/>
        <v/>
      </c>
      <c r="EP105" s="9" t="str">
        <f t="shared" si="695"/>
        <v/>
      </c>
      <c r="EQ105" s="5" t="str">
        <f t="shared" si="696"/>
        <v/>
      </c>
      <c r="ER105" s="7" t="str">
        <f t="shared" si="697"/>
        <v/>
      </c>
      <c r="ES105" s="21" t="str">
        <f t="shared" ref="ES105:ES136" si="758">IF(ISNUMBER($AV105),AD105,"")</f>
        <v/>
      </c>
      <c r="ET105" s="5" t="str">
        <f t="shared" ref="ET105:ET136" si="759">IF(ISNUMBER($AV105),AE105,"")</f>
        <v/>
      </c>
      <c r="EU105" s="10" t="str">
        <f t="shared" ref="EU105:EU136" si="760">IF(ISNUMBER($AV105),AF105,"")</f>
        <v/>
      </c>
      <c r="EV105" s="174" t="str">
        <f t="shared" ref="EV105:EV129" si="761">IF(ISNUMBER($AV105),IF(($EV$1-EP105)&lt;0,(360+($EV$1-EP105)),($EV$1-EP105)),"")</f>
        <v/>
      </c>
      <c r="EW105" s="9" t="str">
        <f t="shared" ref="EW105:EW129" si="762">IF(ISNUMBER($AV105),(COS(RADIANS($EV105))*ES105)+(-SIN(RADIANS($EV105))*ET105),"")</f>
        <v/>
      </c>
      <c r="EX105" s="5" t="str">
        <f t="shared" ref="EX105:EX129" si="763">IF(ISNUMBER($AV105),(SIN(RADIANS($EV105))*ES105)+(COS(RADIANS($EV105))*ET105),"")</f>
        <v/>
      </c>
      <c r="EY105" s="6" t="str">
        <f t="shared" si="698"/>
        <v/>
      </c>
      <c r="EZ105" s="51" t="str">
        <f t="shared" si="699"/>
        <v/>
      </c>
      <c r="FA105" s="173" t="str">
        <f t="shared" ref="FA105:FA150" si="764">IF(ISNUMBER($AV105),SIN(RADIANS($EP105))*COS(RADIANS($EZ105)),"")</f>
        <v/>
      </c>
      <c r="FB105" s="5" t="str">
        <f t="shared" ref="FB105:FB150" si="765">IF(ISNUMBER($AV105),-1*COS(RADIANS($EP105))*COS(RADIANS($EZ105)),"")</f>
        <v/>
      </c>
      <c r="FC105" s="6" t="str">
        <f t="shared" ref="FC105:FC150" si="766">IF(ISNUMBER($AV105),-1*SIN(RADIANS($EZ105)),"")</f>
        <v/>
      </c>
      <c r="FD105" s="4" t="str">
        <f t="shared" ref="FD105:FD129" si="767">IF(ISNUMBER($AV105),(COS(RADIANS($EV105))*FA105)+(-SIN(RADIANS($EV105))*FB105),"")</f>
        <v/>
      </c>
      <c r="FE105" s="5" t="str">
        <f t="shared" ref="FE105:FE129" si="768">IF(ISNUMBER($AV105),(SIN(RADIANS($EV105))*FA105)+(COS(RADIANS($EV105))*FB105),"")</f>
        <v/>
      </c>
      <c r="FF105" s="7" t="str">
        <f t="shared" si="700"/>
        <v/>
      </c>
      <c r="FG105" s="173" t="str">
        <f t="shared" ref="FG105:FG129" si="769">IF(ISNUMBER($AV105),EW105-FD105,"")</f>
        <v/>
      </c>
      <c r="FH105" s="5" t="str">
        <f t="shared" ref="FH105:FH129" si="770">IF(ISNUMBER($AV105),EX105-FE105,"")</f>
        <v/>
      </c>
      <c r="FI105" s="10" t="str">
        <f t="shared" ref="FI105:FI129" si="771">IF(ISNUMBER($AV105),EY105-FF105,"")</f>
        <v/>
      </c>
      <c r="FJ105" s="279" t="str">
        <f t="shared" si="701"/>
        <v/>
      </c>
      <c r="FK105" s="4" t="str">
        <f t="shared" ref="FK105:FK129" si="772">IF(ISNUMBER($AV105),SQRT(ES105^2+ET105^2),"")</f>
        <v/>
      </c>
      <c r="FL105" s="5" t="str">
        <f t="shared" si="626"/>
        <v/>
      </c>
      <c r="FM105" s="8" t="str">
        <f t="shared" si="627"/>
        <v/>
      </c>
      <c r="FN105" s="9" t="str">
        <f t="shared" si="628"/>
        <v/>
      </c>
      <c r="FO105" s="10" t="str">
        <f t="shared" ref="FO105:FO129" si="773">IF(ISNUMBER($AV105),IF(SQRT((EM105+(ES105/SQRT(ES105^2+(ET105/SQRT(ES105^2+ET105^2))^2)))^2+(EN105+ET105)^2)&gt;SQRT((EM105+(FA105/SQRT(FA105^2+FB105^2)))^2+(EN105+(FB105/SQRT(FA105^2+FB105^2)))^2),-1,1),"")</f>
        <v/>
      </c>
      <c r="FP105" s="277" t="str">
        <f t="shared" si="629"/>
        <v/>
      </c>
      <c r="FQ105" s="173" t="str">
        <f t="shared" si="702"/>
        <v/>
      </c>
      <c r="FR105" s="10" t="str">
        <f t="shared" si="703"/>
        <v/>
      </c>
      <c r="FS105" s="9" t="str">
        <f t="shared" si="704"/>
        <v/>
      </c>
      <c r="FT105" s="6" t="str">
        <f t="shared" si="705"/>
        <v/>
      </c>
      <c r="FU105" s="4" t="str">
        <f t="shared" si="706"/>
        <v/>
      </c>
      <c r="FV105" s="5" t="str">
        <f t="shared" si="707"/>
        <v/>
      </c>
      <c r="FW105" s="8" t="str">
        <f t="shared" si="708"/>
        <v/>
      </c>
      <c r="FX105" s="9" t="str">
        <f t="shared" si="709"/>
        <v/>
      </c>
      <c r="FY105" s="10" t="str">
        <f t="shared" ref="FY105:FY129" si="774">IF(ISNUMBER($AV105),IF(EU105&lt;FC105,1,-1),"")</f>
        <v/>
      </c>
      <c r="FZ105" s="277" t="str">
        <f t="shared" si="710"/>
        <v/>
      </c>
      <c r="GA105" s="177" t="str">
        <f t="shared" si="711"/>
        <v/>
      </c>
      <c r="GB105" s="4" t="str">
        <f t="shared" si="712"/>
        <v/>
      </c>
      <c r="GC105" s="5" t="str">
        <f t="shared" si="713"/>
        <v/>
      </c>
      <c r="GD105" s="10" t="str">
        <f t="shared" si="714"/>
        <v/>
      </c>
      <c r="GE105" s="311" t="str">
        <f t="shared" si="715"/>
        <v/>
      </c>
      <c r="GF105" s="341" t="str">
        <f t="shared" si="716"/>
        <v/>
      </c>
      <c r="GG105" s="285" t="str">
        <f t="shared" ref="GG105:GG129" si="775">IF(ISNUMBER($AV105),ABS(GB105)/(ABS($GB105)+ABS($GC105)+ABS($GD105)),"")</f>
        <v/>
      </c>
      <c r="GH105" s="286" t="str">
        <f t="shared" ref="GH105:GH129" si="776">IF(ISNUMBER($AV105),ABS(GC105)/(ABS($GB105)+ABS($GC105)+ABS($GD105)),"")</f>
        <v/>
      </c>
      <c r="GI105" s="281" t="str">
        <f t="shared" ref="GI105:GI129" si="777">IF(ISNUMBER($AV105),ABS(GD105)/(ABS($GB105)+ABS($GC105)+ABS($GD105)),"")</f>
        <v/>
      </c>
      <c r="GJ105" s="167" t="str">
        <f t="shared" si="717"/>
        <v/>
      </c>
      <c r="GK105" s="174" t="str">
        <f t="shared" ref="GK105:GK150" si="778">IF(ISNUMBER($AV105),SQRT((2*PI()*$GJ105)^2+$AS$5^2)/12,"")</f>
        <v/>
      </c>
      <c r="GL105" s="174" t="str">
        <f t="shared" si="718"/>
        <v/>
      </c>
      <c r="GM105" s="177" t="str">
        <f t="shared" si="719"/>
        <v/>
      </c>
      <c r="GN105" s="280" t="str">
        <f t="shared" si="720"/>
        <v/>
      </c>
      <c r="GO105" s="4" t="str">
        <f t="shared" si="721"/>
        <v/>
      </c>
      <c r="GP105" s="8" t="str">
        <f t="shared" si="722"/>
        <v/>
      </c>
      <c r="GQ105" s="177" t="str">
        <f t="shared" si="723"/>
        <v/>
      </c>
      <c r="GR105" s="371" t="str">
        <f t="shared" si="724"/>
        <v/>
      </c>
      <c r="GS105" s="342" t="str">
        <f t="shared" ref="GS105:GS129" si="779">IF(ISNUMBER($AV105),GU105/GH105*GG105,"")</f>
        <v/>
      </c>
      <c r="GT105" s="343" t="str">
        <f t="shared" ref="GT105:GT129" si="780">IF(ISNUMBER($AV105),GS105/$GK105,"")</f>
        <v/>
      </c>
      <c r="GU105" s="344" t="str">
        <f t="shared" ref="GU105:GU150" si="781">IF(ISNUMBER($AV105),$GV105*$GK105,"")</f>
        <v/>
      </c>
      <c r="GV105" s="343" t="str">
        <f t="shared" si="725"/>
        <v/>
      </c>
      <c r="GW105" s="345" t="str">
        <f t="shared" ref="GW105:GW150" si="782">IF(ISNUMBER($AV105),$GW$2,"")</f>
        <v/>
      </c>
      <c r="GX105" s="346" t="str">
        <f t="shared" ref="GX105:GX150" si="783">IF(ISNUMBER($AV105),($GJ105/12)*$GV105,"")</f>
        <v/>
      </c>
      <c r="GY105" s="344" t="str">
        <f t="shared" ref="GY105:GY129" si="784">IF(ISNUMBER($AV105),GU105/GH105*GI105,"")</f>
        <v/>
      </c>
      <c r="GZ105" s="345" t="str">
        <f t="shared" ref="GZ105:GZ129" si="785">IF(ISNUMBER($AV105),GY105/$GK105,"")</f>
        <v/>
      </c>
      <c r="HA105" s="342" t="str">
        <f t="shared" ref="HA105:HA150" si="786">IF(ISNUMBER($AV105),$FO105*$GS105,"")</f>
        <v/>
      </c>
      <c r="HB105" s="5" t="str">
        <f t="shared" si="726"/>
        <v/>
      </c>
      <c r="HC105" s="343" t="str">
        <f t="shared" si="727"/>
        <v/>
      </c>
      <c r="HD105" s="363" t="str">
        <f t="shared" si="728"/>
        <v/>
      </c>
      <c r="HE105" s="344" t="str">
        <f t="shared" ref="HE105:HE150" si="787">IF(ISNUMBER($AV105),$FY105*$GV105,"")</f>
        <v/>
      </c>
      <c r="HF105" s="5" t="str">
        <f t="shared" ref="HF105:HF150" si="788">IF(ISNUMBER($AV105),IF(($HB105+90)&lt;0,(360+($HB105+90)),($HB105+90)),"")</f>
        <v/>
      </c>
      <c r="HG105" s="343" t="str">
        <f t="shared" si="729"/>
        <v/>
      </c>
      <c r="HH105" s="349" t="str">
        <f t="shared" si="730"/>
        <v/>
      </c>
      <c r="HI105" s="317" t="str">
        <f t="shared" ref="HI105:HI136" si="789">IF(ISNUMBER($AV105),$M105,"")</f>
        <v/>
      </c>
      <c r="HK105" s="310" t="str">
        <f t="shared" si="630"/>
        <v/>
      </c>
      <c r="HL105" s="348" t="str">
        <f t="shared" ref="HL105:HL136" si="790">IF(ISNUMBER($HS105),INDEX(HI$9:HI$150,MATCH($HS105,$GJ$9:$GJ$150,0)),"")</f>
        <v/>
      </c>
      <c r="HM105" s="909" t="str">
        <f t="shared" ref="HM105:HM136" si="791">IF(ISNUMBER($HL105),INDEX(GO$9:GO$150,MATCH($HL105,$AV$9:$AV$150,0)),"")</f>
        <v/>
      </c>
      <c r="HN105" s="910" t="str">
        <f t="shared" ref="HN105:HN136" si="792">IF(ISNUMBER($HL105),INDEX(AO$9:AO$150,MATCH($HL105,$AV$9:$AV$150,0)),"")</f>
        <v/>
      </c>
      <c r="HO105" s="911"/>
      <c r="HP105" s="912"/>
      <c r="HQ105" s="910" t="str">
        <f t="shared" ref="HQ105:HQ136" si="793">IF(ISNUMBER($HL105),INDEX(GQ$9:GQ$150,MATCH($HL105,$AV$9:$AV$150,0)),"")</f>
        <v/>
      </c>
      <c r="HR105" s="913" t="str">
        <f t="shared" ref="HR105:HR136" si="794">IF(ISNUMBER($HL105),INDEX(GP$9:GP$150,MATCH($HL105,$AV$9:$AV$150,0)),"")</f>
        <v/>
      </c>
      <c r="HS105" s="865" t="str">
        <f t="shared" si="631"/>
        <v/>
      </c>
      <c r="HT105" s="875" t="str">
        <f t="shared" ref="HT105:HT136" si="795">IF(ISNUMBER($HL105),INDEX(GL$9:GL$150,MATCH($HL105,$AV$9:$AV$150,0)),"")</f>
        <v/>
      </c>
      <c r="HU105" s="876" t="str">
        <f t="shared" ref="HU105:HU136" si="796">IF(ISNUMBER($HL105),INDEX(GM$9:GM$150,MATCH($HL105,$AV$9:$AV$150,0)),"")</f>
        <v/>
      </c>
      <c r="HV105" s="872" t="str">
        <f t="shared" ref="HV105:HV136" si="797">IF(ISNUMBER($HL105),INDEX(GN$9:GN$150,MATCH($HL105,$AV$9:$AV$150,0)),"")</f>
        <v/>
      </c>
      <c r="HW105" s="866" t="str">
        <f t="shared" ref="HW105:HW136" si="798">IF(ISNUMBER($HL105),INDEX(GW$9:GW$150,MATCH($HL105,$AV$9:$AV$150,0)),"")</f>
        <v/>
      </c>
      <c r="HX105" s="867" t="str">
        <f t="shared" ref="HX105:HX136" si="799">IF(ISNUMBER($HL105),INDEX(GX$9:GX$150,MATCH($HL105,$AV$9:$AV$150,0)),"")</f>
        <v/>
      </c>
      <c r="HY105" s="866" t="str">
        <f t="shared" ref="HY105:HY136" si="800">IF(ISNUMBER($HL105),INDEX(GS$9:GS$150,MATCH($HL105,$AV$9:$AV$150,0)),"")</f>
        <v/>
      </c>
      <c r="HZ105" s="868" t="str">
        <f t="shared" ref="HZ105:HZ136" si="801">IF(ISNUMBER($HL105),INDEX(GU$9:GU$150,MATCH($HL105,$AV$9:$AV$150,0)),"")</f>
        <v/>
      </c>
      <c r="IA105" s="869" t="str">
        <f t="shared" ref="IA105:IA136" si="802">IF(ISNUMBER($HL105),INDEX(GY$9:GY$150,MATCH($HL105,$AV$9:$AV$150,0)),"")</f>
        <v/>
      </c>
      <c r="IB105" s="870" t="str">
        <f t="shared" ref="IB105:IB136" si="803">IF(ISNUMBER($HL105),INDEX(GR$9:GR$150,MATCH($HL105,$AV$9:$AV$150,0)),"")</f>
        <v/>
      </c>
      <c r="IC105" s="841" t="str">
        <f t="shared" ref="IC105:IC136" si="804">IF(ISNUMBER($HL105),INDEX(GT$9:GT$150,MATCH($HL105,$AV$9:$AV$150,0)),"")</f>
        <v/>
      </c>
      <c r="ID105" s="351" t="str">
        <f t="shared" ref="ID105:ID136" si="805">IF(ISNUMBER($HL105),INDEX(GV$9:GV$150,MATCH($HL105,$AV$9:$AV$150,0)),"")</f>
        <v/>
      </c>
      <c r="IE105" s="843" t="str">
        <f t="shared" ref="IE105:IE136" si="806">IF(ISNUMBER($HL105),INDEX(GZ$9:GZ$150,MATCH($HL105,$AV$9:$AV$150,0)),"")</f>
        <v/>
      </c>
      <c r="IF105" s="844"/>
      <c r="IG105" s="790" t="str">
        <f>IFERROR(IF($IW105="","",IF($IW105&lt;(((Settings!$C$19/2)*-1)*$IG$8),"Taper","Nose")),"")</f>
        <v/>
      </c>
      <c r="IH105" s="482" t="str">
        <f>IFERROR(IF((((($IY105*COS(RADIANS(180-$JA105)))*COS(RADIANS($JA105)))-(($IZ105*SIN(RADIANS(180-$JA105)))*SIN(RADIANS($JA105))))+$IW105)&lt;(((Settings!$C$19+$IH$8)/2)*-1),"Gage",""),"")</f>
        <v/>
      </c>
      <c r="II105" s="788" t="str">
        <f t="shared" si="731"/>
        <v/>
      </c>
      <c r="IJ105" s="674" t="str" cm="1">
        <f t="array" ref="IJ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K105" s="677" t="str" cm="1">
        <f t="array" ref="IK105">IFERROR(ROUND(VALUE(IF($IJ105&lt;1,$IJ105+LARGE((IF($M$9:$M$150="",0,$M$9:$M$150)-MOD(IF($M$9:$M$150="",0,$M$9:$M$150),1)),1),$IJ105)),4),"")</f>
        <v/>
      </c>
      <c r="IL105" s="482" t="str">
        <f t="shared" ref="IL105:IL136" si="807">IF(ISNUMBER($IK105),INDEX($K$9:$K$150,MATCH($IK105,$M$9:$M$150,0)),$K105)</f>
        <v/>
      </c>
      <c r="IM105" s="482" t="str">
        <f t="shared" si="732"/>
        <v/>
      </c>
      <c r="IN105" s="670" t="str">
        <f t="shared" ref="IN105:IN136" si="808">IF(ISNUMBER($IK105),IFERROR(IF(INDEX($W$9:$W$150,MATCH($IK105,$M$9:$M$150,0))&lt;$W105,((INDEX($W$9:$W$150,MATCH($IK105,$M$9:$M$150,0))+360)-$W105),INDEX($W$9:$W$150,MATCH($IK105,$M$9:$M$150,0))-$W105),""),"")</f>
        <v/>
      </c>
      <c r="IO105" s="702"/>
      <c r="IP105" s="5" t="str">
        <f t="shared" ref="IP105:IP136" si="809">IF(ISNUMBER($IK105),(($IQ105*12)/60)/$AS$3,"")</f>
        <v/>
      </c>
      <c r="IQ105" s="714"/>
      <c r="IR105" s="9" t="str">
        <f t="shared" ref="IR105:IR136" si="810">IF(ISNUMBER($IK105),(INDEX($X$9:$X$150,MATCH($IK105,$M$9:$M$150,0))*-1),"")</f>
        <v/>
      </c>
      <c r="IS105" s="5" t="str">
        <f t="shared" ref="IS105:IS136" si="811">IF(ISNUMBER($IK105),INDEX($Y$9:$Y$150,MATCH($IK105,$M$9:$M$150,0)),"")</f>
        <v/>
      </c>
      <c r="IT105" s="5" t="str">
        <f t="shared" ref="IT105:IT136" si="812">IF(ISNUMBER($IK105),INDEX($H$9:$H$150,MATCH($IK105,$M$9:$M$150,0)),"")</f>
        <v/>
      </c>
      <c r="IU105" s="5" t="str">
        <f t="shared" ref="IU105:IU136" si="813">IF(ISNUMBER($IK105),$IT105*COS(RADIANS(INDEX($AO$9:$AO$150,MATCH($IK105,$M$9:$M$150,0)))),"")</f>
        <v/>
      </c>
      <c r="IV105" s="670" t="str">
        <f t="shared" ref="IV105:IV136" si="814">IF(ISNUMBER($IK105),(-1*INDEX($AN$9:$AN$150,MATCH($IK105,$M$9:$M$150,0))),"")</f>
        <v/>
      </c>
      <c r="IW105" s="9" t="str">
        <f t="shared" ref="IW105:IW136" si="815">IF(ISNUMBER($IK105),-$X105,"")</f>
        <v/>
      </c>
      <c r="IX105" s="5" t="str">
        <f t="shared" ref="IX105:IX136" si="816">IF(ISNUMBER($IK105),$Y105,"")</f>
        <v/>
      </c>
      <c r="IY105" s="5" t="str">
        <f t="shared" ref="IY105:IY136" si="817">IF(ISNUMBER($IK105),$H105,"")</f>
        <v/>
      </c>
      <c r="IZ105" s="5" t="str">
        <f t="shared" ref="IZ105:IZ136" si="818">IF(ISNUMBER($IK105),$IY105*COS(RADIANS($AO105)),"")</f>
        <v/>
      </c>
      <c r="JA105" s="705" t="str">
        <f t="shared" ref="JA105:JA136" si="819">IF(ISNUMBER($IK105),(-1*$AN105),"")</f>
        <v/>
      </c>
    </row>
    <row r="106" spans="1:261" ht="15" customHeight="1" x14ac:dyDescent="0.25">
      <c r="A106" s="75" t="str">
        <f t="shared" si="736"/>
        <v/>
      </c>
      <c r="B106" s="578" t="str">
        <f t="shared" si="515"/>
        <v/>
      </c>
      <c r="C106" s="572" t="str">
        <f t="shared" si="516"/>
        <v/>
      </c>
      <c r="D106" s="576" t="str">
        <f t="shared" si="517"/>
        <v/>
      </c>
      <c r="E106" s="580" t="str">
        <f t="shared" si="518"/>
        <v/>
      </c>
      <c r="F106" s="572" t="str">
        <f t="shared" si="519"/>
        <v/>
      </c>
      <c r="G106" s="579" t="str">
        <f t="shared" si="520"/>
        <v/>
      </c>
      <c r="H106" s="580" t="str">
        <f t="shared" si="521"/>
        <v/>
      </c>
      <c r="I106" s="572" t="str">
        <f t="shared" si="522"/>
        <v/>
      </c>
      <c r="J106" s="483" t="str">
        <f t="shared" si="523"/>
        <v/>
      </c>
      <c r="K106" s="806" t="str">
        <f t="shared" si="524"/>
        <v/>
      </c>
      <c r="L106" s="309"/>
      <c r="M106" s="164" t="str">
        <f t="shared" si="737"/>
        <v/>
      </c>
      <c r="N106" s="575" t="str">
        <f t="shared" si="738"/>
        <v/>
      </c>
      <c r="O106" s="572" t="str">
        <f t="shared" si="739"/>
        <v/>
      </c>
      <c r="P106" s="576" t="str">
        <f t="shared" si="740"/>
        <v/>
      </c>
      <c r="Q106" s="528" t="str">
        <f t="shared" si="609"/>
        <v/>
      </c>
      <c r="R106" s="572" t="str">
        <f t="shared" ref="R106:R129" si="820">IF(M106="","",SQRT(N106^2+O106^2))</f>
        <v/>
      </c>
      <c r="S106" s="577" t="str">
        <f t="shared" ref="S106:S129" si="821">IF(M106="","",P106)</f>
        <v/>
      </c>
      <c r="T106" s="578" t="str">
        <f t="shared" ref="T106:T129" si="822">IF(M106="","",X106*COS(RADIANS(W106)))</f>
        <v/>
      </c>
      <c r="U106" s="572" t="str">
        <f t="shared" ref="U106:U129" si="823">IF(M106="","",X106*SIN(RADIANS(W106)))</f>
        <v/>
      </c>
      <c r="V106" s="579" t="str">
        <f t="shared" ref="V106:V129" si="824">IF(M106="","",Y106)</f>
        <v/>
      </c>
      <c r="W106" s="528" t="str">
        <f t="shared" si="735"/>
        <v/>
      </c>
      <c r="X106" s="572" t="str">
        <f t="shared" ref="X106:X129" si="825">IF(M106="","",R106)</f>
        <v/>
      </c>
      <c r="Y106" s="573" t="str">
        <f t="shared" si="733"/>
        <v/>
      </c>
      <c r="Z106" s="575" t="str">
        <f t="shared" si="741"/>
        <v/>
      </c>
      <c r="AA106" s="572" t="str">
        <f t="shared" si="742"/>
        <v/>
      </c>
      <c r="AB106" s="572" t="str">
        <f t="shared" si="743"/>
        <v/>
      </c>
      <c r="AC106" s="579" t="str">
        <f t="shared" ref="AC106:AC129" si="826">IF(M106="","",SQRT(Z106^2+AA106^2+AB106^2))</f>
        <v/>
      </c>
      <c r="AD106" s="580" t="str">
        <f t="shared" ref="AD106:AD129" si="827">IF(M106="","",Z106*(1/SQRT(Z106^2+AA106^2+AB106^2)))</f>
        <v/>
      </c>
      <c r="AE106" s="572" t="str">
        <f t="shared" ref="AE106:AE129" si="828">IF(M106="","",AA106*(1/SQRT(Z106^2+AA106^2+AB106^2)))</f>
        <v/>
      </c>
      <c r="AF106" s="576" t="str">
        <f t="shared" ref="AF106:AF129" si="829">IF(M106="","",AB106*(1/SQRT(Z106^2+AA106^2+AB106^2)))</f>
        <v/>
      </c>
      <c r="AG106" s="545" t="str">
        <f t="shared" ref="AG106:AG129" si="830">IF(M106="","",DEGREES(ATAN2(-AF106,AE106)))</f>
        <v/>
      </c>
      <c r="AH106" s="546" t="str">
        <f t="shared" ref="AH106:AH129" si="831">IF(M106="","",DEGREES(ACOS(AD106)))</f>
        <v/>
      </c>
      <c r="AI106" s="528" t="str">
        <f t="shared" ref="AI106:AI129" si="832">IF(M106="","",DEGREES(-ACOS(-AF106)))</f>
        <v/>
      </c>
      <c r="AJ106" s="529" t="str">
        <f t="shared" ref="AJ106:AJ129" si="833">IF(M106="","",DEGREES(ATAN2(-AE106,AD106)))</f>
        <v/>
      </c>
      <c r="AK106" s="578" t="str">
        <f t="shared" ref="AK106:AK129" si="834">IF(M106="","",(COS(RADIANS((90-$Q$8)-W106))*AD106)+(-SIN(RADIANS((90-$Q$8)-W106))*AE106))</f>
        <v/>
      </c>
      <c r="AL106" s="572" t="str">
        <f t="shared" ref="AL106:AL129" si="835">IF(M106="","",(SIN(RADIANS((90-$Q$8)-W106))*AD106)+(COS(RADIANS((90-$Q$8)-W106))*AE106))</f>
        <v/>
      </c>
      <c r="AM106" s="577" t="str">
        <f t="shared" ref="AM106:AM129" si="836">IF(M106="","",AF106)</f>
        <v/>
      </c>
      <c r="AN106" s="524" t="str">
        <f t="shared" ref="AN106:AN129" si="837">IF(M106="","",DEGREES(ATAN2(-AM106,AL106)))</f>
        <v/>
      </c>
      <c r="AO106" s="525" t="str">
        <f t="shared" si="525"/>
        <v/>
      </c>
      <c r="AP106" s="528" t="str">
        <f t="shared" ref="AP106:AP129" si="838">IF(M106="","",DEGREES(ATAN2(AK106,AL106)))</f>
        <v/>
      </c>
      <c r="AQ106" s="529" t="str">
        <f t="shared" si="744"/>
        <v/>
      </c>
      <c r="AS106" s="932" t="str">
        <f t="shared" si="632"/>
        <v/>
      </c>
      <c r="AT106" s="928" t="str">
        <f t="shared" si="745"/>
        <v/>
      </c>
      <c r="AU106" s="418"/>
      <c r="AV106" s="164" t="str">
        <f t="shared" si="746"/>
        <v/>
      </c>
      <c r="AW106" s="797" t="str">
        <f>IFERROR(INDEX(MassProp!C$9:C$150,MATCH($M106,MassProp!$B$9:$B$150,0)),"")</f>
        <v/>
      </c>
      <c r="AX106" s="744" t="str">
        <f>IFERROR(INDEX(MassProp!D$9:D$150,MATCH($M106,MassProp!$B$9:$B$150,0)),"")</f>
        <v/>
      </c>
      <c r="AY106" s="731" t="str">
        <f>IFERROR(INDEX(MassProp!E$9:E$150,MATCH($M106,MassProp!$B$9:$B$150,0)),"")</f>
        <v/>
      </c>
      <c r="AZ106" s="297" t="str">
        <f t="shared" si="633"/>
        <v/>
      </c>
      <c r="BA106" s="296" t="str">
        <f t="shared" si="747"/>
        <v/>
      </c>
      <c r="BB106" s="177" t="str">
        <f t="shared" si="610"/>
        <v/>
      </c>
      <c r="BC106" s="9"/>
      <c r="BD106" s="5" t="str">
        <f t="shared" si="611"/>
        <v/>
      </c>
      <c r="BE106" s="6" t="str">
        <f t="shared" si="748"/>
        <v/>
      </c>
      <c r="BF106" s="4" t="str">
        <f t="shared" si="749"/>
        <v/>
      </c>
      <c r="BG106" s="5" t="str">
        <f t="shared" si="750"/>
        <v/>
      </c>
      <c r="BH106" s="10" t="str">
        <f t="shared" si="751"/>
        <v/>
      </c>
      <c r="BI106" s="9" t="str">
        <f t="shared" si="634"/>
        <v/>
      </c>
      <c r="BJ106" s="5" t="str">
        <f t="shared" si="752"/>
        <v/>
      </c>
      <c r="BK106" s="8" t="str">
        <f t="shared" si="753"/>
        <v/>
      </c>
      <c r="BL106" s="173" t="str">
        <f t="shared" si="754"/>
        <v/>
      </c>
      <c r="BM106" s="5" t="str">
        <f t="shared" si="755"/>
        <v/>
      </c>
      <c r="BN106" s="6" t="str">
        <f t="shared" si="756"/>
        <v/>
      </c>
      <c r="BO106" s="4" t="str">
        <f t="shared" si="635"/>
        <v/>
      </c>
      <c r="BP106" s="5" t="str">
        <f t="shared" si="734"/>
        <v/>
      </c>
      <c r="BQ106" s="5" t="str">
        <f t="shared" si="636"/>
        <v/>
      </c>
      <c r="BR106" s="6" t="str">
        <f t="shared" si="637"/>
        <v/>
      </c>
      <c r="BS106" s="4" t="str">
        <f t="shared" ref="BS106:BT150" si="839">IF(ISNUMBER($AV106),0,"")</f>
        <v/>
      </c>
      <c r="BT106" s="5" t="str">
        <f t="shared" si="839"/>
        <v/>
      </c>
      <c r="BU106" s="10" t="str">
        <f t="shared" si="613"/>
        <v/>
      </c>
      <c r="BV106" s="9" t="str">
        <f t="shared" si="614"/>
        <v/>
      </c>
      <c r="BW106" s="5" t="str">
        <f t="shared" si="615"/>
        <v/>
      </c>
      <c r="BX106" s="8" t="str">
        <f t="shared" si="616"/>
        <v/>
      </c>
      <c r="BY106" s="173" t="str">
        <f t="shared" si="617"/>
        <v/>
      </c>
      <c r="BZ106" s="5" t="str">
        <f t="shared" si="618"/>
        <v/>
      </c>
      <c r="CA106" s="6" t="str">
        <f t="shared" si="619"/>
        <v/>
      </c>
      <c r="CB106" s="4" t="str">
        <f t="shared" si="638"/>
        <v/>
      </c>
      <c r="CC106" s="5" t="str">
        <f t="shared" si="639"/>
        <v/>
      </c>
      <c r="CD106" s="5" t="str">
        <f t="shared" si="640"/>
        <v/>
      </c>
      <c r="CE106" s="6" t="str">
        <f t="shared" si="641"/>
        <v/>
      </c>
      <c r="CF106" s="4" t="str">
        <f t="shared" si="642"/>
        <v/>
      </c>
      <c r="CG106" s="5" t="str">
        <f t="shared" si="643"/>
        <v/>
      </c>
      <c r="CH106" s="5" t="str">
        <f t="shared" si="644"/>
        <v/>
      </c>
      <c r="CI106" s="4" t="str">
        <f t="shared" si="620"/>
        <v/>
      </c>
      <c r="CJ106" s="5" t="str">
        <f t="shared" si="621"/>
        <v/>
      </c>
      <c r="CK106" s="8" t="str">
        <f t="shared" si="622"/>
        <v/>
      </c>
      <c r="CL106" s="173" t="str">
        <f t="shared" si="623"/>
        <v/>
      </c>
      <c r="CM106" s="5" t="str">
        <f t="shared" si="624"/>
        <v/>
      </c>
      <c r="CN106" s="6" t="str">
        <f t="shared" si="625"/>
        <v/>
      </c>
      <c r="CO106" s="167" t="str">
        <f t="shared" si="757"/>
        <v/>
      </c>
      <c r="CP106" s="4" t="str">
        <f t="shared" si="645"/>
        <v/>
      </c>
      <c r="CQ106" s="5" t="str">
        <f t="shared" si="646"/>
        <v/>
      </c>
      <c r="CR106" s="5" t="str">
        <f t="shared" si="647"/>
        <v/>
      </c>
      <c r="CS106" s="8" t="str">
        <f t="shared" si="648"/>
        <v/>
      </c>
      <c r="CT106" s="9" t="str">
        <f t="shared" si="649"/>
        <v/>
      </c>
      <c r="CU106" s="6" t="str">
        <f t="shared" si="650"/>
        <v/>
      </c>
      <c r="CV106" s="4" t="str">
        <f t="shared" si="651"/>
        <v/>
      </c>
      <c r="CW106" s="5" t="str">
        <f t="shared" si="652"/>
        <v/>
      </c>
      <c r="CX106" s="8" t="str">
        <f t="shared" si="653"/>
        <v/>
      </c>
      <c r="CY106" s="9" t="str">
        <f t="shared" si="654"/>
        <v/>
      </c>
      <c r="CZ106" s="5" t="str">
        <f t="shared" si="655"/>
        <v/>
      </c>
      <c r="DA106" s="6" t="str">
        <f t="shared" si="656"/>
        <v/>
      </c>
      <c r="DB106" s="4" t="str">
        <f t="shared" si="657"/>
        <v/>
      </c>
      <c r="DC106" s="5" t="str">
        <f t="shared" si="657"/>
        <v/>
      </c>
      <c r="DD106" s="10" t="str">
        <f t="shared" si="658"/>
        <v/>
      </c>
      <c r="DE106" s="9" t="str">
        <f t="shared" si="659"/>
        <v/>
      </c>
      <c r="DF106" s="5" t="str">
        <f t="shared" si="659"/>
        <v/>
      </c>
      <c r="DG106" s="10" t="str">
        <f t="shared" si="660"/>
        <v/>
      </c>
      <c r="DH106" s="70" t="str">
        <f t="shared" si="661"/>
        <v/>
      </c>
      <c r="DI106" s="4" t="str">
        <f t="shared" si="662"/>
        <v/>
      </c>
      <c r="DJ106" s="5" t="str">
        <f t="shared" si="663"/>
        <v/>
      </c>
      <c r="DK106" s="10" t="str">
        <f t="shared" si="664"/>
        <v/>
      </c>
      <c r="DL106" s="9" t="str">
        <f t="shared" si="665"/>
        <v/>
      </c>
      <c r="DM106" s="173" t="str">
        <f t="shared" si="666"/>
        <v/>
      </c>
      <c r="DN106" s="178" t="str">
        <f t="shared" si="667"/>
        <v/>
      </c>
      <c r="DO106" s="9" t="str">
        <f t="shared" si="668"/>
        <v/>
      </c>
      <c r="DP106" s="173" t="str">
        <f t="shared" si="669"/>
        <v/>
      </c>
      <c r="DQ106" s="11" t="str">
        <f t="shared" si="670"/>
        <v/>
      </c>
      <c r="DR106" s="173" t="str">
        <f t="shared" si="671"/>
        <v/>
      </c>
      <c r="DS106" s="5" t="str">
        <f t="shared" si="672"/>
        <v/>
      </c>
      <c r="DT106" s="5" t="str">
        <f t="shared" si="673"/>
        <v/>
      </c>
      <c r="DU106" s="5" t="str">
        <f t="shared" si="674"/>
        <v/>
      </c>
      <c r="DV106" s="5" t="str">
        <f t="shared" si="675"/>
        <v/>
      </c>
      <c r="DW106" s="5" t="str">
        <f t="shared" si="676"/>
        <v/>
      </c>
      <c r="DX106" s="167" t="str">
        <f t="shared" si="677"/>
        <v/>
      </c>
      <c r="DY106" s="9" t="str">
        <f t="shared" si="678"/>
        <v/>
      </c>
      <c r="DZ106" s="5" t="str">
        <f t="shared" si="679"/>
        <v/>
      </c>
      <c r="EA106" s="10" t="str">
        <f t="shared" si="680"/>
        <v/>
      </c>
      <c r="EB106" s="6" t="str">
        <f t="shared" si="681"/>
        <v/>
      </c>
      <c r="EC106" s="173" t="str">
        <f t="shared" si="682"/>
        <v/>
      </c>
      <c r="ED106" s="5" t="str">
        <f t="shared" si="683"/>
        <v/>
      </c>
      <c r="EE106" s="4" t="str">
        <f t="shared" si="684"/>
        <v/>
      </c>
      <c r="EF106" s="5" t="str">
        <f t="shared" si="685"/>
        <v/>
      </c>
      <c r="EG106" s="10" t="str">
        <f t="shared" si="686"/>
        <v/>
      </c>
      <c r="EH106" s="9" t="str">
        <f t="shared" si="687"/>
        <v/>
      </c>
      <c r="EI106" s="5" t="str">
        <f t="shared" si="688"/>
        <v/>
      </c>
      <c r="EJ106" s="6" t="str">
        <f t="shared" si="689"/>
        <v/>
      </c>
      <c r="EK106" s="236" t="str">
        <f t="shared" si="690"/>
        <v/>
      </c>
      <c r="EL106" s="238" t="str">
        <f t="shared" si="691"/>
        <v/>
      </c>
      <c r="EM106" s="4" t="str">
        <f t="shared" si="692"/>
        <v/>
      </c>
      <c r="EN106" s="5" t="str">
        <f t="shared" si="693"/>
        <v/>
      </c>
      <c r="EO106" s="10" t="str">
        <f t="shared" si="694"/>
        <v/>
      </c>
      <c r="EP106" s="9" t="str">
        <f t="shared" si="695"/>
        <v/>
      </c>
      <c r="EQ106" s="5" t="str">
        <f t="shared" si="696"/>
        <v/>
      </c>
      <c r="ER106" s="7" t="str">
        <f t="shared" si="697"/>
        <v/>
      </c>
      <c r="ES106" s="21" t="str">
        <f t="shared" si="758"/>
        <v/>
      </c>
      <c r="ET106" s="5" t="str">
        <f t="shared" si="759"/>
        <v/>
      </c>
      <c r="EU106" s="10" t="str">
        <f t="shared" si="760"/>
        <v/>
      </c>
      <c r="EV106" s="174" t="str">
        <f t="shared" si="761"/>
        <v/>
      </c>
      <c r="EW106" s="9" t="str">
        <f t="shared" si="762"/>
        <v/>
      </c>
      <c r="EX106" s="5" t="str">
        <f t="shared" si="763"/>
        <v/>
      </c>
      <c r="EY106" s="6" t="str">
        <f t="shared" si="698"/>
        <v/>
      </c>
      <c r="EZ106" s="51" t="str">
        <f t="shared" si="699"/>
        <v/>
      </c>
      <c r="FA106" s="173" t="str">
        <f t="shared" si="764"/>
        <v/>
      </c>
      <c r="FB106" s="5" t="str">
        <f t="shared" si="765"/>
        <v/>
      </c>
      <c r="FC106" s="6" t="str">
        <f t="shared" si="766"/>
        <v/>
      </c>
      <c r="FD106" s="4" t="str">
        <f t="shared" si="767"/>
        <v/>
      </c>
      <c r="FE106" s="5" t="str">
        <f t="shared" si="768"/>
        <v/>
      </c>
      <c r="FF106" s="7" t="str">
        <f t="shared" si="700"/>
        <v/>
      </c>
      <c r="FG106" s="173" t="str">
        <f t="shared" si="769"/>
        <v/>
      </c>
      <c r="FH106" s="5" t="str">
        <f t="shared" si="770"/>
        <v/>
      </c>
      <c r="FI106" s="10" t="str">
        <f t="shared" si="771"/>
        <v/>
      </c>
      <c r="FJ106" s="279" t="str">
        <f t="shared" si="701"/>
        <v/>
      </c>
      <c r="FK106" s="4" t="str">
        <f t="shared" si="772"/>
        <v/>
      </c>
      <c r="FL106" s="5" t="str">
        <f t="shared" si="626"/>
        <v/>
      </c>
      <c r="FM106" s="8" t="str">
        <f t="shared" si="627"/>
        <v/>
      </c>
      <c r="FN106" s="9" t="str">
        <f t="shared" si="628"/>
        <v/>
      </c>
      <c r="FO106" s="10" t="str">
        <f t="shared" si="773"/>
        <v/>
      </c>
      <c r="FP106" s="277" t="str">
        <f t="shared" si="629"/>
        <v/>
      </c>
      <c r="FQ106" s="173" t="str">
        <f t="shared" si="702"/>
        <v/>
      </c>
      <c r="FR106" s="10" t="str">
        <f t="shared" si="703"/>
        <v/>
      </c>
      <c r="FS106" s="9" t="str">
        <f t="shared" si="704"/>
        <v/>
      </c>
      <c r="FT106" s="6" t="str">
        <f t="shared" si="705"/>
        <v/>
      </c>
      <c r="FU106" s="4" t="str">
        <f t="shared" si="706"/>
        <v/>
      </c>
      <c r="FV106" s="5" t="str">
        <f t="shared" si="707"/>
        <v/>
      </c>
      <c r="FW106" s="8" t="str">
        <f t="shared" si="708"/>
        <v/>
      </c>
      <c r="FX106" s="9" t="str">
        <f t="shared" si="709"/>
        <v/>
      </c>
      <c r="FY106" s="10" t="str">
        <f t="shared" si="774"/>
        <v/>
      </c>
      <c r="FZ106" s="277" t="str">
        <f t="shared" si="710"/>
        <v/>
      </c>
      <c r="GA106" s="177" t="str">
        <f t="shared" si="711"/>
        <v/>
      </c>
      <c r="GB106" s="4" t="str">
        <f t="shared" si="712"/>
        <v/>
      </c>
      <c r="GC106" s="5" t="str">
        <f t="shared" si="713"/>
        <v/>
      </c>
      <c r="GD106" s="10" t="str">
        <f t="shared" si="714"/>
        <v/>
      </c>
      <c r="GE106" s="311" t="str">
        <f t="shared" si="715"/>
        <v/>
      </c>
      <c r="GF106" s="341" t="str">
        <f t="shared" si="716"/>
        <v/>
      </c>
      <c r="GG106" s="285" t="str">
        <f t="shared" si="775"/>
        <v/>
      </c>
      <c r="GH106" s="286" t="str">
        <f t="shared" si="776"/>
        <v/>
      </c>
      <c r="GI106" s="281" t="str">
        <f t="shared" si="777"/>
        <v/>
      </c>
      <c r="GJ106" s="167" t="str">
        <f t="shared" si="717"/>
        <v/>
      </c>
      <c r="GK106" s="174" t="str">
        <f t="shared" si="778"/>
        <v/>
      </c>
      <c r="GL106" s="174" t="str">
        <f t="shared" si="718"/>
        <v/>
      </c>
      <c r="GM106" s="177" t="str">
        <f t="shared" si="719"/>
        <v/>
      </c>
      <c r="GN106" s="280" t="str">
        <f t="shared" si="720"/>
        <v/>
      </c>
      <c r="GO106" s="4" t="str">
        <f t="shared" si="721"/>
        <v/>
      </c>
      <c r="GP106" s="8" t="str">
        <f t="shared" si="722"/>
        <v/>
      </c>
      <c r="GQ106" s="177" t="str">
        <f t="shared" si="723"/>
        <v/>
      </c>
      <c r="GR106" s="371" t="str">
        <f t="shared" si="724"/>
        <v/>
      </c>
      <c r="GS106" s="342" t="str">
        <f t="shared" si="779"/>
        <v/>
      </c>
      <c r="GT106" s="343" t="str">
        <f t="shared" si="780"/>
        <v/>
      </c>
      <c r="GU106" s="344" t="str">
        <f t="shared" si="781"/>
        <v/>
      </c>
      <c r="GV106" s="343" t="str">
        <f t="shared" si="725"/>
        <v/>
      </c>
      <c r="GW106" s="345" t="str">
        <f t="shared" si="782"/>
        <v/>
      </c>
      <c r="GX106" s="346" t="str">
        <f t="shared" si="783"/>
        <v/>
      </c>
      <c r="GY106" s="344" t="str">
        <f t="shared" si="784"/>
        <v/>
      </c>
      <c r="GZ106" s="345" t="str">
        <f t="shared" si="785"/>
        <v/>
      </c>
      <c r="HA106" s="342" t="str">
        <f t="shared" si="786"/>
        <v/>
      </c>
      <c r="HB106" s="5" t="str">
        <f t="shared" si="726"/>
        <v/>
      </c>
      <c r="HC106" s="343" t="str">
        <f t="shared" si="727"/>
        <v/>
      </c>
      <c r="HD106" s="363" t="str">
        <f t="shared" si="728"/>
        <v/>
      </c>
      <c r="HE106" s="344" t="str">
        <f t="shared" si="787"/>
        <v/>
      </c>
      <c r="HF106" s="5" t="str">
        <f t="shared" si="788"/>
        <v/>
      </c>
      <c r="HG106" s="343" t="str">
        <f t="shared" si="729"/>
        <v/>
      </c>
      <c r="HH106" s="349" t="str">
        <f t="shared" si="730"/>
        <v/>
      </c>
      <c r="HI106" s="317" t="str">
        <f t="shared" si="789"/>
        <v/>
      </c>
      <c r="HK106" s="310" t="str">
        <f t="shared" ref="HK106:HK137" si="840">IF(ISNUMBER(HS106),HK105+1,"")</f>
        <v/>
      </c>
      <c r="HL106" s="348" t="str">
        <f t="shared" si="790"/>
        <v/>
      </c>
      <c r="HM106" s="909" t="str">
        <f t="shared" si="791"/>
        <v/>
      </c>
      <c r="HN106" s="910" t="str">
        <f t="shared" si="792"/>
        <v/>
      </c>
      <c r="HO106" s="911"/>
      <c r="HP106" s="912"/>
      <c r="HQ106" s="910" t="str">
        <f t="shared" si="793"/>
        <v/>
      </c>
      <c r="HR106" s="913" t="str">
        <f t="shared" si="794"/>
        <v/>
      </c>
      <c r="HS106" s="865" t="str">
        <f t="shared" ref="HS106:HS129" si="841">IFERROR(SMALL($GJ$9:$GJ$150,($HK105+1)),"")</f>
        <v/>
      </c>
      <c r="HT106" s="875" t="str">
        <f t="shared" si="795"/>
        <v/>
      </c>
      <c r="HU106" s="876" t="str">
        <f t="shared" si="796"/>
        <v/>
      </c>
      <c r="HV106" s="872" t="str">
        <f t="shared" si="797"/>
        <v/>
      </c>
      <c r="HW106" s="866" t="str">
        <f t="shared" si="798"/>
        <v/>
      </c>
      <c r="HX106" s="867" t="str">
        <f t="shared" si="799"/>
        <v/>
      </c>
      <c r="HY106" s="866" t="str">
        <f t="shared" si="800"/>
        <v/>
      </c>
      <c r="HZ106" s="868" t="str">
        <f t="shared" si="801"/>
        <v/>
      </c>
      <c r="IA106" s="869" t="str">
        <f t="shared" si="802"/>
        <v/>
      </c>
      <c r="IB106" s="870" t="str">
        <f t="shared" si="803"/>
        <v/>
      </c>
      <c r="IC106" s="841" t="str">
        <f t="shared" si="804"/>
        <v/>
      </c>
      <c r="ID106" s="351" t="str">
        <f t="shared" si="805"/>
        <v/>
      </c>
      <c r="IE106" s="843" t="str">
        <f t="shared" si="806"/>
        <v/>
      </c>
      <c r="IF106" s="844"/>
      <c r="IG106" s="790" t="str">
        <f>IFERROR(IF($IW106="","",IF($IW106&lt;(((Settings!$C$19/2)*-1)*$IG$8),"Taper","Nose")),"")</f>
        <v/>
      </c>
      <c r="IH106" s="482" t="str">
        <f>IFERROR(IF((((($IY106*COS(RADIANS(180-$JA106)))*COS(RADIANS($JA106)))-(($IZ106*SIN(RADIANS(180-$JA106)))*SIN(RADIANS($JA106))))+$IW106)&lt;(((Settings!$C$19+$IH$8)/2)*-1),"Gage",""),"")</f>
        <v/>
      </c>
      <c r="II106" s="788" t="str">
        <f t="shared" si="731"/>
        <v/>
      </c>
      <c r="IJ106" s="674" t="str" cm="1">
        <f t="array" ref="IJ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K106" s="677" t="str" cm="1">
        <f t="array" ref="IK106">IFERROR(ROUND(VALUE(IF($IJ106&lt;1,$IJ106+LARGE((IF($M$9:$M$150="",0,$M$9:$M$150)-MOD(IF($M$9:$M$150="",0,$M$9:$M$150),1)),1),$IJ106)),4),"")</f>
        <v/>
      </c>
      <c r="IL106" s="482" t="str">
        <f t="shared" si="807"/>
        <v/>
      </c>
      <c r="IM106" s="482" t="str">
        <f t="shared" si="732"/>
        <v/>
      </c>
      <c r="IN106" s="670" t="str">
        <f t="shared" si="808"/>
        <v/>
      </c>
      <c r="IO106" s="702"/>
      <c r="IP106" s="5" t="str">
        <f t="shared" si="809"/>
        <v/>
      </c>
      <c r="IQ106" s="714"/>
      <c r="IR106" s="9" t="str">
        <f t="shared" si="810"/>
        <v/>
      </c>
      <c r="IS106" s="5" t="str">
        <f t="shared" si="811"/>
        <v/>
      </c>
      <c r="IT106" s="5" t="str">
        <f t="shared" si="812"/>
        <v/>
      </c>
      <c r="IU106" s="5" t="str">
        <f t="shared" si="813"/>
        <v/>
      </c>
      <c r="IV106" s="670" t="str">
        <f t="shared" si="814"/>
        <v/>
      </c>
      <c r="IW106" s="9" t="str">
        <f t="shared" si="815"/>
        <v/>
      </c>
      <c r="IX106" s="5" t="str">
        <f t="shared" si="816"/>
        <v/>
      </c>
      <c r="IY106" s="5" t="str">
        <f t="shared" si="817"/>
        <v/>
      </c>
      <c r="IZ106" s="5" t="str">
        <f t="shared" si="818"/>
        <v/>
      </c>
      <c r="JA106" s="705" t="str">
        <f t="shared" si="819"/>
        <v/>
      </c>
    </row>
    <row r="107" spans="1:261" ht="15" customHeight="1" x14ac:dyDescent="0.25">
      <c r="A107" s="75" t="str">
        <f t="shared" si="736"/>
        <v/>
      </c>
      <c r="B107" s="578" t="str">
        <f t="shared" si="515"/>
        <v/>
      </c>
      <c r="C107" s="572" t="str">
        <f t="shared" si="516"/>
        <v/>
      </c>
      <c r="D107" s="576" t="str">
        <f t="shared" si="517"/>
        <v/>
      </c>
      <c r="E107" s="580" t="str">
        <f t="shared" si="518"/>
        <v/>
      </c>
      <c r="F107" s="572" t="str">
        <f t="shared" si="519"/>
        <v/>
      </c>
      <c r="G107" s="579" t="str">
        <f t="shared" si="520"/>
        <v/>
      </c>
      <c r="H107" s="580" t="str">
        <f t="shared" si="521"/>
        <v/>
      </c>
      <c r="I107" s="572" t="str">
        <f t="shared" si="522"/>
        <v/>
      </c>
      <c r="J107" s="483" t="str">
        <f t="shared" si="523"/>
        <v/>
      </c>
      <c r="K107" s="806" t="str">
        <f t="shared" si="524"/>
        <v/>
      </c>
      <c r="L107" s="309"/>
      <c r="M107" s="164" t="str">
        <f t="shared" si="737"/>
        <v/>
      </c>
      <c r="N107" s="575" t="str">
        <f t="shared" si="738"/>
        <v/>
      </c>
      <c r="O107" s="572" t="str">
        <f t="shared" si="739"/>
        <v/>
      </c>
      <c r="P107" s="576" t="str">
        <f t="shared" si="740"/>
        <v/>
      </c>
      <c r="Q107" s="528" t="str">
        <f t="shared" si="609"/>
        <v/>
      </c>
      <c r="R107" s="572" t="str">
        <f t="shared" si="820"/>
        <v/>
      </c>
      <c r="S107" s="577" t="str">
        <f t="shared" si="821"/>
        <v/>
      </c>
      <c r="T107" s="578" t="str">
        <f t="shared" si="822"/>
        <v/>
      </c>
      <c r="U107" s="572" t="str">
        <f t="shared" si="823"/>
        <v/>
      </c>
      <c r="V107" s="579" t="str">
        <f t="shared" si="824"/>
        <v/>
      </c>
      <c r="W107" s="528" t="str">
        <f t="shared" si="735"/>
        <v/>
      </c>
      <c r="X107" s="572" t="str">
        <f t="shared" si="825"/>
        <v/>
      </c>
      <c r="Y107" s="573" t="str">
        <f t="shared" si="733"/>
        <v/>
      </c>
      <c r="Z107" s="575" t="str">
        <f t="shared" si="741"/>
        <v/>
      </c>
      <c r="AA107" s="572" t="str">
        <f t="shared" si="742"/>
        <v/>
      </c>
      <c r="AB107" s="572" t="str">
        <f t="shared" si="743"/>
        <v/>
      </c>
      <c r="AC107" s="579" t="str">
        <f t="shared" si="826"/>
        <v/>
      </c>
      <c r="AD107" s="580" t="str">
        <f t="shared" si="827"/>
        <v/>
      </c>
      <c r="AE107" s="572" t="str">
        <f t="shared" si="828"/>
        <v/>
      </c>
      <c r="AF107" s="576" t="str">
        <f t="shared" si="829"/>
        <v/>
      </c>
      <c r="AG107" s="545" t="str">
        <f t="shared" si="830"/>
        <v/>
      </c>
      <c r="AH107" s="546" t="str">
        <f t="shared" si="831"/>
        <v/>
      </c>
      <c r="AI107" s="528" t="str">
        <f t="shared" si="832"/>
        <v/>
      </c>
      <c r="AJ107" s="529" t="str">
        <f t="shared" si="833"/>
        <v/>
      </c>
      <c r="AK107" s="578" t="str">
        <f t="shared" si="834"/>
        <v/>
      </c>
      <c r="AL107" s="572" t="str">
        <f t="shared" si="835"/>
        <v/>
      </c>
      <c r="AM107" s="577" t="str">
        <f t="shared" si="836"/>
        <v/>
      </c>
      <c r="AN107" s="524" t="str">
        <f t="shared" si="837"/>
        <v/>
      </c>
      <c r="AO107" s="525" t="str">
        <f t="shared" si="525"/>
        <v/>
      </c>
      <c r="AP107" s="528" t="str">
        <f t="shared" si="838"/>
        <v/>
      </c>
      <c r="AQ107" s="529" t="str">
        <f t="shared" si="744"/>
        <v/>
      </c>
      <c r="AS107" s="932" t="str">
        <f t="shared" ref="AS107:AS138" si="842">IF(G107="","",IF(AND(W107&lt;(AS106+180),W107&gt;(AS106-180)),W107,IF(W107&gt;(AS106+180),W107-360,IF(W107&lt;(AS106-180),W107+360,"Error"))))</f>
        <v/>
      </c>
      <c r="AT107" s="928" t="str">
        <f t="shared" si="745"/>
        <v/>
      </c>
      <c r="AU107" s="418"/>
      <c r="AV107" s="164" t="str">
        <f t="shared" si="746"/>
        <v/>
      </c>
      <c r="AW107" s="797" t="str">
        <f>IFERROR(INDEX(MassProp!C$9:C$150,MATCH($M107,MassProp!$B$9:$B$150,0)),"")</f>
        <v/>
      </c>
      <c r="AX107" s="744" t="str">
        <f>IFERROR(INDEX(MassProp!D$9:D$150,MATCH($M107,MassProp!$B$9:$B$150,0)),"")</f>
        <v/>
      </c>
      <c r="AY107" s="731" t="str">
        <f>IFERROR(INDEX(MassProp!E$9:E$150,MATCH($M107,MassProp!$B$9:$B$150,0)),"")</f>
        <v/>
      </c>
      <c r="AZ107" s="297" t="str">
        <f t="shared" si="633"/>
        <v/>
      </c>
      <c r="BA107" s="296" t="str">
        <f t="shared" si="747"/>
        <v/>
      </c>
      <c r="BB107" s="177" t="str">
        <f t="shared" si="610"/>
        <v/>
      </c>
      <c r="BC107" s="9"/>
      <c r="BD107" s="5" t="str">
        <f t="shared" si="611"/>
        <v/>
      </c>
      <c r="BE107" s="6" t="str">
        <f t="shared" si="748"/>
        <v/>
      </c>
      <c r="BF107" s="4" t="str">
        <f t="shared" si="749"/>
        <v/>
      </c>
      <c r="BG107" s="5" t="str">
        <f t="shared" si="750"/>
        <v/>
      </c>
      <c r="BH107" s="10" t="str">
        <f t="shared" si="751"/>
        <v/>
      </c>
      <c r="BI107" s="9" t="str">
        <f t="shared" si="634"/>
        <v/>
      </c>
      <c r="BJ107" s="5" t="str">
        <f t="shared" si="752"/>
        <v/>
      </c>
      <c r="BK107" s="8" t="str">
        <f t="shared" si="753"/>
        <v/>
      </c>
      <c r="BL107" s="173" t="str">
        <f t="shared" si="754"/>
        <v/>
      </c>
      <c r="BM107" s="5" t="str">
        <f t="shared" si="755"/>
        <v/>
      </c>
      <c r="BN107" s="6" t="str">
        <f t="shared" si="756"/>
        <v/>
      </c>
      <c r="BO107" s="4" t="str">
        <f t="shared" si="635"/>
        <v/>
      </c>
      <c r="BP107" s="5" t="str">
        <f t="shared" si="734"/>
        <v/>
      </c>
      <c r="BQ107" s="5" t="str">
        <f t="shared" si="636"/>
        <v/>
      </c>
      <c r="BR107" s="6" t="str">
        <f t="shared" si="637"/>
        <v/>
      </c>
      <c r="BS107" s="4" t="str">
        <f t="shared" si="839"/>
        <v/>
      </c>
      <c r="BT107" s="5" t="str">
        <f t="shared" si="839"/>
        <v/>
      </c>
      <c r="BU107" s="10" t="str">
        <f t="shared" si="613"/>
        <v/>
      </c>
      <c r="BV107" s="9" t="str">
        <f t="shared" si="614"/>
        <v/>
      </c>
      <c r="BW107" s="5" t="str">
        <f t="shared" si="615"/>
        <v/>
      </c>
      <c r="BX107" s="8" t="str">
        <f t="shared" si="616"/>
        <v/>
      </c>
      <c r="BY107" s="173" t="str">
        <f t="shared" si="617"/>
        <v/>
      </c>
      <c r="BZ107" s="5" t="str">
        <f t="shared" si="618"/>
        <v/>
      </c>
      <c r="CA107" s="6" t="str">
        <f t="shared" si="619"/>
        <v/>
      </c>
      <c r="CB107" s="4" t="str">
        <f t="shared" si="638"/>
        <v/>
      </c>
      <c r="CC107" s="5" t="str">
        <f t="shared" si="639"/>
        <v/>
      </c>
      <c r="CD107" s="5" t="str">
        <f t="shared" si="640"/>
        <v/>
      </c>
      <c r="CE107" s="6" t="str">
        <f t="shared" si="641"/>
        <v/>
      </c>
      <c r="CF107" s="4" t="str">
        <f t="shared" si="642"/>
        <v/>
      </c>
      <c r="CG107" s="5" t="str">
        <f t="shared" si="643"/>
        <v/>
      </c>
      <c r="CH107" s="5" t="str">
        <f t="shared" si="644"/>
        <v/>
      </c>
      <c r="CI107" s="4" t="str">
        <f t="shared" si="620"/>
        <v/>
      </c>
      <c r="CJ107" s="5" t="str">
        <f t="shared" si="621"/>
        <v/>
      </c>
      <c r="CK107" s="8" t="str">
        <f t="shared" si="622"/>
        <v/>
      </c>
      <c r="CL107" s="173" t="str">
        <f t="shared" si="623"/>
        <v/>
      </c>
      <c r="CM107" s="5" t="str">
        <f t="shared" si="624"/>
        <v/>
      </c>
      <c r="CN107" s="6" t="str">
        <f t="shared" si="625"/>
        <v/>
      </c>
      <c r="CO107" s="167" t="str">
        <f t="shared" si="757"/>
        <v/>
      </c>
      <c r="CP107" s="4" t="str">
        <f t="shared" si="645"/>
        <v/>
      </c>
      <c r="CQ107" s="5" t="str">
        <f t="shared" si="646"/>
        <v/>
      </c>
      <c r="CR107" s="5" t="str">
        <f t="shared" si="647"/>
        <v/>
      </c>
      <c r="CS107" s="8" t="str">
        <f t="shared" si="648"/>
        <v/>
      </c>
      <c r="CT107" s="9" t="str">
        <f t="shared" si="649"/>
        <v/>
      </c>
      <c r="CU107" s="6" t="str">
        <f t="shared" si="650"/>
        <v/>
      </c>
      <c r="CV107" s="4" t="str">
        <f t="shared" si="651"/>
        <v/>
      </c>
      <c r="CW107" s="5" t="str">
        <f t="shared" si="652"/>
        <v/>
      </c>
      <c r="CX107" s="8" t="str">
        <f t="shared" si="653"/>
        <v/>
      </c>
      <c r="CY107" s="9" t="str">
        <f t="shared" si="654"/>
        <v/>
      </c>
      <c r="CZ107" s="5" t="str">
        <f t="shared" si="655"/>
        <v/>
      </c>
      <c r="DA107" s="6" t="str">
        <f t="shared" si="656"/>
        <v/>
      </c>
      <c r="DB107" s="4" t="str">
        <f t="shared" ref="DB107:DC150" si="843">IF(ISNUMBER($AV107),0,"")</f>
        <v/>
      </c>
      <c r="DC107" s="5" t="str">
        <f t="shared" si="843"/>
        <v/>
      </c>
      <c r="DD107" s="10" t="str">
        <f t="shared" si="658"/>
        <v/>
      </c>
      <c r="DE107" s="9" t="str">
        <f t="shared" ref="DE107:DF150" si="844">IF(ISNUMBER($AV107),0,"")</f>
        <v/>
      </c>
      <c r="DF107" s="5" t="str">
        <f t="shared" si="844"/>
        <v/>
      </c>
      <c r="DG107" s="10" t="str">
        <f t="shared" si="660"/>
        <v/>
      </c>
      <c r="DH107" s="70" t="str">
        <f t="shared" si="661"/>
        <v/>
      </c>
      <c r="DI107" s="4" t="str">
        <f t="shared" si="662"/>
        <v/>
      </c>
      <c r="DJ107" s="5" t="str">
        <f t="shared" si="663"/>
        <v/>
      </c>
      <c r="DK107" s="10" t="str">
        <f t="shared" si="664"/>
        <v/>
      </c>
      <c r="DL107" s="9" t="str">
        <f t="shared" si="665"/>
        <v/>
      </c>
      <c r="DM107" s="173" t="str">
        <f t="shared" si="666"/>
        <v/>
      </c>
      <c r="DN107" s="178" t="str">
        <f t="shared" si="667"/>
        <v/>
      </c>
      <c r="DO107" s="9" t="str">
        <f t="shared" si="668"/>
        <v/>
      </c>
      <c r="DP107" s="173" t="str">
        <f t="shared" si="669"/>
        <v/>
      </c>
      <c r="DQ107" s="11" t="str">
        <f t="shared" si="670"/>
        <v/>
      </c>
      <c r="DR107" s="173" t="str">
        <f t="shared" si="671"/>
        <v/>
      </c>
      <c r="DS107" s="5" t="str">
        <f t="shared" si="672"/>
        <v/>
      </c>
      <c r="DT107" s="5" t="str">
        <f t="shared" si="673"/>
        <v/>
      </c>
      <c r="DU107" s="5" t="str">
        <f t="shared" si="674"/>
        <v/>
      </c>
      <c r="DV107" s="5" t="str">
        <f t="shared" si="675"/>
        <v/>
      </c>
      <c r="DW107" s="5" t="str">
        <f t="shared" si="676"/>
        <v/>
      </c>
      <c r="DX107" s="167" t="str">
        <f t="shared" si="677"/>
        <v/>
      </c>
      <c r="DY107" s="9" t="str">
        <f t="shared" si="678"/>
        <v/>
      </c>
      <c r="DZ107" s="5" t="str">
        <f t="shared" si="679"/>
        <v/>
      </c>
      <c r="EA107" s="10" t="str">
        <f t="shared" si="680"/>
        <v/>
      </c>
      <c r="EB107" s="6" t="str">
        <f t="shared" si="681"/>
        <v/>
      </c>
      <c r="EC107" s="173" t="str">
        <f t="shared" si="682"/>
        <v/>
      </c>
      <c r="ED107" s="5" t="str">
        <f t="shared" si="683"/>
        <v/>
      </c>
      <c r="EE107" s="4" t="str">
        <f t="shared" si="684"/>
        <v/>
      </c>
      <c r="EF107" s="5" t="str">
        <f t="shared" si="685"/>
        <v/>
      </c>
      <c r="EG107" s="10" t="str">
        <f t="shared" si="686"/>
        <v/>
      </c>
      <c r="EH107" s="9" t="str">
        <f t="shared" si="687"/>
        <v/>
      </c>
      <c r="EI107" s="5" t="str">
        <f t="shared" si="688"/>
        <v/>
      </c>
      <c r="EJ107" s="6" t="str">
        <f t="shared" si="689"/>
        <v/>
      </c>
      <c r="EK107" s="236" t="str">
        <f t="shared" si="690"/>
        <v/>
      </c>
      <c r="EL107" s="238" t="str">
        <f t="shared" si="691"/>
        <v/>
      </c>
      <c r="EM107" s="4" t="str">
        <f t="shared" si="692"/>
        <v/>
      </c>
      <c r="EN107" s="5" t="str">
        <f t="shared" si="693"/>
        <v/>
      </c>
      <c r="EO107" s="10" t="str">
        <f t="shared" si="694"/>
        <v/>
      </c>
      <c r="EP107" s="9" t="str">
        <f t="shared" si="695"/>
        <v/>
      </c>
      <c r="EQ107" s="5" t="str">
        <f t="shared" si="696"/>
        <v/>
      </c>
      <c r="ER107" s="7" t="str">
        <f t="shared" si="697"/>
        <v/>
      </c>
      <c r="ES107" s="21" t="str">
        <f t="shared" si="758"/>
        <v/>
      </c>
      <c r="ET107" s="5" t="str">
        <f t="shared" si="759"/>
        <v/>
      </c>
      <c r="EU107" s="10" t="str">
        <f t="shared" si="760"/>
        <v/>
      </c>
      <c r="EV107" s="174" t="str">
        <f t="shared" si="761"/>
        <v/>
      </c>
      <c r="EW107" s="9" t="str">
        <f t="shared" si="762"/>
        <v/>
      </c>
      <c r="EX107" s="5" t="str">
        <f t="shared" si="763"/>
        <v/>
      </c>
      <c r="EY107" s="6" t="str">
        <f t="shared" si="698"/>
        <v/>
      </c>
      <c r="EZ107" s="51" t="str">
        <f t="shared" si="699"/>
        <v/>
      </c>
      <c r="FA107" s="173" t="str">
        <f t="shared" si="764"/>
        <v/>
      </c>
      <c r="FB107" s="5" t="str">
        <f t="shared" si="765"/>
        <v/>
      </c>
      <c r="FC107" s="6" t="str">
        <f t="shared" si="766"/>
        <v/>
      </c>
      <c r="FD107" s="4" t="str">
        <f t="shared" si="767"/>
        <v/>
      </c>
      <c r="FE107" s="5" t="str">
        <f t="shared" si="768"/>
        <v/>
      </c>
      <c r="FF107" s="7" t="str">
        <f t="shared" si="700"/>
        <v/>
      </c>
      <c r="FG107" s="173" t="str">
        <f t="shared" si="769"/>
        <v/>
      </c>
      <c r="FH107" s="5" t="str">
        <f t="shared" si="770"/>
        <v/>
      </c>
      <c r="FI107" s="10" t="str">
        <f t="shared" si="771"/>
        <v/>
      </c>
      <c r="FJ107" s="279" t="str">
        <f t="shared" si="701"/>
        <v/>
      </c>
      <c r="FK107" s="4" t="str">
        <f t="shared" si="772"/>
        <v/>
      </c>
      <c r="FL107" s="5" t="str">
        <f t="shared" si="626"/>
        <v/>
      </c>
      <c r="FM107" s="8" t="str">
        <f t="shared" si="627"/>
        <v/>
      </c>
      <c r="FN107" s="9" t="str">
        <f t="shared" si="628"/>
        <v/>
      </c>
      <c r="FO107" s="10" t="str">
        <f t="shared" si="773"/>
        <v/>
      </c>
      <c r="FP107" s="277" t="str">
        <f t="shared" si="629"/>
        <v/>
      </c>
      <c r="FQ107" s="173" t="str">
        <f t="shared" si="702"/>
        <v/>
      </c>
      <c r="FR107" s="10" t="str">
        <f t="shared" si="703"/>
        <v/>
      </c>
      <c r="FS107" s="9" t="str">
        <f t="shared" si="704"/>
        <v/>
      </c>
      <c r="FT107" s="6" t="str">
        <f t="shared" si="705"/>
        <v/>
      </c>
      <c r="FU107" s="4" t="str">
        <f t="shared" si="706"/>
        <v/>
      </c>
      <c r="FV107" s="5" t="str">
        <f t="shared" si="707"/>
        <v/>
      </c>
      <c r="FW107" s="8" t="str">
        <f t="shared" si="708"/>
        <v/>
      </c>
      <c r="FX107" s="9" t="str">
        <f t="shared" si="709"/>
        <v/>
      </c>
      <c r="FY107" s="10" t="str">
        <f t="shared" si="774"/>
        <v/>
      </c>
      <c r="FZ107" s="277" t="str">
        <f t="shared" si="710"/>
        <v/>
      </c>
      <c r="GA107" s="177" t="str">
        <f t="shared" si="711"/>
        <v/>
      </c>
      <c r="GB107" s="4" t="str">
        <f t="shared" si="712"/>
        <v/>
      </c>
      <c r="GC107" s="5" t="str">
        <f t="shared" si="713"/>
        <v/>
      </c>
      <c r="GD107" s="10" t="str">
        <f t="shared" si="714"/>
        <v/>
      </c>
      <c r="GE107" s="311" t="str">
        <f t="shared" si="715"/>
        <v/>
      </c>
      <c r="GF107" s="341" t="str">
        <f t="shared" si="716"/>
        <v/>
      </c>
      <c r="GG107" s="285" t="str">
        <f t="shared" si="775"/>
        <v/>
      </c>
      <c r="GH107" s="286" t="str">
        <f t="shared" si="776"/>
        <v/>
      </c>
      <c r="GI107" s="281" t="str">
        <f t="shared" si="777"/>
        <v/>
      </c>
      <c r="GJ107" s="167" t="str">
        <f t="shared" si="717"/>
        <v/>
      </c>
      <c r="GK107" s="174" t="str">
        <f t="shared" si="778"/>
        <v/>
      </c>
      <c r="GL107" s="174" t="str">
        <f t="shared" si="718"/>
        <v/>
      </c>
      <c r="GM107" s="177" t="str">
        <f t="shared" si="719"/>
        <v/>
      </c>
      <c r="GN107" s="280" t="str">
        <f t="shared" si="720"/>
        <v/>
      </c>
      <c r="GO107" s="4" t="str">
        <f t="shared" si="721"/>
        <v/>
      </c>
      <c r="GP107" s="8" t="str">
        <f t="shared" si="722"/>
        <v/>
      </c>
      <c r="GQ107" s="177" t="str">
        <f t="shared" si="723"/>
        <v/>
      </c>
      <c r="GR107" s="371" t="str">
        <f t="shared" si="724"/>
        <v/>
      </c>
      <c r="GS107" s="342" t="str">
        <f t="shared" si="779"/>
        <v/>
      </c>
      <c r="GT107" s="343" t="str">
        <f t="shared" si="780"/>
        <v/>
      </c>
      <c r="GU107" s="344" t="str">
        <f t="shared" si="781"/>
        <v/>
      </c>
      <c r="GV107" s="343" t="str">
        <f t="shared" si="725"/>
        <v/>
      </c>
      <c r="GW107" s="345" t="str">
        <f t="shared" si="782"/>
        <v/>
      </c>
      <c r="GX107" s="346" t="str">
        <f t="shared" si="783"/>
        <v/>
      </c>
      <c r="GY107" s="344" t="str">
        <f t="shared" si="784"/>
        <v/>
      </c>
      <c r="GZ107" s="345" t="str">
        <f t="shared" si="785"/>
        <v/>
      </c>
      <c r="HA107" s="342" t="str">
        <f t="shared" si="786"/>
        <v/>
      </c>
      <c r="HB107" s="5" t="str">
        <f t="shared" si="726"/>
        <v/>
      </c>
      <c r="HC107" s="343" t="str">
        <f t="shared" si="727"/>
        <v/>
      </c>
      <c r="HD107" s="363" t="str">
        <f t="shared" si="728"/>
        <v/>
      </c>
      <c r="HE107" s="344" t="str">
        <f t="shared" si="787"/>
        <v/>
      </c>
      <c r="HF107" s="5" t="str">
        <f t="shared" si="788"/>
        <v/>
      </c>
      <c r="HG107" s="343" t="str">
        <f t="shared" si="729"/>
        <v/>
      </c>
      <c r="HH107" s="349" t="str">
        <f t="shared" si="730"/>
        <v/>
      </c>
      <c r="HI107" s="317" t="str">
        <f t="shared" si="789"/>
        <v/>
      </c>
      <c r="HK107" s="310" t="str">
        <f t="shared" si="840"/>
        <v/>
      </c>
      <c r="HL107" s="348" t="str">
        <f t="shared" si="790"/>
        <v/>
      </c>
      <c r="HM107" s="909" t="str">
        <f t="shared" si="791"/>
        <v/>
      </c>
      <c r="HN107" s="910" t="str">
        <f t="shared" si="792"/>
        <v/>
      </c>
      <c r="HO107" s="911"/>
      <c r="HP107" s="912"/>
      <c r="HQ107" s="910" t="str">
        <f t="shared" si="793"/>
        <v/>
      </c>
      <c r="HR107" s="913" t="str">
        <f t="shared" si="794"/>
        <v/>
      </c>
      <c r="HS107" s="865" t="str">
        <f t="shared" si="841"/>
        <v/>
      </c>
      <c r="HT107" s="875" t="str">
        <f t="shared" si="795"/>
        <v/>
      </c>
      <c r="HU107" s="876" t="str">
        <f t="shared" si="796"/>
        <v/>
      </c>
      <c r="HV107" s="872" t="str">
        <f t="shared" si="797"/>
        <v/>
      </c>
      <c r="HW107" s="866" t="str">
        <f t="shared" si="798"/>
        <v/>
      </c>
      <c r="HX107" s="867" t="str">
        <f t="shared" si="799"/>
        <v/>
      </c>
      <c r="HY107" s="866" t="str">
        <f t="shared" si="800"/>
        <v/>
      </c>
      <c r="HZ107" s="868" t="str">
        <f t="shared" si="801"/>
        <v/>
      </c>
      <c r="IA107" s="869" t="str">
        <f t="shared" si="802"/>
        <v/>
      </c>
      <c r="IB107" s="870" t="str">
        <f t="shared" si="803"/>
        <v/>
      </c>
      <c r="IC107" s="841" t="str">
        <f t="shared" si="804"/>
        <v/>
      </c>
      <c r="ID107" s="351" t="str">
        <f t="shared" si="805"/>
        <v/>
      </c>
      <c r="IE107" s="843" t="str">
        <f t="shared" si="806"/>
        <v/>
      </c>
      <c r="IF107" s="844"/>
      <c r="IG107" s="790" t="str">
        <f>IFERROR(IF($IW107="","",IF($IW107&lt;(((Settings!$C$19/2)*-1)*$IG$8),"Taper","Nose")),"")</f>
        <v/>
      </c>
      <c r="IH107" s="482" t="str">
        <f>IFERROR(IF((((($IY107*COS(RADIANS(180-$JA107)))*COS(RADIANS($JA107)))-(($IZ107*SIN(RADIANS(180-$JA107)))*SIN(RADIANS($JA107))))+$IW107)&lt;(((Settings!$C$19+$IH$8)/2)*-1),"Gage",""),"")</f>
        <v/>
      </c>
      <c r="II107" s="788" t="str">
        <f t="shared" si="731"/>
        <v/>
      </c>
      <c r="IJ107" s="674" t="str" cm="1">
        <f t="array" ref="IJ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K107" s="677" t="str" cm="1">
        <f t="array" ref="IK107">IFERROR(ROUND(VALUE(IF($IJ107&lt;1,$IJ107+LARGE((IF($M$9:$M$150="",0,$M$9:$M$150)-MOD(IF($M$9:$M$150="",0,$M$9:$M$150),1)),1),$IJ107)),4),"")</f>
        <v/>
      </c>
      <c r="IL107" s="482" t="str">
        <f t="shared" si="807"/>
        <v/>
      </c>
      <c r="IM107" s="482" t="str">
        <f t="shared" si="732"/>
        <v/>
      </c>
      <c r="IN107" s="670" t="str">
        <f t="shared" si="808"/>
        <v/>
      </c>
      <c r="IO107" s="702"/>
      <c r="IP107" s="5" t="str">
        <f t="shared" si="809"/>
        <v/>
      </c>
      <c r="IQ107" s="714"/>
      <c r="IR107" s="9" t="str">
        <f t="shared" si="810"/>
        <v/>
      </c>
      <c r="IS107" s="5" t="str">
        <f t="shared" si="811"/>
        <v/>
      </c>
      <c r="IT107" s="5" t="str">
        <f t="shared" si="812"/>
        <v/>
      </c>
      <c r="IU107" s="5" t="str">
        <f t="shared" si="813"/>
        <v/>
      </c>
      <c r="IV107" s="670" t="str">
        <f t="shared" si="814"/>
        <v/>
      </c>
      <c r="IW107" s="9" t="str">
        <f t="shared" si="815"/>
        <v/>
      </c>
      <c r="IX107" s="5" t="str">
        <f t="shared" si="816"/>
        <v/>
      </c>
      <c r="IY107" s="5" t="str">
        <f t="shared" si="817"/>
        <v/>
      </c>
      <c r="IZ107" s="5" t="str">
        <f t="shared" si="818"/>
        <v/>
      </c>
      <c r="JA107" s="705" t="str">
        <f t="shared" si="819"/>
        <v/>
      </c>
    </row>
    <row r="108" spans="1:261" ht="15" customHeight="1" x14ac:dyDescent="0.25">
      <c r="A108" s="75" t="str">
        <f t="shared" si="736"/>
        <v/>
      </c>
      <c r="B108" s="578" t="str">
        <f t="shared" si="515"/>
        <v/>
      </c>
      <c r="C108" s="572" t="str">
        <f t="shared" si="516"/>
        <v/>
      </c>
      <c r="D108" s="576" t="str">
        <f t="shared" si="517"/>
        <v/>
      </c>
      <c r="E108" s="580" t="str">
        <f t="shared" si="518"/>
        <v/>
      </c>
      <c r="F108" s="572" t="str">
        <f t="shared" si="519"/>
        <v/>
      </c>
      <c r="G108" s="579" t="str">
        <f t="shared" si="520"/>
        <v/>
      </c>
      <c r="H108" s="580" t="str">
        <f t="shared" si="521"/>
        <v/>
      </c>
      <c r="I108" s="572" t="str">
        <f t="shared" si="522"/>
        <v/>
      </c>
      <c r="J108" s="483" t="str">
        <f t="shared" si="523"/>
        <v/>
      </c>
      <c r="K108" s="806" t="str">
        <f t="shared" si="524"/>
        <v/>
      </c>
      <c r="L108" s="309"/>
      <c r="M108" s="164" t="str">
        <f t="shared" si="737"/>
        <v/>
      </c>
      <c r="N108" s="575" t="str">
        <f t="shared" si="738"/>
        <v/>
      </c>
      <c r="O108" s="572" t="str">
        <f t="shared" si="739"/>
        <v/>
      </c>
      <c r="P108" s="576" t="str">
        <f t="shared" si="740"/>
        <v/>
      </c>
      <c r="Q108" s="528" t="str">
        <f t="shared" si="609"/>
        <v/>
      </c>
      <c r="R108" s="572" t="str">
        <f t="shared" si="820"/>
        <v/>
      </c>
      <c r="S108" s="577" t="str">
        <f t="shared" si="821"/>
        <v/>
      </c>
      <c r="T108" s="578" t="str">
        <f t="shared" si="822"/>
        <v/>
      </c>
      <c r="U108" s="572" t="str">
        <f t="shared" si="823"/>
        <v/>
      </c>
      <c r="V108" s="579" t="str">
        <f t="shared" si="824"/>
        <v/>
      </c>
      <c r="W108" s="528" t="str">
        <f t="shared" si="735"/>
        <v/>
      </c>
      <c r="X108" s="572" t="str">
        <f t="shared" si="825"/>
        <v/>
      </c>
      <c r="Y108" s="573" t="str">
        <f t="shared" si="733"/>
        <v/>
      </c>
      <c r="Z108" s="575" t="str">
        <f t="shared" si="741"/>
        <v/>
      </c>
      <c r="AA108" s="572" t="str">
        <f t="shared" si="742"/>
        <v/>
      </c>
      <c r="AB108" s="572" t="str">
        <f t="shared" si="743"/>
        <v/>
      </c>
      <c r="AC108" s="579" t="str">
        <f t="shared" si="826"/>
        <v/>
      </c>
      <c r="AD108" s="580" t="str">
        <f t="shared" si="827"/>
        <v/>
      </c>
      <c r="AE108" s="572" t="str">
        <f t="shared" si="828"/>
        <v/>
      </c>
      <c r="AF108" s="576" t="str">
        <f t="shared" si="829"/>
        <v/>
      </c>
      <c r="AG108" s="545" t="str">
        <f t="shared" si="830"/>
        <v/>
      </c>
      <c r="AH108" s="546" t="str">
        <f t="shared" si="831"/>
        <v/>
      </c>
      <c r="AI108" s="528" t="str">
        <f t="shared" si="832"/>
        <v/>
      </c>
      <c r="AJ108" s="529" t="str">
        <f t="shared" si="833"/>
        <v/>
      </c>
      <c r="AK108" s="578" t="str">
        <f t="shared" si="834"/>
        <v/>
      </c>
      <c r="AL108" s="572" t="str">
        <f t="shared" si="835"/>
        <v/>
      </c>
      <c r="AM108" s="577" t="str">
        <f t="shared" si="836"/>
        <v/>
      </c>
      <c r="AN108" s="524" t="str">
        <f t="shared" si="837"/>
        <v/>
      </c>
      <c r="AO108" s="525" t="str">
        <f t="shared" si="525"/>
        <v/>
      </c>
      <c r="AP108" s="528" t="str">
        <f t="shared" si="838"/>
        <v/>
      </c>
      <c r="AQ108" s="529" t="str">
        <f t="shared" si="744"/>
        <v/>
      </c>
      <c r="AS108" s="932" t="str">
        <f t="shared" si="842"/>
        <v/>
      </c>
      <c r="AT108" s="928" t="str">
        <f t="shared" si="745"/>
        <v/>
      </c>
      <c r="AU108" s="418"/>
      <c r="AV108" s="164" t="str">
        <f t="shared" si="746"/>
        <v/>
      </c>
      <c r="AW108" s="797" t="str">
        <f>IFERROR(INDEX(MassProp!C$9:C$150,MATCH($M108,MassProp!$B$9:$B$150,0)),"")</f>
        <v/>
      </c>
      <c r="AX108" s="744" t="str">
        <f>IFERROR(INDEX(MassProp!D$9:D$150,MATCH($M108,MassProp!$B$9:$B$150,0)),"")</f>
        <v/>
      </c>
      <c r="AY108" s="731" t="str">
        <f>IFERROR(INDEX(MassProp!E$9:E$150,MATCH($M108,MassProp!$B$9:$B$150,0)),"")</f>
        <v/>
      </c>
      <c r="AZ108" s="297" t="str">
        <f t="shared" si="633"/>
        <v/>
      </c>
      <c r="BA108" s="296" t="str">
        <f t="shared" si="747"/>
        <v/>
      </c>
      <c r="BB108" s="177" t="str">
        <f t="shared" si="610"/>
        <v/>
      </c>
      <c r="BC108" s="9"/>
      <c r="BD108" s="5" t="str">
        <f t="shared" si="611"/>
        <v/>
      </c>
      <c r="BE108" s="6" t="str">
        <f t="shared" si="748"/>
        <v/>
      </c>
      <c r="BF108" s="4" t="str">
        <f t="shared" si="749"/>
        <v/>
      </c>
      <c r="BG108" s="5" t="str">
        <f t="shared" si="750"/>
        <v/>
      </c>
      <c r="BH108" s="10" t="str">
        <f t="shared" si="751"/>
        <v/>
      </c>
      <c r="BI108" s="9" t="str">
        <f t="shared" si="634"/>
        <v/>
      </c>
      <c r="BJ108" s="5" t="str">
        <f t="shared" si="752"/>
        <v/>
      </c>
      <c r="BK108" s="8" t="str">
        <f t="shared" si="753"/>
        <v/>
      </c>
      <c r="BL108" s="173" t="str">
        <f t="shared" si="754"/>
        <v/>
      </c>
      <c r="BM108" s="5" t="str">
        <f t="shared" si="755"/>
        <v/>
      </c>
      <c r="BN108" s="6" t="str">
        <f t="shared" si="756"/>
        <v/>
      </c>
      <c r="BO108" s="4" t="str">
        <f t="shared" si="635"/>
        <v/>
      </c>
      <c r="BP108" s="5" t="str">
        <f t="shared" si="734"/>
        <v/>
      </c>
      <c r="BQ108" s="5" t="str">
        <f t="shared" si="636"/>
        <v/>
      </c>
      <c r="BR108" s="6" t="str">
        <f t="shared" si="637"/>
        <v/>
      </c>
      <c r="BS108" s="4" t="str">
        <f t="shared" si="839"/>
        <v/>
      </c>
      <c r="BT108" s="5" t="str">
        <f t="shared" si="839"/>
        <v/>
      </c>
      <c r="BU108" s="10" t="str">
        <f t="shared" si="613"/>
        <v/>
      </c>
      <c r="BV108" s="9" t="str">
        <f t="shared" si="614"/>
        <v/>
      </c>
      <c r="BW108" s="5" t="str">
        <f t="shared" si="615"/>
        <v/>
      </c>
      <c r="BX108" s="8" t="str">
        <f t="shared" si="616"/>
        <v/>
      </c>
      <c r="BY108" s="173" t="str">
        <f t="shared" si="617"/>
        <v/>
      </c>
      <c r="BZ108" s="5" t="str">
        <f t="shared" si="618"/>
        <v/>
      </c>
      <c r="CA108" s="6" t="str">
        <f t="shared" si="619"/>
        <v/>
      </c>
      <c r="CB108" s="4" t="str">
        <f t="shared" si="638"/>
        <v/>
      </c>
      <c r="CC108" s="5" t="str">
        <f t="shared" si="639"/>
        <v/>
      </c>
      <c r="CD108" s="5" t="str">
        <f t="shared" si="640"/>
        <v/>
      </c>
      <c r="CE108" s="6" t="str">
        <f t="shared" si="641"/>
        <v/>
      </c>
      <c r="CF108" s="4" t="str">
        <f t="shared" si="642"/>
        <v/>
      </c>
      <c r="CG108" s="5" t="str">
        <f t="shared" si="643"/>
        <v/>
      </c>
      <c r="CH108" s="5" t="str">
        <f t="shared" si="644"/>
        <v/>
      </c>
      <c r="CI108" s="4" t="str">
        <f t="shared" si="620"/>
        <v/>
      </c>
      <c r="CJ108" s="5" t="str">
        <f t="shared" si="621"/>
        <v/>
      </c>
      <c r="CK108" s="8" t="str">
        <f t="shared" si="622"/>
        <v/>
      </c>
      <c r="CL108" s="173" t="str">
        <f t="shared" si="623"/>
        <v/>
      </c>
      <c r="CM108" s="5" t="str">
        <f t="shared" si="624"/>
        <v/>
      </c>
      <c r="CN108" s="6" t="str">
        <f t="shared" si="625"/>
        <v/>
      </c>
      <c r="CO108" s="167" t="str">
        <f t="shared" si="757"/>
        <v/>
      </c>
      <c r="CP108" s="4" t="str">
        <f t="shared" si="645"/>
        <v/>
      </c>
      <c r="CQ108" s="5" t="str">
        <f t="shared" si="646"/>
        <v/>
      </c>
      <c r="CR108" s="5" t="str">
        <f t="shared" si="647"/>
        <v/>
      </c>
      <c r="CS108" s="8" t="str">
        <f t="shared" si="648"/>
        <v/>
      </c>
      <c r="CT108" s="9" t="str">
        <f t="shared" si="649"/>
        <v/>
      </c>
      <c r="CU108" s="6" t="str">
        <f t="shared" si="650"/>
        <v/>
      </c>
      <c r="CV108" s="4" t="str">
        <f t="shared" si="651"/>
        <v/>
      </c>
      <c r="CW108" s="5" t="str">
        <f t="shared" si="652"/>
        <v/>
      </c>
      <c r="CX108" s="8" t="str">
        <f t="shared" si="653"/>
        <v/>
      </c>
      <c r="CY108" s="9" t="str">
        <f t="shared" si="654"/>
        <v/>
      </c>
      <c r="CZ108" s="5" t="str">
        <f t="shared" si="655"/>
        <v/>
      </c>
      <c r="DA108" s="6" t="str">
        <f t="shared" si="656"/>
        <v/>
      </c>
      <c r="DB108" s="4" t="str">
        <f t="shared" si="843"/>
        <v/>
      </c>
      <c r="DC108" s="5" t="str">
        <f t="shared" si="843"/>
        <v/>
      </c>
      <c r="DD108" s="10" t="str">
        <f t="shared" si="658"/>
        <v/>
      </c>
      <c r="DE108" s="9" t="str">
        <f t="shared" si="844"/>
        <v/>
      </c>
      <c r="DF108" s="5" t="str">
        <f t="shared" si="844"/>
        <v/>
      </c>
      <c r="DG108" s="10" t="str">
        <f t="shared" si="660"/>
        <v/>
      </c>
      <c r="DH108" s="70" t="str">
        <f t="shared" si="661"/>
        <v/>
      </c>
      <c r="DI108" s="4" t="str">
        <f t="shared" si="662"/>
        <v/>
      </c>
      <c r="DJ108" s="5" t="str">
        <f t="shared" si="663"/>
        <v/>
      </c>
      <c r="DK108" s="10" t="str">
        <f t="shared" si="664"/>
        <v/>
      </c>
      <c r="DL108" s="9" t="str">
        <f t="shared" si="665"/>
        <v/>
      </c>
      <c r="DM108" s="173" t="str">
        <f t="shared" si="666"/>
        <v/>
      </c>
      <c r="DN108" s="178" t="str">
        <f t="shared" si="667"/>
        <v/>
      </c>
      <c r="DO108" s="9" t="str">
        <f t="shared" si="668"/>
        <v/>
      </c>
      <c r="DP108" s="173" t="str">
        <f t="shared" si="669"/>
        <v/>
      </c>
      <c r="DQ108" s="11" t="str">
        <f t="shared" si="670"/>
        <v/>
      </c>
      <c r="DR108" s="173" t="str">
        <f t="shared" si="671"/>
        <v/>
      </c>
      <c r="DS108" s="5" t="str">
        <f t="shared" si="672"/>
        <v/>
      </c>
      <c r="DT108" s="5" t="str">
        <f t="shared" si="673"/>
        <v/>
      </c>
      <c r="DU108" s="5" t="str">
        <f t="shared" si="674"/>
        <v/>
      </c>
      <c r="DV108" s="5" t="str">
        <f t="shared" si="675"/>
        <v/>
      </c>
      <c r="DW108" s="5" t="str">
        <f t="shared" si="676"/>
        <v/>
      </c>
      <c r="DX108" s="167" t="str">
        <f t="shared" si="677"/>
        <v/>
      </c>
      <c r="DY108" s="9" t="str">
        <f t="shared" si="678"/>
        <v/>
      </c>
      <c r="DZ108" s="5" t="str">
        <f t="shared" si="679"/>
        <v/>
      </c>
      <c r="EA108" s="10" t="str">
        <f t="shared" si="680"/>
        <v/>
      </c>
      <c r="EB108" s="6" t="str">
        <f t="shared" si="681"/>
        <v/>
      </c>
      <c r="EC108" s="173" t="str">
        <f t="shared" si="682"/>
        <v/>
      </c>
      <c r="ED108" s="5" t="str">
        <f t="shared" si="683"/>
        <v/>
      </c>
      <c r="EE108" s="4" t="str">
        <f t="shared" si="684"/>
        <v/>
      </c>
      <c r="EF108" s="5" t="str">
        <f t="shared" si="685"/>
        <v/>
      </c>
      <c r="EG108" s="10" t="str">
        <f t="shared" si="686"/>
        <v/>
      </c>
      <c r="EH108" s="9" t="str">
        <f t="shared" si="687"/>
        <v/>
      </c>
      <c r="EI108" s="5" t="str">
        <f t="shared" si="688"/>
        <v/>
      </c>
      <c r="EJ108" s="6" t="str">
        <f t="shared" si="689"/>
        <v/>
      </c>
      <c r="EK108" s="236" t="str">
        <f t="shared" si="690"/>
        <v/>
      </c>
      <c r="EL108" s="238" t="str">
        <f t="shared" si="691"/>
        <v/>
      </c>
      <c r="EM108" s="4" t="str">
        <f t="shared" si="692"/>
        <v/>
      </c>
      <c r="EN108" s="5" t="str">
        <f t="shared" si="693"/>
        <v/>
      </c>
      <c r="EO108" s="10" t="str">
        <f t="shared" si="694"/>
        <v/>
      </c>
      <c r="EP108" s="9" t="str">
        <f t="shared" si="695"/>
        <v/>
      </c>
      <c r="EQ108" s="5" t="str">
        <f t="shared" si="696"/>
        <v/>
      </c>
      <c r="ER108" s="7" t="str">
        <f t="shared" si="697"/>
        <v/>
      </c>
      <c r="ES108" s="21" t="str">
        <f t="shared" si="758"/>
        <v/>
      </c>
      <c r="ET108" s="5" t="str">
        <f t="shared" si="759"/>
        <v/>
      </c>
      <c r="EU108" s="10" t="str">
        <f t="shared" si="760"/>
        <v/>
      </c>
      <c r="EV108" s="174" t="str">
        <f t="shared" si="761"/>
        <v/>
      </c>
      <c r="EW108" s="9" t="str">
        <f t="shared" si="762"/>
        <v/>
      </c>
      <c r="EX108" s="5" t="str">
        <f t="shared" si="763"/>
        <v/>
      </c>
      <c r="EY108" s="6" t="str">
        <f t="shared" si="698"/>
        <v/>
      </c>
      <c r="EZ108" s="51" t="str">
        <f t="shared" si="699"/>
        <v/>
      </c>
      <c r="FA108" s="173" t="str">
        <f t="shared" si="764"/>
        <v/>
      </c>
      <c r="FB108" s="5" t="str">
        <f t="shared" si="765"/>
        <v/>
      </c>
      <c r="FC108" s="6" t="str">
        <f t="shared" si="766"/>
        <v/>
      </c>
      <c r="FD108" s="4" t="str">
        <f t="shared" si="767"/>
        <v/>
      </c>
      <c r="FE108" s="5" t="str">
        <f t="shared" si="768"/>
        <v/>
      </c>
      <c r="FF108" s="7" t="str">
        <f t="shared" si="700"/>
        <v/>
      </c>
      <c r="FG108" s="173" t="str">
        <f t="shared" si="769"/>
        <v/>
      </c>
      <c r="FH108" s="5" t="str">
        <f t="shared" si="770"/>
        <v/>
      </c>
      <c r="FI108" s="10" t="str">
        <f t="shared" si="771"/>
        <v/>
      </c>
      <c r="FJ108" s="279" t="str">
        <f t="shared" si="701"/>
        <v/>
      </c>
      <c r="FK108" s="4" t="str">
        <f t="shared" si="772"/>
        <v/>
      </c>
      <c r="FL108" s="5" t="str">
        <f t="shared" si="626"/>
        <v/>
      </c>
      <c r="FM108" s="8" t="str">
        <f t="shared" si="627"/>
        <v/>
      </c>
      <c r="FN108" s="9" t="str">
        <f t="shared" si="628"/>
        <v/>
      </c>
      <c r="FO108" s="10" t="str">
        <f t="shared" si="773"/>
        <v/>
      </c>
      <c r="FP108" s="277" t="str">
        <f t="shared" si="629"/>
        <v/>
      </c>
      <c r="FQ108" s="173" t="str">
        <f t="shared" si="702"/>
        <v/>
      </c>
      <c r="FR108" s="10" t="str">
        <f t="shared" si="703"/>
        <v/>
      </c>
      <c r="FS108" s="9" t="str">
        <f t="shared" si="704"/>
        <v/>
      </c>
      <c r="FT108" s="6" t="str">
        <f t="shared" si="705"/>
        <v/>
      </c>
      <c r="FU108" s="4" t="str">
        <f t="shared" si="706"/>
        <v/>
      </c>
      <c r="FV108" s="5" t="str">
        <f t="shared" si="707"/>
        <v/>
      </c>
      <c r="FW108" s="8" t="str">
        <f t="shared" si="708"/>
        <v/>
      </c>
      <c r="FX108" s="9" t="str">
        <f t="shared" si="709"/>
        <v/>
      </c>
      <c r="FY108" s="10" t="str">
        <f t="shared" si="774"/>
        <v/>
      </c>
      <c r="FZ108" s="277" t="str">
        <f t="shared" si="710"/>
        <v/>
      </c>
      <c r="GA108" s="177" t="str">
        <f t="shared" si="711"/>
        <v/>
      </c>
      <c r="GB108" s="4" t="str">
        <f t="shared" si="712"/>
        <v/>
      </c>
      <c r="GC108" s="5" t="str">
        <f t="shared" si="713"/>
        <v/>
      </c>
      <c r="GD108" s="10" t="str">
        <f t="shared" si="714"/>
        <v/>
      </c>
      <c r="GE108" s="311" t="str">
        <f t="shared" si="715"/>
        <v/>
      </c>
      <c r="GF108" s="341" t="str">
        <f t="shared" si="716"/>
        <v/>
      </c>
      <c r="GG108" s="285" t="str">
        <f t="shared" si="775"/>
        <v/>
      </c>
      <c r="GH108" s="286" t="str">
        <f t="shared" si="776"/>
        <v/>
      </c>
      <c r="GI108" s="281" t="str">
        <f t="shared" si="777"/>
        <v/>
      </c>
      <c r="GJ108" s="167" t="str">
        <f t="shared" si="717"/>
        <v/>
      </c>
      <c r="GK108" s="174" t="str">
        <f t="shared" si="778"/>
        <v/>
      </c>
      <c r="GL108" s="174" t="str">
        <f t="shared" si="718"/>
        <v/>
      </c>
      <c r="GM108" s="177" t="str">
        <f t="shared" si="719"/>
        <v/>
      </c>
      <c r="GN108" s="280" t="str">
        <f t="shared" si="720"/>
        <v/>
      </c>
      <c r="GO108" s="4" t="str">
        <f t="shared" si="721"/>
        <v/>
      </c>
      <c r="GP108" s="8" t="str">
        <f t="shared" si="722"/>
        <v/>
      </c>
      <c r="GQ108" s="177" t="str">
        <f t="shared" si="723"/>
        <v/>
      </c>
      <c r="GR108" s="371" t="str">
        <f t="shared" si="724"/>
        <v/>
      </c>
      <c r="GS108" s="342" t="str">
        <f t="shared" si="779"/>
        <v/>
      </c>
      <c r="GT108" s="343" t="str">
        <f t="shared" si="780"/>
        <v/>
      </c>
      <c r="GU108" s="344" t="str">
        <f t="shared" si="781"/>
        <v/>
      </c>
      <c r="GV108" s="343" t="str">
        <f t="shared" si="725"/>
        <v/>
      </c>
      <c r="GW108" s="345" t="str">
        <f t="shared" si="782"/>
        <v/>
      </c>
      <c r="GX108" s="346" t="str">
        <f t="shared" si="783"/>
        <v/>
      </c>
      <c r="GY108" s="344" t="str">
        <f t="shared" si="784"/>
        <v/>
      </c>
      <c r="GZ108" s="345" t="str">
        <f t="shared" si="785"/>
        <v/>
      </c>
      <c r="HA108" s="342" t="str">
        <f t="shared" si="786"/>
        <v/>
      </c>
      <c r="HB108" s="5" t="str">
        <f t="shared" si="726"/>
        <v/>
      </c>
      <c r="HC108" s="343" t="str">
        <f t="shared" si="727"/>
        <v/>
      </c>
      <c r="HD108" s="363" t="str">
        <f t="shared" si="728"/>
        <v/>
      </c>
      <c r="HE108" s="344" t="str">
        <f t="shared" si="787"/>
        <v/>
      </c>
      <c r="HF108" s="5" t="str">
        <f t="shared" si="788"/>
        <v/>
      </c>
      <c r="HG108" s="343" t="str">
        <f t="shared" si="729"/>
        <v/>
      </c>
      <c r="HH108" s="349" t="str">
        <f t="shared" si="730"/>
        <v/>
      </c>
      <c r="HI108" s="317" t="str">
        <f t="shared" si="789"/>
        <v/>
      </c>
      <c r="HK108" s="310" t="str">
        <f t="shared" si="840"/>
        <v/>
      </c>
      <c r="HL108" s="348" t="str">
        <f t="shared" si="790"/>
        <v/>
      </c>
      <c r="HM108" s="909" t="str">
        <f t="shared" si="791"/>
        <v/>
      </c>
      <c r="HN108" s="910" t="str">
        <f t="shared" si="792"/>
        <v/>
      </c>
      <c r="HO108" s="911"/>
      <c r="HP108" s="912"/>
      <c r="HQ108" s="910" t="str">
        <f t="shared" si="793"/>
        <v/>
      </c>
      <c r="HR108" s="913" t="str">
        <f t="shared" si="794"/>
        <v/>
      </c>
      <c r="HS108" s="865" t="str">
        <f t="shared" si="841"/>
        <v/>
      </c>
      <c r="HT108" s="875" t="str">
        <f t="shared" si="795"/>
        <v/>
      </c>
      <c r="HU108" s="876" t="str">
        <f t="shared" si="796"/>
        <v/>
      </c>
      <c r="HV108" s="872" t="str">
        <f t="shared" si="797"/>
        <v/>
      </c>
      <c r="HW108" s="866" t="str">
        <f t="shared" si="798"/>
        <v/>
      </c>
      <c r="HX108" s="867" t="str">
        <f t="shared" si="799"/>
        <v/>
      </c>
      <c r="HY108" s="866" t="str">
        <f t="shared" si="800"/>
        <v/>
      </c>
      <c r="HZ108" s="868" t="str">
        <f t="shared" si="801"/>
        <v/>
      </c>
      <c r="IA108" s="869" t="str">
        <f t="shared" si="802"/>
        <v/>
      </c>
      <c r="IB108" s="870" t="str">
        <f t="shared" si="803"/>
        <v/>
      </c>
      <c r="IC108" s="841" t="str">
        <f t="shared" si="804"/>
        <v/>
      </c>
      <c r="ID108" s="351" t="str">
        <f t="shared" si="805"/>
        <v/>
      </c>
      <c r="IE108" s="843" t="str">
        <f t="shared" si="806"/>
        <v/>
      </c>
      <c r="IF108" s="844"/>
      <c r="IG108" s="790" t="str">
        <f>IFERROR(IF($IW108="","",IF($IW108&lt;(((Settings!$C$19/2)*-1)*$IG$8),"Taper","Nose")),"")</f>
        <v/>
      </c>
      <c r="IH108" s="482" t="str">
        <f>IFERROR(IF((((($IY108*COS(RADIANS(180-$JA108)))*COS(RADIANS($JA108)))-(($IZ108*SIN(RADIANS(180-$JA108)))*SIN(RADIANS($JA108))))+$IW108)&lt;(((Settings!$C$19+$IH$8)/2)*-1),"Gage",""),"")</f>
        <v/>
      </c>
      <c r="II108" s="788" t="str">
        <f t="shared" si="731"/>
        <v/>
      </c>
      <c r="IJ108" s="674" t="str" cm="1">
        <f t="array" ref="IJ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K108" s="677" t="str" cm="1">
        <f t="array" ref="IK108">IFERROR(ROUND(VALUE(IF($IJ108&lt;1,$IJ108+LARGE((IF($M$9:$M$150="",0,$M$9:$M$150)-MOD(IF($M$9:$M$150="",0,$M$9:$M$150),1)),1),$IJ108)),4),"")</f>
        <v/>
      </c>
      <c r="IL108" s="482" t="str">
        <f t="shared" si="807"/>
        <v/>
      </c>
      <c r="IM108" s="482" t="str">
        <f t="shared" si="732"/>
        <v/>
      </c>
      <c r="IN108" s="670" t="str">
        <f t="shared" si="808"/>
        <v/>
      </c>
      <c r="IO108" s="702"/>
      <c r="IP108" s="5" t="str">
        <f t="shared" si="809"/>
        <v/>
      </c>
      <c r="IQ108" s="714"/>
      <c r="IR108" s="9" t="str">
        <f t="shared" si="810"/>
        <v/>
      </c>
      <c r="IS108" s="5" t="str">
        <f t="shared" si="811"/>
        <v/>
      </c>
      <c r="IT108" s="5" t="str">
        <f t="shared" si="812"/>
        <v/>
      </c>
      <c r="IU108" s="5" t="str">
        <f t="shared" si="813"/>
        <v/>
      </c>
      <c r="IV108" s="670" t="str">
        <f t="shared" si="814"/>
        <v/>
      </c>
      <c r="IW108" s="9" t="str">
        <f t="shared" si="815"/>
        <v/>
      </c>
      <c r="IX108" s="5" t="str">
        <f t="shared" si="816"/>
        <v/>
      </c>
      <c r="IY108" s="5" t="str">
        <f t="shared" si="817"/>
        <v/>
      </c>
      <c r="IZ108" s="5" t="str">
        <f t="shared" si="818"/>
        <v/>
      </c>
      <c r="JA108" s="705" t="str">
        <f t="shared" si="819"/>
        <v/>
      </c>
    </row>
    <row r="109" spans="1:261" ht="15" customHeight="1" x14ac:dyDescent="0.25">
      <c r="A109" s="75" t="str">
        <f t="shared" si="736"/>
        <v/>
      </c>
      <c r="B109" s="578" t="str">
        <f t="shared" si="515"/>
        <v/>
      </c>
      <c r="C109" s="572" t="str">
        <f t="shared" si="516"/>
        <v/>
      </c>
      <c r="D109" s="576" t="str">
        <f t="shared" si="517"/>
        <v/>
      </c>
      <c r="E109" s="580" t="str">
        <f t="shared" si="518"/>
        <v/>
      </c>
      <c r="F109" s="572" t="str">
        <f t="shared" si="519"/>
        <v/>
      </c>
      <c r="G109" s="579" t="str">
        <f t="shared" si="520"/>
        <v/>
      </c>
      <c r="H109" s="580" t="str">
        <f t="shared" si="521"/>
        <v/>
      </c>
      <c r="I109" s="572" t="str">
        <f t="shared" si="522"/>
        <v/>
      </c>
      <c r="J109" s="483" t="str">
        <f t="shared" si="523"/>
        <v/>
      </c>
      <c r="K109" s="806" t="str">
        <f t="shared" si="524"/>
        <v/>
      </c>
      <c r="L109" s="309"/>
      <c r="M109" s="164" t="str">
        <f t="shared" si="737"/>
        <v/>
      </c>
      <c r="N109" s="575" t="str">
        <f t="shared" si="738"/>
        <v/>
      </c>
      <c r="O109" s="572" t="str">
        <f t="shared" si="739"/>
        <v/>
      </c>
      <c r="P109" s="576" t="str">
        <f t="shared" si="740"/>
        <v/>
      </c>
      <c r="Q109" s="528" t="str">
        <f t="shared" si="609"/>
        <v/>
      </c>
      <c r="R109" s="572" t="str">
        <f t="shared" si="820"/>
        <v/>
      </c>
      <c r="S109" s="577" t="str">
        <f t="shared" si="821"/>
        <v/>
      </c>
      <c r="T109" s="578" t="str">
        <f t="shared" si="822"/>
        <v/>
      </c>
      <c r="U109" s="572" t="str">
        <f t="shared" si="823"/>
        <v/>
      </c>
      <c r="V109" s="579" t="str">
        <f t="shared" si="824"/>
        <v/>
      </c>
      <c r="W109" s="528" t="str">
        <f t="shared" si="735"/>
        <v/>
      </c>
      <c r="X109" s="572" t="str">
        <f t="shared" si="825"/>
        <v/>
      </c>
      <c r="Y109" s="573" t="str">
        <f t="shared" si="733"/>
        <v/>
      </c>
      <c r="Z109" s="575" t="str">
        <f t="shared" si="741"/>
        <v/>
      </c>
      <c r="AA109" s="572" t="str">
        <f t="shared" si="742"/>
        <v/>
      </c>
      <c r="AB109" s="572" t="str">
        <f t="shared" si="743"/>
        <v/>
      </c>
      <c r="AC109" s="579" t="str">
        <f t="shared" si="826"/>
        <v/>
      </c>
      <c r="AD109" s="580" t="str">
        <f t="shared" si="827"/>
        <v/>
      </c>
      <c r="AE109" s="572" t="str">
        <f t="shared" si="828"/>
        <v/>
      </c>
      <c r="AF109" s="576" t="str">
        <f t="shared" si="829"/>
        <v/>
      </c>
      <c r="AG109" s="545" t="str">
        <f t="shared" si="830"/>
        <v/>
      </c>
      <c r="AH109" s="546" t="str">
        <f t="shared" si="831"/>
        <v/>
      </c>
      <c r="AI109" s="528" t="str">
        <f t="shared" si="832"/>
        <v/>
      </c>
      <c r="AJ109" s="529" t="str">
        <f t="shared" si="833"/>
        <v/>
      </c>
      <c r="AK109" s="578" t="str">
        <f t="shared" si="834"/>
        <v/>
      </c>
      <c r="AL109" s="572" t="str">
        <f t="shared" si="835"/>
        <v/>
      </c>
      <c r="AM109" s="577" t="str">
        <f t="shared" si="836"/>
        <v/>
      </c>
      <c r="AN109" s="524" t="str">
        <f t="shared" si="837"/>
        <v/>
      </c>
      <c r="AO109" s="525" t="str">
        <f t="shared" si="525"/>
        <v/>
      </c>
      <c r="AP109" s="528" t="str">
        <f t="shared" si="838"/>
        <v/>
      </c>
      <c r="AQ109" s="529" t="str">
        <f t="shared" si="744"/>
        <v/>
      </c>
      <c r="AS109" s="932" t="str">
        <f t="shared" si="842"/>
        <v/>
      </c>
      <c r="AT109" s="928" t="str">
        <f t="shared" si="745"/>
        <v/>
      </c>
      <c r="AU109" s="418"/>
      <c r="AV109" s="164" t="str">
        <f t="shared" si="746"/>
        <v/>
      </c>
      <c r="AW109" s="797" t="str">
        <f>IFERROR(INDEX(MassProp!C$9:C$150,MATCH($M109,MassProp!$B$9:$B$150,0)),"")</f>
        <v/>
      </c>
      <c r="AX109" s="744" t="str">
        <f>IFERROR(INDEX(MassProp!D$9:D$150,MATCH($M109,MassProp!$B$9:$B$150,0)),"")</f>
        <v/>
      </c>
      <c r="AY109" s="731" t="str">
        <f>IFERROR(INDEX(MassProp!E$9:E$150,MATCH($M109,MassProp!$B$9:$B$150,0)),"")</f>
        <v/>
      </c>
      <c r="AZ109" s="297" t="str">
        <f t="shared" si="633"/>
        <v/>
      </c>
      <c r="BA109" s="296" t="str">
        <f t="shared" si="747"/>
        <v/>
      </c>
      <c r="BB109" s="177" t="str">
        <f t="shared" si="610"/>
        <v/>
      </c>
      <c r="BC109" s="9"/>
      <c r="BD109" s="5" t="str">
        <f t="shared" si="611"/>
        <v/>
      </c>
      <c r="BE109" s="6" t="str">
        <f t="shared" si="748"/>
        <v/>
      </c>
      <c r="BF109" s="4" t="str">
        <f t="shared" si="749"/>
        <v/>
      </c>
      <c r="BG109" s="5" t="str">
        <f t="shared" si="750"/>
        <v/>
      </c>
      <c r="BH109" s="10" t="str">
        <f t="shared" si="751"/>
        <v/>
      </c>
      <c r="BI109" s="9" t="str">
        <f t="shared" si="634"/>
        <v/>
      </c>
      <c r="BJ109" s="5" t="str">
        <f t="shared" si="752"/>
        <v/>
      </c>
      <c r="BK109" s="8" t="str">
        <f t="shared" si="753"/>
        <v/>
      </c>
      <c r="BL109" s="173" t="str">
        <f t="shared" si="754"/>
        <v/>
      </c>
      <c r="BM109" s="5" t="str">
        <f t="shared" si="755"/>
        <v/>
      </c>
      <c r="BN109" s="6" t="str">
        <f t="shared" si="756"/>
        <v/>
      </c>
      <c r="BO109" s="4" t="str">
        <f t="shared" si="635"/>
        <v/>
      </c>
      <c r="BP109" s="5" t="str">
        <f t="shared" si="734"/>
        <v/>
      </c>
      <c r="BQ109" s="5" t="str">
        <f t="shared" si="636"/>
        <v/>
      </c>
      <c r="BR109" s="6" t="str">
        <f t="shared" si="637"/>
        <v/>
      </c>
      <c r="BS109" s="4" t="str">
        <f t="shared" si="839"/>
        <v/>
      </c>
      <c r="BT109" s="5" t="str">
        <f t="shared" si="839"/>
        <v/>
      </c>
      <c r="BU109" s="10" t="str">
        <f t="shared" si="613"/>
        <v/>
      </c>
      <c r="BV109" s="9" t="str">
        <f t="shared" si="614"/>
        <v/>
      </c>
      <c r="BW109" s="5" t="str">
        <f t="shared" si="615"/>
        <v/>
      </c>
      <c r="BX109" s="8" t="str">
        <f t="shared" si="616"/>
        <v/>
      </c>
      <c r="BY109" s="173" t="str">
        <f t="shared" si="617"/>
        <v/>
      </c>
      <c r="BZ109" s="5" t="str">
        <f t="shared" si="618"/>
        <v/>
      </c>
      <c r="CA109" s="6" t="str">
        <f t="shared" si="619"/>
        <v/>
      </c>
      <c r="CB109" s="4" t="str">
        <f t="shared" si="638"/>
        <v/>
      </c>
      <c r="CC109" s="5" t="str">
        <f t="shared" si="639"/>
        <v/>
      </c>
      <c r="CD109" s="5" t="str">
        <f t="shared" si="640"/>
        <v/>
      </c>
      <c r="CE109" s="6" t="str">
        <f t="shared" si="641"/>
        <v/>
      </c>
      <c r="CF109" s="4" t="str">
        <f t="shared" si="642"/>
        <v/>
      </c>
      <c r="CG109" s="5" t="str">
        <f t="shared" si="643"/>
        <v/>
      </c>
      <c r="CH109" s="5" t="str">
        <f t="shared" si="644"/>
        <v/>
      </c>
      <c r="CI109" s="4" t="str">
        <f t="shared" si="620"/>
        <v/>
      </c>
      <c r="CJ109" s="5" t="str">
        <f t="shared" si="621"/>
        <v/>
      </c>
      <c r="CK109" s="8" t="str">
        <f t="shared" si="622"/>
        <v/>
      </c>
      <c r="CL109" s="173" t="str">
        <f t="shared" si="623"/>
        <v/>
      </c>
      <c r="CM109" s="5" t="str">
        <f t="shared" si="624"/>
        <v/>
      </c>
      <c r="CN109" s="6" t="str">
        <f t="shared" si="625"/>
        <v/>
      </c>
      <c r="CO109" s="167" t="str">
        <f t="shared" si="757"/>
        <v/>
      </c>
      <c r="CP109" s="4" t="str">
        <f t="shared" si="645"/>
        <v/>
      </c>
      <c r="CQ109" s="5" t="str">
        <f t="shared" si="646"/>
        <v/>
      </c>
      <c r="CR109" s="5" t="str">
        <f t="shared" si="647"/>
        <v/>
      </c>
      <c r="CS109" s="8" t="str">
        <f t="shared" si="648"/>
        <v/>
      </c>
      <c r="CT109" s="9" t="str">
        <f t="shared" si="649"/>
        <v/>
      </c>
      <c r="CU109" s="6" t="str">
        <f t="shared" si="650"/>
        <v/>
      </c>
      <c r="CV109" s="4" t="str">
        <f t="shared" si="651"/>
        <v/>
      </c>
      <c r="CW109" s="5" t="str">
        <f t="shared" si="652"/>
        <v/>
      </c>
      <c r="CX109" s="8" t="str">
        <f t="shared" si="653"/>
        <v/>
      </c>
      <c r="CY109" s="9" t="str">
        <f t="shared" si="654"/>
        <v/>
      </c>
      <c r="CZ109" s="5" t="str">
        <f t="shared" si="655"/>
        <v/>
      </c>
      <c r="DA109" s="6" t="str">
        <f t="shared" si="656"/>
        <v/>
      </c>
      <c r="DB109" s="4" t="str">
        <f t="shared" si="843"/>
        <v/>
      </c>
      <c r="DC109" s="5" t="str">
        <f t="shared" si="843"/>
        <v/>
      </c>
      <c r="DD109" s="10" t="str">
        <f t="shared" si="658"/>
        <v/>
      </c>
      <c r="DE109" s="9" t="str">
        <f t="shared" si="844"/>
        <v/>
      </c>
      <c r="DF109" s="5" t="str">
        <f t="shared" si="844"/>
        <v/>
      </c>
      <c r="DG109" s="10" t="str">
        <f t="shared" si="660"/>
        <v/>
      </c>
      <c r="DH109" s="70" t="str">
        <f t="shared" si="661"/>
        <v/>
      </c>
      <c r="DI109" s="4" t="str">
        <f t="shared" si="662"/>
        <v/>
      </c>
      <c r="DJ109" s="5" t="str">
        <f t="shared" si="663"/>
        <v/>
      </c>
      <c r="DK109" s="10" t="str">
        <f t="shared" si="664"/>
        <v/>
      </c>
      <c r="DL109" s="9" t="str">
        <f t="shared" si="665"/>
        <v/>
      </c>
      <c r="DM109" s="173" t="str">
        <f t="shared" si="666"/>
        <v/>
      </c>
      <c r="DN109" s="178" t="str">
        <f t="shared" si="667"/>
        <v/>
      </c>
      <c r="DO109" s="9" t="str">
        <f t="shared" si="668"/>
        <v/>
      </c>
      <c r="DP109" s="173" t="str">
        <f t="shared" si="669"/>
        <v/>
      </c>
      <c r="DQ109" s="11" t="str">
        <f t="shared" si="670"/>
        <v/>
      </c>
      <c r="DR109" s="173" t="str">
        <f t="shared" si="671"/>
        <v/>
      </c>
      <c r="DS109" s="5" t="str">
        <f t="shared" si="672"/>
        <v/>
      </c>
      <c r="DT109" s="5" t="str">
        <f t="shared" si="673"/>
        <v/>
      </c>
      <c r="DU109" s="5" t="str">
        <f t="shared" si="674"/>
        <v/>
      </c>
      <c r="DV109" s="5" t="str">
        <f t="shared" si="675"/>
        <v/>
      </c>
      <c r="DW109" s="5" t="str">
        <f t="shared" si="676"/>
        <v/>
      </c>
      <c r="DX109" s="167" t="str">
        <f t="shared" si="677"/>
        <v/>
      </c>
      <c r="DY109" s="9" t="str">
        <f t="shared" si="678"/>
        <v/>
      </c>
      <c r="DZ109" s="5" t="str">
        <f t="shared" si="679"/>
        <v/>
      </c>
      <c r="EA109" s="10" t="str">
        <f t="shared" si="680"/>
        <v/>
      </c>
      <c r="EB109" s="6" t="str">
        <f t="shared" si="681"/>
        <v/>
      </c>
      <c r="EC109" s="173" t="str">
        <f t="shared" si="682"/>
        <v/>
      </c>
      <c r="ED109" s="5" t="str">
        <f t="shared" si="683"/>
        <v/>
      </c>
      <c r="EE109" s="4" t="str">
        <f t="shared" si="684"/>
        <v/>
      </c>
      <c r="EF109" s="5" t="str">
        <f t="shared" si="685"/>
        <v/>
      </c>
      <c r="EG109" s="10" t="str">
        <f t="shared" si="686"/>
        <v/>
      </c>
      <c r="EH109" s="9" t="str">
        <f t="shared" si="687"/>
        <v/>
      </c>
      <c r="EI109" s="5" t="str">
        <f t="shared" si="688"/>
        <v/>
      </c>
      <c r="EJ109" s="6" t="str">
        <f t="shared" si="689"/>
        <v/>
      </c>
      <c r="EK109" s="236" t="str">
        <f t="shared" si="690"/>
        <v/>
      </c>
      <c r="EL109" s="238" t="str">
        <f t="shared" si="691"/>
        <v/>
      </c>
      <c r="EM109" s="4" t="str">
        <f t="shared" si="692"/>
        <v/>
      </c>
      <c r="EN109" s="5" t="str">
        <f t="shared" si="693"/>
        <v/>
      </c>
      <c r="EO109" s="10" t="str">
        <f t="shared" si="694"/>
        <v/>
      </c>
      <c r="EP109" s="9" t="str">
        <f t="shared" si="695"/>
        <v/>
      </c>
      <c r="EQ109" s="5" t="str">
        <f t="shared" si="696"/>
        <v/>
      </c>
      <c r="ER109" s="7" t="str">
        <f t="shared" si="697"/>
        <v/>
      </c>
      <c r="ES109" s="21" t="str">
        <f t="shared" si="758"/>
        <v/>
      </c>
      <c r="ET109" s="5" t="str">
        <f t="shared" si="759"/>
        <v/>
      </c>
      <c r="EU109" s="10" t="str">
        <f t="shared" si="760"/>
        <v/>
      </c>
      <c r="EV109" s="174" t="str">
        <f t="shared" si="761"/>
        <v/>
      </c>
      <c r="EW109" s="9" t="str">
        <f t="shared" si="762"/>
        <v/>
      </c>
      <c r="EX109" s="5" t="str">
        <f t="shared" si="763"/>
        <v/>
      </c>
      <c r="EY109" s="6" t="str">
        <f t="shared" si="698"/>
        <v/>
      </c>
      <c r="EZ109" s="51" t="str">
        <f t="shared" si="699"/>
        <v/>
      </c>
      <c r="FA109" s="173" t="str">
        <f t="shared" si="764"/>
        <v/>
      </c>
      <c r="FB109" s="5" t="str">
        <f t="shared" si="765"/>
        <v/>
      </c>
      <c r="FC109" s="6" t="str">
        <f t="shared" si="766"/>
        <v/>
      </c>
      <c r="FD109" s="4" t="str">
        <f t="shared" si="767"/>
        <v/>
      </c>
      <c r="FE109" s="5" t="str">
        <f t="shared" si="768"/>
        <v/>
      </c>
      <c r="FF109" s="7" t="str">
        <f t="shared" si="700"/>
        <v/>
      </c>
      <c r="FG109" s="173" t="str">
        <f t="shared" si="769"/>
        <v/>
      </c>
      <c r="FH109" s="5" t="str">
        <f t="shared" si="770"/>
        <v/>
      </c>
      <c r="FI109" s="10" t="str">
        <f t="shared" si="771"/>
        <v/>
      </c>
      <c r="FJ109" s="279" t="str">
        <f t="shared" si="701"/>
        <v/>
      </c>
      <c r="FK109" s="4" t="str">
        <f t="shared" si="772"/>
        <v/>
      </c>
      <c r="FL109" s="5" t="str">
        <f t="shared" si="626"/>
        <v/>
      </c>
      <c r="FM109" s="8" t="str">
        <f t="shared" si="627"/>
        <v/>
      </c>
      <c r="FN109" s="9" t="str">
        <f t="shared" si="628"/>
        <v/>
      </c>
      <c r="FO109" s="10" t="str">
        <f t="shared" si="773"/>
        <v/>
      </c>
      <c r="FP109" s="277" t="str">
        <f t="shared" si="629"/>
        <v/>
      </c>
      <c r="FQ109" s="173" t="str">
        <f t="shared" si="702"/>
        <v/>
      </c>
      <c r="FR109" s="10" t="str">
        <f t="shared" si="703"/>
        <v/>
      </c>
      <c r="FS109" s="9" t="str">
        <f t="shared" si="704"/>
        <v/>
      </c>
      <c r="FT109" s="6" t="str">
        <f t="shared" si="705"/>
        <v/>
      </c>
      <c r="FU109" s="4" t="str">
        <f t="shared" si="706"/>
        <v/>
      </c>
      <c r="FV109" s="5" t="str">
        <f t="shared" si="707"/>
        <v/>
      </c>
      <c r="FW109" s="8" t="str">
        <f t="shared" si="708"/>
        <v/>
      </c>
      <c r="FX109" s="9" t="str">
        <f t="shared" si="709"/>
        <v/>
      </c>
      <c r="FY109" s="10" t="str">
        <f t="shared" si="774"/>
        <v/>
      </c>
      <c r="FZ109" s="277" t="str">
        <f t="shared" si="710"/>
        <v/>
      </c>
      <c r="GA109" s="177" t="str">
        <f t="shared" si="711"/>
        <v/>
      </c>
      <c r="GB109" s="4" t="str">
        <f t="shared" si="712"/>
        <v/>
      </c>
      <c r="GC109" s="5" t="str">
        <f t="shared" si="713"/>
        <v/>
      </c>
      <c r="GD109" s="10" t="str">
        <f t="shared" si="714"/>
        <v/>
      </c>
      <c r="GE109" s="311" t="str">
        <f t="shared" si="715"/>
        <v/>
      </c>
      <c r="GF109" s="341" t="str">
        <f t="shared" si="716"/>
        <v/>
      </c>
      <c r="GG109" s="285" t="str">
        <f t="shared" si="775"/>
        <v/>
      </c>
      <c r="GH109" s="286" t="str">
        <f t="shared" si="776"/>
        <v/>
      </c>
      <c r="GI109" s="281" t="str">
        <f t="shared" si="777"/>
        <v/>
      </c>
      <c r="GJ109" s="167" t="str">
        <f t="shared" si="717"/>
        <v/>
      </c>
      <c r="GK109" s="174" t="str">
        <f t="shared" si="778"/>
        <v/>
      </c>
      <c r="GL109" s="174" t="str">
        <f t="shared" si="718"/>
        <v/>
      </c>
      <c r="GM109" s="177" t="str">
        <f t="shared" si="719"/>
        <v/>
      </c>
      <c r="GN109" s="280" t="str">
        <f t="shared" si="720"/>
        <v/>
      </c>
      <c r="GO109" s="4" t="str">
        <f t="shared" si="721"/>
        <v/>
      </c>
      <c r="GP109" s="8" t="str">
        <f t="shared" si="722"/>
        <v/>
      </c>
      <c r="GQ109" s="177" t="str">
        <f t="shared" si="723"/>
        <v/>
      </c>
      <c r="GR109" s="371" t="str">
        <f t="shared" si="724"/>
        <v/>
      </c>
      <c r="GS109" s="342" t="str">
        <f t="shared" si="779"/>
        <v/>
      </c>
      <c r="GT109" s="343" t="str">
        <f t="shared" si="780"/>
        <v/>
      </c>
      <c r="GU109" s="344" t="str">
        <f t="shared" si="781"/>
        <v/>
      </c>
      <c r="GV109" s="343" t="str">
        <f t="shared" si="725"/>
        <v/>
      </c>
      <c r="GW109" s="345" t="str">
        <f t="shared" si="782"/>
        <v/>
      </c>
      <c r="GX109" s="346" t="str">
        <f t="shared" si="783"/>
        <v/>
      </c>
      <c r="GY109" s="344" t="str">
        <f t="shared" si="784"/>
        <v/>
      </c>
      <c r="GZ109" s="345" t="str">
        <f t="shared" si="785"/>
        <v/>
      </c>
      <c r="HA109" s="342" t="str">
        <f t="shared" si="786"/>
        <v/>
      </c>
      <c r="HB109" s="5" t="str">
        <f t="shared" si="726"/>
        <v/>
      </c>
      <c r="HC109" s="343" t="str">
        <f t="shared" si="727"/>
        <v/>
      </c>
      <c r="HD109" s="363" t="str">
        <f t="shared" si="728"/>
        <v/>
      </c>
      <c r="HE109" s="344" t="str">
        <f t="shared" si="787"/>
        <v/>
      </c>
      <c r="HF109" s="5" t="str">
        <f t="shared" si="788"/>
        <v/>
      </c>
      <c r="HG109" s="343" t="str">
        <f t="shared" si="729"/>
        <v/>
      </c>
      <c r="HH109" s="349" t="str">
        <f t="shared" si="730"/>
        <v/>
      </c>
      <c r="HI109" s="317" t="str">
        <f t="shared" si="789"/>
        <v/>
      </c>
      <c r="HK109" s="310" t="str">
        <f t="shared" si="840"/>
        <v/>
      </c>
      <c r="HL109" s="348" t="str">
        <f t="shared" si="790"/>
        <v/>
      </c>
      <c r="HM109" s="909" t="str">
        <f t="shared" si="791"/>
        <v/>
      </c>
      <c r="HN109" s="910" t="str">
        <f t="shared" si="792"/>
        <v/>
      </c>
      <c r="HO109" s="911"/>
      <c r="HP109" s="912"/>
      <c r="HQ109" s="910" t="str">
        <f t="shared" si="793"/>
        <v/>
      </c>
      <c r="HR109" s="913" t="str">
        <f t="shared" si="794"/>
        <v/>
      </c>
      <c r="HS109" s="865" t="str">
        <f t="shared" si="841"/>
        <v/>
      </c>
      <c r="HT109" s="875" t="str">
        <f t="shared" si="795"/>
        <v/>
      </c>
      <c r="HU109" s="876" t="str">
        <f t="shared" si="796"/>
        <v/>
      </c>
      <c r="HV109" s="872" t="str">
        <f t="shared" si="797"/>
        <v/>
      </c>
      <c r="HW109" s="866" t="str">
        <f t="shared" si="798"/>
        <v/>
      </c>
      <c r="HX109" s="867" t="str">
        <f t="shared" si="799"/>
        <v/>
      </c>
      <c r="HY109" s="866" t="str">
        <f t="shared" si="800"/>
        <v/>
      </c>
      <c r="HZ109" s="868" t="str">
        <f t="shared" si="801"/>
        <v/>
      </c>
      <c r="IA109" s="869" t="str">
        <f t="shared" si="802"/>
        <v/>
      </c>
      <c r="IB109" s="870" t="str">
        <f t="shared" si="803"/>
        <v/>
      </c>
      <c r="IC109" s="841" t="str">
        <f t="shared" si="804"/>
        <v/>
      </c>
      <c r="ID109" s="351" t="str">
        <f t="shared" si="805"/>
        <v/>
      </c>
      <c r="IE109" s="843" t="str">
        <f t="shared" si="806"/>
        <v/>
      </c>
      <c r="IF109" s="844"/>
      <c r="IG109" s="790" t="str">
        <f>IFERROR(IF($IW109="","",IF($IW109&lt;(((Settings!$C$19/2)*-1)*$IG$8),"Taper","Nose")),"")</f>
        <v/>
      </c>
      <c r="IH109" s="482" t="str">
        <f>IFERROR(IF((((($IY109*COS(RADIANS(180-$JA109)))*COS(RADIANS($JA109)))-(($IZ109*SIN(RADIANS(180-$JA109)))*SIN(RADIANS($JA109))))+$IW109)&lt;(((Settings!$C$19+$IH$8)/2)*-1),"Gage",""),"")</f>
        <v/>
      </c>
      <c r="II109" s="788" t="str">
        <f t="shared" si="731"/>
        <v/>
      </c>
      <c r="IJ109" s="674" t="str" cm="1">
        <f t="array" ref="IJ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K109" s="677" t="str" cm="1">
        <f t="array" ref="IK109">IFERROR(ROUND(VALUE(IF($IJ109&lt;1,$IJ109+LARGE((IF($M$9:$M$150="",0,$M$9:$M$150)-MOD(IF($M$9:$M$150="",0,$M$9:$M$150),1)),1),$IJ109)),4),"")</f>
        <v/>
      </c>
      <c r="IL109" s="482" t="str">
        <f t="shared" si="807"/>
        <v/>
      </c>
      <c r="IM109" s="482" t="str">
        <f t="shared" si="732"/>
        <v/>
      </c>
      <c r="IN109" s="670" t="str">
        <f t="shared" si="808"/>
        <v/>
      </c>
      <c r="IO109" s="702"/>
      <c r="IP109" s="5" t="str">
        <f t="shared" si="809"/>
        <v/>
      </c>
      <c r="IQ109" s="714"/>
      <c r="IR109" s="9" t="str">
        <f t="shared" si="810"/>
        <v/>
      </c>
      <c r="IS109" s="5" t="str">
        <f t="shared" si="811"/>
        <v/>
      </c>
      <c r="IT109" s="5" t="str">
        <f t="shared" si="812"/>
        <v/>
      </c>
      <c r="IU109" s="5" t="str">
        <f t="shared" si="813"/>
        <v/>
      </c>
      <c r="IV109" s="670" t="str">
        <f t="shared" si="814"/>
        <v/>
      </c>
      <c r="IW109" s="9" t="str">
        <f t="shared" si="815"/>
        <v/>
      </c>
      <c r="IX109" s="5" t="str">
        <f t="shared" si="816"/>
        <v/>
      </c>
      <c r="IY109" s="5" t="str">
        <f t="shared" si="817"/>
        <v/>
      </c>
      <c r="IZ109" s="5" t="str">
        <f t="shared" si="818"/>
        <v/>
      </c>
      <c r="JA109" s="705" t="str">
        <f t="shared" si="819"/>
        <v/>
      </c>
    </row>
    <row r="110" spans="1:261" ht="15" customHeight="1" x14ac:dyDescent="0.25">
      <c r="A110" s="75" t="str">
        <f t="shared" si="736"/>
        <v/>
      </c>
      <c r="B110" s="578" t="str">
        <f t="shared" si="515"/>
        <v/>
      </c>
      <c r="C110" s="572" t="str">
        <f t="shared" si="516"/>
        <v/>
      </c>
      <c r="D110" s="576" t="str">
        <f t="shared" si="517"/>
        <v/>
      </c>
      <c r="E110" s="580" t="str">
        <f t="shared" si="518"/>
        <v/>
      </c>
      <c r="F110" s="572" t="str">
        <f t="shared" si="519"/>
        <v/>
      </c>
      <c r="G110" s="579" t="str">
        <f t="shared" si="520"/>
        <v/>
      </c>
      <c r="H110" s="580" t="str">
        <f t="shared" si="521"/>
        <v/>
      </c>
      <c r="I110" s="572" t="str">
        <f t="shared" si="522"/>
        <v/>
      </c>
      <c r="J110" s="483" t="str">
        <f t="shared" si="523"/>
        <v/>
      </c>
      <c r="K110" s="806" t="str">
        <f t="shared" si="524"/>
        <v/>
      </c>
      <c r="L110" s="309"/>
      <c r="M110" s="164" t="str">
        <f t="shared" si="737"/>
        <v/>
      </c>
      <c r="N110" s="575" t="str">
        <f t="shared" si="738"/>
        <v/>
      </c>
      <c r="O110" s="572" t="str">
        <f t="shared" si="739"/>
        <v/>
      </c>
      <c r="P110" s="576" t="str">
        <f t="shared" si="740"/>
        <v/>
      </c>
      <c r="Q110" s="528" t="str">
        <f t="shared" si="609"/>
        <v/>
      </c>
      <c r="R110" s="572" t="str">
        <f t="shared" si="820"/>
        <v/>
      </c>
      <c r="S110" s="577" t="str">
        <f t="shared" si="821"/>
        <v/>
      </c>
      <c r="T110" s="578" t="str">
        <f t="shared" si="822"/>
        <v/>
      </c>
      <c r="U110" s="572" t="str">
        <f t="shared" si="823"/>
        <v/>
      </c>
      <c r="V110" s="579" t="str">
        <f t="shared" si="824"/>
        <v/>
      </c>
      <c r="W110" s="528" t="str">
        <f t="shared" si="735"/>
        <v/>
      </c>
      <c r="X110" s="572" t="str">
        <f t="shared" si="825"/>
        <v/>
      </c>
      <c r="Y110" s="573" t="str">
        <f t="shared" si="733"/>
        <v/>
      </c>
      <c r="Z110" s="575" t="str">
        <f t="shared" si="741"/>
        <v/>
      </c>
      <c r="AA110" s="572" t="str">
        <f t="shared" si="742"/>
        <v/>
      </c>
      <c r="AB110" s="572" t="str">
        <f t="shared" si="743"/>
        <v/>
      </c>
      <c r="AC110" s="579" t="str">
        <f t="shared" si="826"/>
        <v/>
      </c>
      <c r="AD110" s="580" t="str">
        <f t="shared" si="827"/>
        <v/>
      </c>
      <c r="AE110" s="572" t="str">
        <f t="shared" si="828"/>
        <v/>
      </c>
      <c r="AF110" s="576" t="str">
        <f t="shared" si="829"/>
        <v/>
      </c>
      <c r="AG110" s="545" t="str">
        <f t="shared" si="830"/>
        <v/>
      </c>
      <c r="AH110" s="546" t="str">
        <f t="shared" si="831"/>
        <v/>
      </c>
      <c r="AI110" s="528" t="str">
        <f t="shared" si="832"/>
        <v/>
      </c>
      <c r="AJ110" s="529" t="str">
        <f t="shared" si="833"/>
        <v/>
      </c>
      <c r="AK110" s="578" t="str">
        <f t="shared" si="834"/>
        <v/>
      </c>
      <c r="AL110" s="572" t="str">
        <f t="shared" si="835"/>
        <v/>
      </c>
      <c r="AM110" s="577" t="str">
        <f t="shared" si="836"/>
        <v/>
      </c>
      <c r="AN110" s="524" t="str">
        <f t="shared" si="837"/>
        <v/>
      </c>
      <c r="AO110" s="525" t="str">
        <f t="shared" si="525"/>
        <v/>
      </c>
      <c r="AP110" s="528" t="str">
        <f t="shared" si="838"/>
        <v/>
      </c>
      <c r="AQ110" s="529" t="str">
        <f t="shared" si="744"/>
        <v/>
      </c>
      <c r="AS110" s="932" t="str">
        <f t="shared" si="842"/>
        <v/>
      </c>
      <c r="AT110" s="928" t="str">
        <f t="shared" si="745"/>
        <v/>
      </c>
      <c r="AU110" s="418"/>
      <c r="AV110" s="164" t="str">
        <f t="shared" si="746"/>
        <v/>
      </c>
      <c r="AW110" s="797" t="str">
        <f>IFERROR(INDEX(MassProp!C$9:C$150,MATCH($M110,MassProp!$B$9:$B$150,0)),"")</f>
        <v/>
      </c>
      <c r="AX110" s="744" t="str">
        <f>IFERROR(INDEX(MassProp!D$9:D$150,MATCH($M110,MassProp!$B$9:$B$150,0)),"")</f>
        <v/>
      </c>
      <c r="AY110" s="731" t="str">
        <f>IFERROR(INDEX(MassProp!E$9:E$150,MATCH($M110,MassProp!$B$9:$B$150,0)),"")</f>
        <v/>
      </c>
      <c r="AZ110" s="297" t="str">
        <f t="shared" si="633"/>
        <v/>
      </c>
      <c r="BA110" s="296" t="str">
        <f t="shared" si="747"/>
        <v/>
      </c>
      <c r="BB110" s="177" t="str">
        <f t="shared" si="610"/>
        <v/>
      </c>
      <c r="BC110" s="9"/>
      <c r="BD110" s="5" t="str">
        <f t="shared" si="611"/>
        <v/>
      </c>
      <c r="BE110" s="6" t="str">
        <f t="shared" si="748"/>
        <v/>
      </c>
      <c r="BF110" s="4" t="str">
        <f t="shared" si="749"/>
        <v/>
      </c>
      <c r="BG110" s="5" t="str">
        <f t="shared" si="750"/>
        <v/>
      </c>
      <c r="BH110" s="10" t="str">
        <f t="shared" si="751"/>
        <v/>
      </c>
      <c r="BI110" s="9" t="str">
        <f t="shared" si="634"/>
        <v/>
      </c>
      <c r="BJ110" s="5" t="str">
        <f t="shared" si="752"/>
        <v/>
      </c>
      <c r="BK110" s="8" t="str">
        <f t="shared" si="753"/>
        <v/>
      </c>
      <c r="BL110" s="173" t="str">
        <f t="shared" si="754"/>
        <v/>
      </c>
      <c r="BM110" s="5" t="str">
        <f t="shared" si="755"/>
        <v/>
      </c>
      <c r="BN110" s="6" t="str">
        <f t="shared" si="756"/>
        <v/>
      </c>
      <c r="BO110" s="4" t="str">
        <f t="shared" si="635"/>
        <v/>
      </c>
      <c r="BP110" s="5" t="str">
        <f t="shared" si="734"/>
        <v/>
      </c>
      <c r="BQ110" s="5" t="str">
        <f t="shared" si="636"/>
        <v/>
      </c>
      <c r="BR110" s="6" t="str">
        <f t="shared" si="637"/>
        <v/>
      </c>
      <c r="BS110" s="4" t="str">
        <f t="shared" si="839"/>
        <v/>
      </c>
      <c r="BT110" s="5" t="str">
        <f t="shared" si="839"/>
        <v/>
      </c>
      <c r="BU110" s="10" t="str">
        <f t="shared" si="613"/>
        <v/>
      </c>
      <c r="BV110" s="9" t="str">
        <f t="shared" si="614"/>
        <v/>
      </c>
      <c r="BW110" s="5" t="str">
        <f t="shared" si="615"/>
        <v/>
      </c>
      <c r="BX110" s="8" t="str">
        <f t="shared" si="616"/>
        <v/>
      </c>
      <c r="BY110" s="173" t="str">
        <f t="shared" si="617"/>
        <v/>
      </c>
      <c r="BZ110" s="5" t="str">
        <f t="shared" si="618"/>
        <v/>
      </c>
      <c r="CA110" s="6" t="str">
        <f t="shared" si="619"/>
        <v/>
      </c>
      <c r="CB110" s="4" t="str">
        <f t="shared" si="638"/>
        <v/>
      </c>
      <c r="CC110" s="5" t="str">
        <f t="shared" si="639"/>
        <v/>
      </c>
      <c r="CD110" s="5" t="str">
        <f t="shared" si="640"/>
        <v/>
      </c>
      <c r="CE110" s="6" t="str">
        <f t="shared" si="641"/>
        <v/>
      </c>
      <c r="CF110" s="4" t="str">
        <f t="shared" si="642"/>
        <v/>
      </c>
      <c r="CG110" s="5" t="str">
        <f t="shared" si="643"/>
        <v/>
      </c>
      <c r="CH110" s="5" t="str">
        <f t="shared" si="644"/>
        <v/>
      </c>
      <c r="CI110" s="4" t="str">
        <f t="shared" si="620"/>
        <v/>
      </c>
      <c r="CJ110" s="5" t="str">
        <f t="shared" si="621"/>
        <v/>
      </c>
      <c r="CK110" s="8" t="str">
        <f t="shared" si="622"/>
        <v/>
      </c>
      <c r="CL110" s="173" t="str">
        <f t="shared" si="623"/>
        <v/>
      </c>
      <c r="CM110" s="5" t="str">
        <f t="shared" si="624"/>
        <v/>
      </c>
      <c r="CN110" s="6" t="str">
        <f t="shared" si="625"/>
        <v/>
      </c>
      <c r="CO110" s="167" t="str">
        <f t="shared" si="757"/>
        <v/>
      </c>
      <c r="CP110" s="4" t="str">
        <f t="shared" si="645"/>
        <v/>
      </c>
      <c r="CQ110" s="5" t="str">
        <f t="shared" si="646"/>
        <v/>
      </c>
      <c r="CR110" s="5" t="str">
        <f t="shared" si="647"/>
        <v/>
      </c>
      <c r="CS110" s="8" t="str">
        <f t="shared" si="648"/>
        <v/>
      </c>
      <c r="CT110" s="9" t="str">
        <f t="shared" si="649"/>
        <v/>
      </c>
      <c r="CU110" s="6" t="str">
        <f t="shared" si="650"/>
        <v/>
      </c>
      <c r="CV110" s="4" t="str">
        <f t="shared" si="651"/>
        <v/>
      </c>
      <c r="CW110" s="5" t="str">
        <f t="shared" si="652"/>
        <v/>
      </c>
      <c r="CX110" s="8" t="str">
        <f t="shared" si="653"/>
        <v/>
      </c>
      <c r="CY110" s="9" t="str">
        <f t="shared" si="654"/>
        <v/>
      </c>
      <c r="CZ110" s="5" t="str">
        <f t="shared" si="655"/>
        <v/>
      </c>
      <c r="DA110" s="6" t="str">
        <f t="shared" si="656"/>
        <v/>
      </c>
      <c r="DB110" s="4" t="str">
        <f t="shared" si="843"/>
        <v/>
      </c>
      <c r="DC110" s="5" t="str">
        <f t="shared" si="843"/>
        <v/>
      </c>
      <c r="DD110" s="10" t="str">
        <f t="shared" si="658"/>
        <v/>
      </c>
      <c r="DE110" s="9" t="str">
        <f t="shared" si="844"/>
        <v/>
      </c>
      <c r="DF110" s="5" t="str">
        <f t="shared" si="844"/>
        <v/>
      </c>
      <c r="DG110" s="10" t="str">
        <f t="shared" si="660"/>
        <v/>
      </c>
      <c r="DH110" s="70" t="str">
        <f t="shared" si="661"/>
        <v/>
      </c>
      <c r="DI110" s="4" t="str">
        <f t="shared" si="662"/>
        <v/>
      </c>
      <c r="DJ110" s="5" t="str">
        <f t="shared" si="663"/>
        <v/>
      </c>
      <c r="DK110" s="10" t="str">
        <f t="shared" si="664"/>
        <v/>
      </c>
      <c r="DL110" s="9" t="str">
        <f t="shared" si="665"/>
        <v/>
      </c>
      <c r="DM110" s="173" t="str">
        <f t="shared" si="666"/>
        <v/>
      </c>
      <c r="DN110" s="178" t="str">
        <f t="shared" si="667"/>
        <v/>
      </c>
      <c r="DO110" s="9" t="str">
        <f t="shared" si="668"/>
        <v/>
      </c>
      <c r="DP110" s="173" t="str">
        <f t="shared" si="669"/>
        <v/>
      </c>
      <c r="DQ110" s="11" t="str">
        <f t="shared" si="670"/>
        <v/>
      </c>
      <c r="DR110" s="173" t="str">
        <f t="shared" si="671"/>
        <v/>
      </c>
      <c r="DS110" s="5" t="str">
        <f t="shared" si="672"/>
        <v/>
      </c>
      <c r="DT110" s="5" t="str">
        <f t="shared" si="673"/>
        <v/>
      </c>
      <c r="DU110" s="5" t="str">
        <f t="shared" si="674"/>
        <v/>
      </c>
      <c r="DV110" s="5" t="str">
        <f t="shared" si="675"/>
        <v/>
      </c>
      <c r="DW110" s="5" t="str">
        <f t="shared" si="676"/>
        <v/>
      </c>
      <c r="DX110" s="167" t="str">
        <f t="shared" si="677"/>
        <v/>
      </c>
      <c r="DY110" s="9" t="str">
        <f t="shared" si="678"/>
        <v/>
      </c>
      <c r="DZ110" s="5" t="str">
        <f t="shared" si="679"/>
        <v/>
      </c>
      <c r="EA110" s="10" t="str">
        <f t="shared" si="680"/>
        <v/>
      </c>
      <c r="EB110" s="6" t="str">
        <f t="shared" si="681"/>
        <v/>
      </c>
      <c r="EC110" s="173" t="str">
        <f t="shared" si="682"/>
        <v/>
      </c>
      <c r="ED110" s="5" t="str">
        <f t="shared" si="683"/>
        <v/>
      </c>
      <c r="EE110" s="4" t="str">
        <f t="shared" si="684"/>
        <v/>
      </c>
      <c r="EF110" s="5" t="str">
        <f t="shared" si="685"/>
        <v/>
      </c>
      <c r="EG110" s="10" t="str">
        <f t="shared" si="686"/>
        <v/>
      </c>
      <c r="EH110" s="9" t="str">
        <f t="shared" si="687"/>
        <v/>
      </c>
      <c r="EI110" s="5" t="str">
        <f t="shared" si="688"/>
        <v/>
      </c>
      <c r="EJ110" s="6" t="str">
        <f t="shared" si="689"/>
        <v/>
      </c>
      <c r="EK110" s="236" t="str">
        <f t="shared" si="690"/>
        <v/>
      </c>
      <c r="EL110" s="238" t="str">
        <f t="shared" si="691"/>
        <v/>
      </c>
      <c r="EM110" s="4" t="str">
        <f t="shared" si="692"/>
        <v/>
      </c>
      <c r="EN110" s="5" t="str">
        <f t="shared" si="693"/>
        <v/>
      </c>
      <c r="EO110" s="10" t="str">
        <f t="shared" si="694"/>
        <v/>
      </c>
      <c r="EP110" s="9" t="str">
        <f t="shared" si="695"/>
        <v/>
      </c>
      <c r="EQ110" s="5" t="str">
        <f t="shared" si="696"/>
        <v/>
      </c>
      <c r="ER110" s="7" t="str">
        <f t="shared" si="697"/>
        <v/>
      </c>
      <c r="ES110" s="21" t="str">
        <f t="shared" si="758"/>
        <v/>
      </c>
      <c r="ET110" s="5" t="str">
        <f t="shared" si="759"/>
        <v/>
      </c>
      <c r="EU110" s="10" t="str">
        <f t="shared" si="760"/>
        <v/>
      </c>
      <c r="EV110" s="174" t="str">
        <f t="shared" si="761"/>
        <v/>
      </c>
      <c r="EW110" s="9" t="str">
        <f t="shared" si="762"/>
        <v/>
      </c>
      <c r="EX110" s="5" t="str">
        <f t="shared" si="763"/>
        <v/>
      </c>
      <c r="EY110" s="6" t="str">
        <f t="shared" si="698"/>
        <v/>
      </c>
      <c r="EZ110" s="51" t="str">
        <f t="shared" si="699"/>
        <v/>
      </c>
      <c r="FA110" s="173" t="str">
        <f t="shared" si="764"/>
        <v/>
      </c>
      <c r="FB110" s="5" t="str">
        <f t="shared" si="765"/>
        <v/>
      </c>
      <c r="FC110" s="6" t="str">
        <f t="shared" si="766"/>
        <v/>
      </c>
      <c r="FD110" s="4" t="str">
        <f t="shared" si="767"/>
        <v/>
      </c>
      <c r="FE110" s="5" t="str">
        <f t="shared" si="768"/>
        <v/>
      </c>
      <c r="FF110" s="7" t="str">
        <f t="shared" si="700"/>
        <v/>
      </c>
      <c r="FG110" s="173" t="str">
        <f t="shared" si="769"/>
        <v/>
      </c>
      <c r="FH110" s="5" t="str">
        <f t="shared" si="770"/>
        <v/>
      </c>
      <c r="FI110" s="10" t="str">
        <f t="shared" si="771"/>
        <v/>
      </c>
      <c r="FJ110" s="279" t="str">
        <f t="shared" si="701"/>
        <v/>
      </c>
      <c r="FK110" s="4" t="str">
        <f t="shared" si="772"/>
        <v/>
      </c>
      <c r="FL110" s="5" t="str">
        <f t="shared" si="626"/>
        <v/>
      </c>
      <c r="FM110" s="8" t="str">
        <f t="shared" si="627"/>
        <v/>
      </c>
      <c r="FN110" s="9" t="str">
        <f t="shared" si="628"/>
        <v/>
      </c>
      <c r="FO110" s="10" t="str">
        <f t="shared" si="773"/>
        <v/>
      </c>
      <c r="FP110" s="277" t="str">
        <f t="shared" si="629"/>
        <v/>
      </c>
      <c r="FQ110" s="173" t="str">
        <f t="shared" si="702"/>
        <v/>
      </c>
      <c r="FR110" s="10" t="str">
        <f t="shared" si="703"/>
        <v/>
      </c>
      <c r="FS110" s="9" t="str">
        <f t="shared" si="704"/>
        <v/>
      </c>
      <c r="FT110" s="6" t="str">
        <f t="shared" si="705"/>
        <v/>
      </c>
      <c r="FU110" s="4" t="str">
        <f t="shared" si="706"/>
        <v/>
      </c>
      <c r="FV110" s="5" t="str">
        <f t="shared" si="707"/>
        <v/>
      </c>
      <c r="FW110" s="8" t="str">
        <f t="shared" si="708"/>
        <v/>
      </c>
      <c r="FX110" s="9" t="str">
        <f t="shared" si="709"/>
        <v/>
      </c>
      <c r="FY110" s="10" t="str">
        <f t="shared" si="774"/>
        <v/>
      </c>
      <c r="FZ110" s="277" t="str">
        <f t="shared" si="710"/>
        <v/>
      </c>
      <c r="GA110" s="177" t="str">
        <f t="shared" si="711"/>
        <v/>
      </c>
      <c r="GB110" s="4" t="str">
        <f t="shared" si="712"/>
        <v/>
      </c>
      <c r="GC110" s="5" t="str">
        <f t="shared" si="713"/>
        <v/>
      </c>
      <c r="GD110" s="10" t="str">
        <f t="shared" si="714"/>
        <v/>
      </c>
      <c r="GE110" s="311" t="str">
        <f t="shared" si="715"/>
        <v/>
      </c>
      <c r="GF110" s="341" t="str">
        <f t="shared" si="716"/>
        <v/>
      </c>
      <c r="GG110" s="285" t="str">
        <f t="shared" si="775"/>
        <v/>
      </c>
      <c r="GH110" s="286" t="str">
        <f t="shared" si="776"/>
        <v/>
      </c>
      <c r="GI110" s="281" t="str">
        <f t="shared" si="777"/>
        <v/>
      </c>
      <c r="GJ110" s="167" t="str">
        <f t="shared" si="717"/>
        <v/>
      </c>
      <c r="GK110" s="174" t="str">
        <f t="shared" si="778"/>
        <v/>
      </c>
      <c r="GL110" s="174" t="str">
        <f t="shared" si="718"/>
        <v/>
      </c>
      <c r="GM110" s="177" t="str">
        <f t="shared" si="719"/>
        <v/>
      </c>
      <c r="GN110" s="280" t="str">
        <f t="shared" si="720"/>
        <v/>
      </c>
      <c r="GO110" s="4" t="str">
        <f t="shared" si="721"/>
        <v/>
      </c>
      <c r="GP110" s="8" t="str">
        <f t="shared" si="722"/>
        <v/>
      </c>
      <c r="GQ110" s="177" t="str">
        <f t="shared" si="723"/>
        <v/>
      </c>
      <c r="GR110" s="371" t="str">
        <f t="shared" si="724"/>
        <v/>
      </c>
      <c r="GS110" s="342" t="str">
        <f t="shared" si="779"/>
        <v/>
      </c>
      <c r="GT110" s="343" t="str">
        <f t="shared" si="780"/>
        <v/>
      </c>
      <c r="GU110" s="344" t="str">
        <f t="shared" si="781"/>
        <v/>
      </c>
      <c r="GV110" s="343" t="str">
        <f t="shared" si="725"/>
        <v/>
      </c>
      <c r="GW110" s="345" t="str">
        <f t="shared" si="782"/>
        <v/>
      </c>
      <c r="GX110" s="346" t="str">
        <f t="shared" si="783"/>
        <v/>
      </c>
      <c r="GY110" s="344" t="str">
        <f t="shared" si="784"/>
        <v/>
      </c>
      <c r="GZ110" s="345" t="str">
        <f t="shared" si="785"/>
        <v/>
      </c>
      <c r="HA110" s="342" t="str">
        <f t="shared" si="786"/>
        <v/>
      </c>
      <c r="HB110" s="5" t="str">
        <f t="shared" si="726"/>
        <v/>
      </c>
      <c r="HC110" s="343" t="str">
        <f t="shared" si="727"/>
        <v/>
      </c>
      <c r="HD110" s="363" t="str">
        <f t="shared" si="728"/>
        <v/>
      </c>
      <c r="HE110" s="344" t="str">
        <f t="shared" si="787"/>
        <v/>
      </c>
      <c r="HF110" s="5" t="str">
        <f t="shared" si="788"/>
        <v/>
      </c>
      <c r="HG110" s="343" t="str">
        <f t="shared" si="729"/>
        <v/>
      </c>
      <c r="HH110" s="349" t="str">
        <f t="shared" si="730"/>
        <v/>
      </c>
      <c r="HI110" s="317" t="str">
        <f t="shared" si="789"/>
        <v/>
      </c>
      <c r="HK110" s="310" t="str">
        <f t="shared" si="840"/>
        <v/>
      </c>
      <c r="HL110" s="348" t="str">
        <f t="shared" si="790"/>
        <v/>
      </c>
      <c r="HM110" s="909" t="str">
        <f t="shared" si="791"/>
        <v/>
      </c>
      <c r="HN110" s="910" t="str">
        <f t="shared" si="792"/>
        <v/>
      </c>
      <c r="HO110" s="911"/>
      <c r="HP110" s="912"/>
      <c r="HQ110" s="910" t="str">
        <f t="shared" si="793"/>
        <v/>
      </c>
      <c r="HR110" s="913" t="str">
        <f t="shared" si="794"/>
        <v/>
      </c>
      <c r="HS110" s="865" t="str">
        <f t="shared" si="841"/>
        <v/>
      </c>
      <c r="HT110" s="875" t="str">
        <f t="shared" si="795"/>
        <v/>
      </c>
      <c r="HU110" s="876" t="str">
        <f t="shared" si="796"/>
        <v/>
      </c>
      <c r="HV110" s="872" t="str">
        <f t="shared" si="797"/>
        <v/>
      </c>
      <c r="HW110" s="866" t="str">
        <f t="shared" si="798"/>
        <v/>
      </c>
      <c r="HX110" s="867" t="str">
        <f t="shared" si="799"/>
        <v/>
      </c>
      <c r="HY110" s="866" t="str">
        <f t="shared" si="800"/>
        <v/>
      </c>
      <c r="HZ110" s="868" t="str">
        <f t="shared" si="801"/>
        <v/>
      </c>
      <c r="IA110" s="869" t="str">
        <f t="shared" si="802"/>
        <v/>
      </c>
      <c r="IB110" s="870" t="str">
        <f t="shared" si="803"/>
        <v/>
      </c>
      <c r="IC110" s="841" t="str">
        <f t="shared" si="804"/>
        <v/>
      </c>
      <c r="ID110" s="351" t="str">
        <f t="shared" si="805"/>
        <v/>
      </c>
      <c r="IE110" s="843" t="str">
        <f t="shared" si="806"/>
        <v/>
      </c>
      <c r="IF110" s="844"/>
      <c r="IG110" s="790" t="str">
        <f>IFERROR(IF($IW110="","",IF($IW110&lt;(((Settings!$C$19/2)*-1)*$IG$8),"Taper","Nose")),"")</f>
        <v/>
      </c>
      <c r="IH110" s="482" t="str">
        <f>IFERROR(IF((((($IY110*COS(RADIANS(180-$JA110)))*COS(RADIANS($JA110)))-(($IZ110*SIN(RADIANS(180-$JA110)))*SIN(RADIANS($JA110))))+$IW110)&lt;(((Settings!$C$19+$IH$8)/2)*-1),"Gage",""),"")</f>
        <v/>
      </c>
      <c r="II110" s="788" t="str">
        <f t="shared" si="731"/>
        <v/>
      </c>
      <c r="IJ110" s="674" t="str" cm="1">
        <f t="array" ref="IJ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K110" s="677" t="str" cm="1">
        <f t="array" ref="IK110">IFERROR(ROUND(VALUE(IF($IJ110&lt;1,$IJ110+LARGE((IF($M$9:$M$150="",0,$M$9:$M$150)-MOD(IF($M$9:$M$150="",0,$M$9:$M$150),1)),1),$IJ110)),4),"")</f>
        <v/>
      </c>
      <c r="IL110" s="482" t="str">
        <f t="shared" si="807"/>
        <v/>
      </c>
      <c r="IM110" s="482" t="str">
        <f t="shared" si="732"/>
        <v/>
      </c>
      <c r="IN110" s="670" t="str">
        <f t="shared" si="808"/>
        <v/>
      </c>
      <c r="IO110" s="702"/>
      <c r="IP110" s="5" t="str">
        <f t="shared" si="809"/>
        <v/>
      </c>
      <c r="IQ110" s="714"/>
      <c r="IR110" s="9" t="str">
        <f t="shared" si="810"/>
        <v/>
      </c>
      <c r="IS110" s="5" t="str">
        <f t="shared" si="811"/>
        <v/>
      </c>
      <c r="IT110" s="5" t="str">
        <f t="shared" si="812"/>
        <v/>
      </c>
      <c r="IU110" s="5" t="str">
        <f t="shared" si="813"/>
        <v/>
      </c>
      <c r="IV110" s="670" t="str">
        <f t="shared" si="814"/>
        <v/>
      </c>
      <c r="IW110" s="9" t="str">
        <f t="shared" si="815"/>
        <v/>
      </c>
      <c r="IX110" s="5" t="str">
        <f t="shared" si="816"/>
        <v/>
      </c>
      <c r="IY110" s="5" t="str">
        <f t="shared" si="817"/>
        <v/>
      </c>
      <c r="IZ110" s="5" t="str">
        <f t="shared" si="818"/>
        <v/>
      </c>
      <c r="JA110" s="705" t="str">
        <f t="shared" si="819"/>
        <v/>
      </c>
    </row>
    <row r="111" spans="1:261" ht="15" customHeight="1" x14ac:dyDescent="0.25">
      <c r="A111" s="75" t="str">
        <f t="shared" si="736"/>
        <v/>
      </c>
      <c r="B111" s="578" t="str">
        <f t="shared" si="515"/>
        <v/>
      </c>
      <c r="C111" s="572" t="str">
        <f t="shared" si="516"/>
        <v/>
      </c>
      <c r="D111" s="576" t="str">
        <f t="shared" si="517"/>
        <v/>
      </c>
      <c r="E111" s="580" t="str">
        <f t="shared" si="518"/>
        <v/>
      </c>
      <c r="F111" s="572" t="str">
        <f t="shared" si="519"/>
        <v/>
      </c>
      <c r="G111" s="579" t="str">
        <f t="shared" si="520"/>
        <v/>
      </c>
      <c r="H111" s="580" t="str">
        <f t="shared" si="521"/>
        <v/>
      </c>
      <c r="I111" s="572" t="str">
        <f t="shared" si="522"/>
        <v/>
      </c>
      <c r="J111" s="483" t="str">
        <f t="shared" si="523"/>
        <v/>
      </c>
      <c r="K111" s="806" t="str">
        <f t="shared" si="524"/>
        <v/>
      </c>
      <c r="L111" s="309"/>
      <c r="M111" s="164" t="str">
        <f t="shared" si="737"/>
        <v/>
      </c>
      <c r="N111" s="575" t="str">
        <f t="shared" si="738"/>
        <v/>
      </c>
      <c r="O111" s="572" t="str">
        <f t="shared" si="739"/>
        <v/>
      </c>
      <c r="P111" s="576" t="str">
        <f t="shared" si="740"/>
        <v/>
      </c>
      <c r="Q111" s="528" t="str">
        <f t="shared" si="609"/>
        <v/>
      </c>
      <c r="R111" s="572" t="str">
        <f t="shared" si="820"/>
        <v/>
      </c>
      <c r="S111" s="577" t="str">
        <f t="shared" si="821"/>
        <v/>
      </c>
      <c r="T111" s="578" t="str">
        <f t="shared" si="822"/>
        <v/>
      </c>
      <c r="U111" s="572" t="str">
        <f t="shared" si="823"/>
        <v/>
      </c>
      <c r="V111" s="579" t="str">
        <f t="shared" si="824"/>
        <v/>
      </c>
      <c r="W111" s="528" t="str">
        <f t="shared" si="735"/>
        <v/>
      </c>
      <c r="X111" s="572" t="str">
        <f t="shared" si="825"/>
        <v/>
      </c>
      <c r="Y111" s="573" t="str">
        <f t="shared" si="733"/>
        <v/>
      </c>
      <c r="Z111" s="575" t="str">
        <f t="shared" si="741"/>
        <v/>
      </c>
      <c r="AA111" s="572" t="str">
        <f t="shared" si="742"/>
        <v/>
      </c>
      <c r="AB111" s="572" t="str">
        <f t="shared" si="743"/>
        <v/>
      </c>
      <c r="AC111" s="579" t="str">
        <f t="shared" si="826"/>
        <v/>
      </c>
      <c r="AD111" s="580" t="str">
        <f t="shared" si="827"/>
        <v/>
      </c>
      <c r="AE111" s="572" t="str">
        <f t="shared" si="828"/>
        <v/>
      </c>
      <c r="AF111" s="576" t="str">
        <f t="shared" si="829"/>
        <v/>
      </c>
      <c r="AG111" s="545" t="str">
        <f t="shared" si="830"/>
        <v/>
      </c>
      <c r="AH111" s="546" t="str">
        <f t="shared" si="831"/>
        <v/>
      </c>
      <c r="AI111" s="528" t="str">
        <f t="shared" si="832"/>
        <v/>
      </c>
      <c r="AJ111" s="529" t="str">
        <f t="shared" si="833"/>
        <v/>
      </c>
      <c r="AK111" s="578" t="str">
        <f t="shared" si="834"/>
        <v/>
      </c>
      <c r="AL111" s="572" t="str">
        <f t="shared" si="835"/>
        <v/>
      </c>
      <c r="AM111" s="577" t="str">
        <f t="shared" si="836"/>
        <v/>
      </c>
      <c r="AN111" s="524" t="str">
        <f t="shared" si="837"/>
        <v/>
      </c>
      <c r="AO111" s="525" t="str">
        <f t="shared" si="525"/>
        <v/>
      </c>
      <c r="AP111" s="528" t="str">
        <f t="shared" si="838"/>
        <v/>
      </c>
      <c r="AQ111" s="529" t="str">
        <f t="shared" si="744"/>
        <v/>
      </c>
      <c r="AS111" s="932" t="str">
        <f t="shared" si="842"/>
        <v/>
      </c>
      <c r="AT111" s="928" t="str">
        <f t="shared" si="745"/>
        <v/>
      </c>
      <c r="AU111" s="418"/>
      <c r="AV111" s="164" t="str">
        <f t="shared" si="746"/>
        <v/>
      </c>
      <c r="AW111" s="797" t="str">
        <f>IFERROR(INDEX(MassProp!C$9:C$150,MATCH($M111,MassProp!$B$9:$B$150,0)),"")</f>
        <v/>
      </c>
      <c r="AX111" s="744" t="str">
        <f>IFERROR(INDEX(MassProp!D$9:D$150,MATCH($M111,MassProp!$B$9:$B$150,0)),"")</f>
        <v/>
      </c>
      <c r="AY111" s="731" t="str">
        <f>IFERROR(INDEX(MassProp!E$9:E$150,MATCH($M111,MassProp!$B$9:$B$150,0)),"")</f>
        <v/>
      </c>
      <c r="AZ111" s="297" t="str">
        <f t="shared" si="633"/>
        <v/>
      </c>
      <c r="BA111" s="296" t="str">
        <f t="shared" si="747"/>
        <v/>
      </c>
      <c r="BB111" s="177" t="str">
        <f t="shared" si="610"/>
        <v/>
      </c>
      <c r="BC111" s="9"/>
      <c r="BD111" s="5" t="str">
        <f t="shared" si="611"/>
        <v/>
      </c>
      <c r="BE111" s="6" t="str">
        <f t="shared" si="748"/>
        <v/>
      </c>
      <c r="BF111" s="4" t="str">
        <f t="shared" si="749"/>
        <v/>
      </c>
      <c r="BG111" s="5" t="str">
        <f t="shared" si="750"/>
        <v/>
      </c>
      <c r="BH111" s="10" t="str">
        <f t="shared" si="751"/>
        <v/>
      </c>
      <c r="BI111" s="9" t="str">
        <f t="shared" si="634"/>
        <v/>
      </c>
      <c r="BJ111" s="5" t="str">
        <f t="shared" si="752"/>
        <v/>
      </c>
      <c r="BK111" s="8" t="str">
        <f t="shared" si="753"/>
        <v/>
      </c>
      <c r="BL111" s="173" t="str">
        <f t="shared" si="754"/>
        <v/>
      </c>
      <c r="BM111" s="5" t="str">
        <f t="shared" si="755"/>
        <v/>
      </c>
      <c r="BN111" s="6" t="str">
        <f t="shared" si="756"/>
        <v/>
      </c>
      <c r="BO111" s="4" t="str">
        <f t="shared" si="635"/>
        <v/>
      </c>
      <c r="BP111" s="5" t="str">
        <f t="shared" si="734"/>
        <v/>
      </c>
      <c r="BQ111" s="5" t="str">
        <f t="shared" si="636"/>
        <v/>
      </c>
      <c r="BR111" s="6" t="str">
        <f t="shared" si="637"/>
        <v/>
      </c>
      <c r="BS111" s="4" t="str">
        <f t="shared" si="839"/>
        <v/>
      </c>
      <c r="BT111" s="5" t="str">
        <f t="shared" si="839"/>
        <v/>
      </c>
      <c r="BU111" s="10" t="str">
        <f t="shared" si="613"/>
        <v/>
      </c>
      <c r="BV111" s="9" t="str">
        <f t="shared" si="614"/>
        <v/>
      </c>
      <c r="BW111" s="5" t="str">
        <f t="shared" si="615"/>
        <v/>
      </c>
      <c r="BX111" s="8" t="str">
        <f t="shared" si="616"/>
        <v/>
      </c>
      <c r="BY111" s="173" t="str">
        <f t="shared" si="617"/>
        <v/>
      </c>
      <c r="BZ111" s="5" t="str">
        <f t="shared" si="618"/>
        <v/>
      </c>
      <c r="CA111" s="6" t="str">
        <f t="shared" si="619"/>
        <v/>
      </c>
      <c r="CB111" s="4" t="str">
        <f t="shared" si="638"/>
        <v/>
      </c>
      <c r="CC111" s="5" t="str">
        <f t="shared" si="639"/>
        <v/>
      </c>
      <c r="CD111" s="5" t="str">
        <f t="shared" si="640"/>
        <v/>
      </c>
      <c r="CE111" s="6" t="str">
        <f t="shared" si="641"/>
        <v/>
      </c>
      <c r="CF111" s="4" t="str">
        <f t="shared" si="642"/>
        <v/>
      </c>
      <c r="CG111" s="5" t="str">
        <f t="shared" si="643"/>
        <v/>
      </c>
      <c r="CH111" s="5" t="str">
        <f t="shared" si="644"/>
        <v/>
      </c>
      <c r="CI111" s="4" t="str">
        <f t="shared" si="620"/>
        <v/>
      </c>
      <c r="CJ111" s="5" t="str">
        <f t="shared" si="621"/>
        <v/>
      </c>
      <c r="CK111" s="8" t="str">
        <f t="shared" si="622"/>
        <v/>
      </c>
      <c r="CL111" s="173" t="str">
        <f t="shared" si="623"/>
        <v/>
      </c>
      <c r="CM111" s="5" t="str">
        <f t="shared" si="624"/>
        <v/>
      </c>
      <c r="CN111" s="6" t="str">
        <f t="shared" si="625"/>
        <v/>
      </c>
      <c r="CO111" s="167" t="str">
        <f t="shared" si="757"/>
        <v/>
      </c>
      <c r="CP111" s="4" t="str">
        <f t="shared" si="645"/>
        <v/>
      </c>
      <c r="CQ111" s="5" t="str">
        <f t="shared" si="646"/>
        <v/>
      </c>
      <c r="CR111" s="5" t="str">
        <f t="shared" si="647"/>
        <v/>
      </c>
      <c r="CS111" s="8" t="str">
        <f t="shared" si="648"/>
        <v/>
      </c>
      <c r="CT111" s="9" t="str">
        <f t="shared" si="649"/>
        <v/>
      </c>
      <c r="CU111" s="6" t="str">
        <f t="shared" si="650"/>
        <v/>
      </c>
      <c r="CV111" s="4" t="str">
        <f t="shared" si="651"/>
        <v/>
      </c>
      <c r="CW111" s="5" t="str">
        <f t="shared" si="652"/>
        <v/>
      </c>
      <c r="CX111" s="8" t="str">
        <f t="shared" si="653"/>
        <v/>
      </c>
      <c r="CY111" s="9" t="str">
        <f t="shared" si="654"/>
        <v/>
      </c>
      <c r="CZ111" s="5" t="str">
        <f t="shared" si="655"/>
        <v/>
      </c>
      <c r="DA111" s="6" t="str">
        <f t="shared" si="656"/>
        <v/>
      </c>
      <c r="DB111" s="4" t="str">
        <f t="shared" si="843"/>
        <v/>
      </c>
      <c r="DC111" s="5" t="str">
        <f t="shared" si="843"/>
        <v/>
      </c>
      <c r="DD111" s="10" t="str">
        <f t="shared" si="658"/>
        <v/>
      </c>
      <c r="DE111" s="9" t="str">
        <f t="shared" si="844"/>
        <v/>
      </c>
      <c r="DF111" s="5" t="str">
        <f t="shared" si="844"/>
        <v/>
      </c>
      <c r="DG111" s="10" t="str">
        <f t="shared" si="660"/>
        <v/>
      </c>
      <c r="DH111" s="70" t="str">
        <f t="shared" si="661"/>
        <v/>
      </c>
      <c r="DI111" s="4" t="str">
        <f t="shared" si="662"/>
        <v/>
      </c>
      <c r="DJ111" s="5" t="str">
        <f t="shared" si="663"/>
        <v/>
      </c>
      <c r="DK111" s="10" t="str">
        <f t="shared" si="664"/>
        <v/>
      </c>
      <c r="DL111" s="9" t="str">
        <f t="shared" si="665"/>
        <v/>
      </c>
      <c r="DM111" s="173" t="str">
        <f t="shared" si="666"/>
        <v/>
      </c>
      <c r="DN111" s="178" t="str">
        <f t="shared" si="667"/>
        <v/>
      </c>
      <c r="DO111" s="9" t="str">
        <f t="shared" si="668"/>
        <v/>
      </c>
      <c r="DP111" s="173" t="str">
        <f t="shared" si="669"/>
        <v/>
      </c>
      <c r="DQ111" s="11" t="str">
        <f t="shared" si="670"/>
        <v/>
      </c>
      <c r="DR111" s="173" t="str">
        <f t="shared" si="671"/>
        <v/>
      </c>
      <c r="DS111" s="5" t="str">
        <f t="shared" si="672"/>
        <v/>
      </c>
      <c r="DT111" s="5" t="str">
        <f t="shared" si="673"/>
        <v/>
      </c>
      <c r="DU111" s="5" t="str">
        <f t="shared" si="674"/>
        <v/>
      </c>
      <c r="DV111" s="5" t="str">
        <f t="shared" si="675"/>
        <v/>
      </c>
      <c r="DW111" s="5" t="str">
        <f t="shared" si="676"/>
        <v/>
      </c>
      <c r="DX111" s="167" t="str">
        <f t="shared" si="677"/>
        <v/>
      </c>
      <c r="DY111" s="9" t="str">
        <f t="shared" si="678"/>
        <v/>
      </c>
      <c r="DZ111" s="5" t="str">
        <f t="shared" si="679"/>
        <v/>
      </c>
      <c r="EA111" s="10" t="str">
        <f t="shared" si="680"/>
        <v/>
      </c>
      <c r="EB111" s="6" t="str">
        <f t="shared" si="681"/>
        <v/>
      </c>
      <c r="EC111" s="173" t="str">
        <f t="shared" si="682"/>
        <v/>
      </c>
      <c r="ED111" s="5" t="str">
        <f t="shared" si="683"/>
        <v/>
      </c>
      <c r="EE111" s="4" t="str">
        <f t="shared" si="684"/>
        <v/>
      </c>
      <c r="EF111" s="5" t="str">
        <f t="shared" si="685"/>
        <v/>
      </c>
      <c r="EG111" s="10" t="str">
        <f t="shared" si="686"/>
        <v/>
      </c>
      <c r="EH111" s="9" t="str">
        <f t="shared" si="687"/>
        <v/>
      </c>
      <c r="EI111" s="5" t="str">
        <f t="shared" si="688"/>
        <v/>
      </c>
      <c r="EJ111" s="6" t="str">
        <f t="shared" si="689"/>
        <v/>
      </c>
      <c r="EK111" s="236" t="str">
        <f t="shared" si="690"/>
        <v/>
      </c>
      <c r="EL111" s="238" t="str">
        <f t="shared" si="691"/>
        <v/>
      </c>
      <c r="EM111" s="4" t="str">
        <f t="shared" si="692"/>
        <v/>
      </c>
      <c r="EN111" s="5" t="str">
        <f t="shared" si="693"/>
        <v/>
      </c>
      <c r="EO111" s="10" t="str">
        <f t="shared" si="694"/>
        <v/>
      </c>
      <c r="EP111" s="9" t="str">
        <f t="shared" si="695"/>
        <v/>
      </c>
      <c r="EQ111" s="5" t="str">
        <f t="shared" si="696"/>
        <v/>
      </c>
      <c r="ER111" s="7" t="str">
        <f t="shared" si="697"/>
        <v/>
      </c>
      <c r="ES111" s="21" t="str">
        <f t="shared" si="758"/>
        <v/>
      </c>
      <c r="ET111" s="5" t="str">
        <f t="shared" si="759"/>
        <v/>
      </c>
      <c r="EU111" s="10" t="str">
        <f t="shared" si="760"/>
        <v/>
      </c>
      <c r="EV111" s="174" t="str">
        <f t="shared" si="761"/>
        <v/>
      </c>
      <c r="EW111" s="9" t="str">
        <f t="shared" si="762"/>
        <v/>
      </c>
      <c r="EX111" s="5" t="str">
        <f t="shared" si="763"/>
        <v/>
      </c>
      <c r="EY111" s="6" t="str">
        <f t="shared" si="698"/>
        <v/>
      </c>
      <c r="EZ111" s="51" t="str">
        <f t="shared" si="699"/>
        <v/>
      </c>
      <c r="FA111" s="173" t="str">
        <f t="shared" si="764"/>
        <v/>
      </c>
      <c r="FB111" s="5" t="str">
        <f t="shared" si="765"/>
        <v/>
      </c>
      <c r="FC111" s="6" t="str">
        <f t="shared" si="766"/>
        <v/>
      </c>
      <c r="FD111" s="4" t="str">
        <f t="shared" si="767"/>
        <v/>
      </c>
      <c r="FE111" s="5" t="str">
        <f t="shared" si="768"/>
        <v/>
      </c>
      <c r="FF111" s="7" t="str">
        <f t="shared" si="700"/>
        <v/>
      </c>
      <c r="FG111" s="173" t="str">
        <f t="shared" si="769"/>
        <v/>
      </c>
      <c r="FH111" s="5" t="str">
        <f t="shared" si="770"/>
        <v/>
      </c>
      <c r="FI111" s="10" t="str">
        <f t="shared" si="771"/>
        <v/>
      </c>
      <c r="FJ111" s="279" t="str">
        <f t="shared" si="701"/>
        <v/>
      </c>
      <c r="FK111" s="4" t="str">
        <f t="shared" si="772"/>
        <v/>
      </c>
      <c r="FL111" s="5" t="str">
        <f t="shared" si="626"/>
        <v/>
      </c>
      <c r="FM111" s="8" t="str">
        <f t="shared" si="627"/>
        <v/>
      </c>
      <c r="FN111" s="9" t="str">
        <f t="shared" si="628"/>
        <v/>
      </c>
      <c r="FO111" s="10" t="str">
        <f t="shared" si="773"/>
        <v/>
      </c>
      <c r="FP111" s="277" t="str">
        <f t="shared" si="629"/>
        <v/>
      </c>
      <c r="FQ111" s="173" t="str">
        <f t="shared" si="702"/>
        <v/>
      </c>
      <c r="FR111" s="10" t="str">
        <f t="shared" si="703"/>
        <v/>
      </c>
      <c r="FS111" s="9" t="str">
        <f t="shared" si="704"/>
        <v/>
      </c>
      <c r="FT111" s="6" t="str">
        <f t="shared" si="705"/>
        <v/>
      </c>
      <c r="FU111" s="4" t="str">
        <f t="shared" si="706"/>
        <v/>
      </c>
      <c r="FV111" s="5" t="str">
        <f t="shared" si="707"/>
        <v/>
      </c>
      <c r="FW111" s="8" t="str">
        <f t="shared" si="708"/>
        <v/>
      </c>
      <c r="FX111" s="9" t="str">
        <f t="shared" si="709"/>
        <v/>
      </c>
      <c r="FY111" s="10" t="str">
        <f t="shared" si="774"/>
        <v/>
      </c>
      <c r="FZ111" s="277" t="str">
        <f t="shared" si="710"/>
        <v/>
      </c>
      <c r="GA111" s="177" t="str">
        <f t="shared" si="711"/>
        <v/>
      </c>
      <c r="GB111" s="4" t="str">
        <f t="shared" si="712"/>
        <v/>
      </c>
      <c r="GC111" s="5" t="str">
        <f t="shared" si="713"/>
        <v/>
      </c>
      <c r="GD111" s="10" t="str">
        <f t="shared" si="714"/>
        <v/>
      </c>
      <c r="GE111" s="311" t="str">
        <f t="shared" si="715"/>
        <v/>
      </c>
      <c r="GF111" s="341" t="str">
        <f t="shared" si="716"/>
        <v/>
      </c>
      <c r="GG111" s="285" t="str">
        <f t="shared" si="775"/>
        <v/>
      </c>
      <c r="GH111" s="286" t="str">
        <f t="shared" si="776"/>
        <v/>
      </c>
      <c r="GI111" s="281" t="str">
        <f t="shared" si="777"/>
        <v/>
      </c>
      <c r="GJ111" s="167" t="str">
        <f t="shared" si="717"/>
        <v/>
      </c>
      <c r="GK111" s="174" t="str">
        <f t="shared" si="778"/>
        <v/>
      </c>
      <c r="GL111" s="174" t="str">
        <f t="shared" si="718"/>
        <v/>
      </c>
      <c r="GM111" s="177" t="str">
        <f t="shared" si="719"/>
        <v/>
      </c>
      <c r="GN111" s="280" t="str">
        <f t="shared" si="720"/>
        <v/>
      </c>
      <c r="GO111" s="4" t="str">
        <f t="shared" si="721"/>
        <v/>
      </c>
      <c r="GP111" s="8" t="str">
        <f t="shared" si="722"/>
        <v/>
      </c>
      <c r="GQ111" s="177" t="str">
        <f t="shared" si="723"/>
        <v/>
      </c>
      <c r="GR111" s="371" t="str">
        <f t="shared" si="724"/>
        <v/>
      </c>
      <c r="GS111" s="342" t="str">
        <f t="shared" si="779"/>
        <v/>
      </c>
      <c r="GT111" s="343" t="str">
        <f t="shared" si="780"/>
        <v/>
      </c>
      <c r="GU111" s="344" t="str">
        <f t="shared" si="781"/>
        <v/>
      </c>
      <c r="GV111" s="343" t="str">
        <f t="shared" si="725"/>
        <v/>
      </c>
      <c r="GW111" s="345" t="str">
        <f t="shared" si="782"/>
        <v/>
      </c>
      <c r="GX111" s="346" t="str">
        <f t="shared" si="783"/>
        <v/>
      </c>
      <c r="GY111" s="344" t="str">
        <f t="shared" si="784"/>
        <v/>
      </c>
      <c r="GZ111" s="345" t="str">
        <f t="shared" si="785"/>
        <v/>
      </c>
      <c r="HA111" s="342" t="str">
        <f t="shared" si="786"/>
        <v/>
      </c>
      <c r="HB111" s="5" t="str">
        <f t="shared" si="726"/>
        <v/>
      </c>
      <c r="HC111" s="343" t="str">
        <f t="shared" si="727"/>
        <v/>
      </c>
      <c r="HD111" s="363" t="str">
        <f t="shared" si="728"/>
        <v/>
      </c>
      <c r="HE111" s="344" t="str">
        <f t="shared" si="787"/>
        <v/>
      </c>
      <c r="HF111" s="5" t="str">
        <f t="shared" si="788"/>
        <v/>
      </c>
      <c r="HG111" s="343" t="str">
        <f t="shared" si="729"/>
        <v/>
      </c>
      <c r="HH111" s="349" t="str">
        <f t="shared" si="730"/>
        <v/>
      </c>
      <c r="HI111" s="317" t="str">
        <f t="shared" si="789"/>
        <v/>
      </c>
      <c r="HK111" s="310" t="str">
        <f t="shared" si="840"/>
        <v/>
      </c>
      <c r="HL111" s="348" t="str">
        <f t="shared" si="790"/>
        <v/>
      </c>
      <c r="HM111" s="909" t="str">
        <f t="shared" si="791"/>
        <v/>
      </c>
      <c r="HN111" s="910" t="str">
        <f t="shared" si="792"/>
        <v/>
      </c>
      <c r="HO111" s="911"/>
      <c r="HP111" s="912"/>
      <c r="HQ111" s="910" t="str">
        <f t="shared" si="793"/>
        <v/>
      </c>
      <c r="HR111" s="913" t="str">
        <f t="shared" si="794"/>
        <v/>
      </c>
      <c r="HS111" s="865" t="str">
        <f t="shared" si="841"/>
        <v/>
      </c>
      <c r="HT111" s="875" t="str">
        <f t="shared" si="795"/>
        <v/>
      </c>
      <c r="HU111" s="876" t="str">
        <f t="shared" si="796"/>
        <v/>
      </c>
      <c r="HV111" s="872" t="str">
        <f t="shared" si="797"/>
        <v/>
      </c>
      <c r="HW111" s="866" t="str">
        <f t="shared" si="798"/>
        <v/>
      </c>
      <c r="HX111" s="867" t="str">
        <f t="shared" si="799"/>
        <v/>
      </c>
      <c r="HY111" s="866" t="str">
        <f t="shared" si="800"/>
        <v/>
      </c>
      <c r="HZ111" s="868" t="str">
        <f t="shared" si="801"/>
        <v/>
      </c>
      <c r="IA111" s="869" t="str">
        <f t="shared" si="802"/>
        <v/>
      </c>
      <c r="IB111" s="870" t="str">
        <f t="shared" si="803"/>
        <v/>
      </c>
      <c r="IC111" s="841" t="str">
        <f t="shared" si="804"/>
        <v/>
      </c>
      <c r="ID111" s="351" t="str">
        <f t="shared" si="805"/>
        <v/>
      </c>
      <c r="IE111" s="843" t="str">
        <f t="shared" si="806"/>
        <v/>
      </c>
      <c r="IF111" s="844"/>
      <c r="IG111" s="790" t="str">
        <f>IFERROR(IF($IW111="","",IF($IW111&lt;(((Settings!$C$19/2)*-1)*$IG$8),"Taper","Nose")),"")</f>
        <v/>
      </c>
      <c r="IH111" s="482" t="str">
        <f>IFERROR(IF((((($IY111*COS(RADIANS(180-$JA111)))*COS(RADIANS($JA111)))-(($IZ111*SIN(RADIANS(180-$JA111)))*SIN(RADIANS($JA111))))+$IW111)&lt;(((Settings!$C$19+$IH$8)/2)*-1),"Gage",""),"")</f>
        <v/>
      </c>
      <c r="II111" s="788" t="str">
        <f t="shared" si="731"/>
        <v/>
      </c>
      <c r="IJ111" s="674" t="str" cm="1">
        <f t="array" ref="IJ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K111" s="677" t="str" cm="1">
        <f t="array" ref="IK111">IFERROR(ROUND(VALUE(IF($IJ111&lt;1,$IJ111+LARGE((IF($M$9:$M$150="",0,$M$9:$M$150)-MOD(IF($M$9:$M$150="",0,$M$9:$M$150),1)),1),$IJ111)),4),"")</f>
        <v/>
      </c>
      <c r="IL111" s="482" t="str">
        <f t="shared" si="807"/>
        <v/>
      </c>
      <c r="IM111" s="482" t="str">
        <f t="shared" si="732"/>
        <v/>
      </c>
      <c r="IN111" s="670" t="str">
        <f t="shared" si="808"/>
        <v/>
      </c>
      <c r="IO111" s="702"/>
      <c r="IP111" s="5" t="str">
        <f t="shared" si="809"/>
        <v/>
      </c>
      <c r="IQ111" s="714"/>
      <c r="IR111" s="9" t="str">
        <f t="shared" si="810"/>
        <v/>
      </c>
      <c r="IS111" s="5" t="str">
        <f t="shared" si="811"/>
        <v/>
      </c>
      <c r="IT111" s="5" t="str">
        <f t="shared" si="812"/>
        <v/>
      </c>
      <c r="IU111" s="5" t="str">
        <f t="shared" si="813"/>
        <v/>
      </c>
      <c r="IV111" s="670" t="str">
        <f t="shared" si="814"/>
        <v/>
      </c>
      <c r="IW111" s="9" t="str">
        <f t="shared" si="815"/>
        <v/>
      </c>
      <c r="IX111" s="5" t="str">
        <f t="shared" si="816"/>
        <v/>
      </c>
      <c r="IY111" s="5" t="str">
        <f t="shared" si="817"/>
        <v/>
      </c>
      <c r="IZ111" s="5" t="str">
        <f t="shared" si="818"/>
        <v/>
      </c>
      <c r="JA111" s="705" t="str">
        <f t="shared" si="819"/>
        <v/>
      </c>
    </row>
    <row r="112" spans="1:261" ht="15" customHeight="1" x14ac:dyDescent="0.25">
      <c r="A112" s="75" t="str">
        <f t="shared" si="736"/>
        <v/>
      </c>
      <c r="B112" s="578" t="str">
        <f t="shared" si="515"/>
        <v/>
      </c>
      <c r="C112" s="572" t="str">
        <f t="shared" si="516"/>
        <v/>
      </c>
      <c r="D112" s="576" t="str">
        <f t="shared" si="517"/>
        <v/>
      </c>
      <c r="E112" s="580" t="str">
        <f t="shared" si="518"/>
        <v/>
      </c>
      <c r="F112" s="572" t="str">
        <f t="shared" si="519"/>
        <v/>
      </c>
      <c r="G112" s="579" t="str">
        <f t="shared" si="520"/>
        <v/>
      </c>
      <c r="H112" s="580" t="str">
        <f t="shared" si="521"/>
        <v/>
      </c>
      <c r="I112" s="572" t="str">
        <f t="shared" si="522"/>
        <v/>
      </c>
      <c r="J112" s="483" t="str">
        <f t="shared" si="523"/>
        <v/>
      </c>
      <c r="K112" s="806" t="str">
        <f t="shared" si="524"/>
        <v/>
      </c>
      <c r="L112" s="309"/>
      <c r="M112" s="164" t="str">
        <f t="shared" si="737"/>
        <v/>
      </c>
      <c r="N112" s="575" t="str">
        <f t="shared" si="738"/>
        <v/>
      </c>
      <c r="O112" s="572" t="str">
        <f t="shared" si="739"/>
        <v/>
      </c>
      <c r="P112" s="576" t="str">
        <f t="shared" si="740"/>
        <v/>
      </c>
      <c r="Q112" s="528" t="str">
        <f t="shared" si="609"/>
        <v/>
      </c>
      <c r="R112" s="572" t="str">
        <f t="shared" si="820"/>
        <v/>
      </c>
      <c r="S112" s="577" t="str">
        <f t="shared" si="821"/>
        <v/>
      </c>
      <c r="T112" s="578" t="str">
        <f t="shared" si="822"/>
        <v/>
      </c>
      <c r="U112" s="572" t="str">
        <f t="shared" si="823"/>
        <v/>
      </c>
      <c r="V112" s="579" t="str">
        <f t="shared" si="824"/>
        <v/>
      </c>
      <c r="W112" s="528" t="str">
        <f t="shared" si="735"/>
        <v/>
      </c>
      <c r="X112" s="572" t="str">
        <f t="shared" si="825"/>
        <v/>
      </c>
      <c r="Y112" s="573" t="str">
        <f t="shared" si="733"/>
        <v/>
      </c>
      <c r="Z112" s="575" t="str">
        <f t="shared" si="741"/>
        <v/>
      </c>
      <c r="AA112" s="572" t="str">
        <f t="shared" si="742"/>
        <v/>
      </c>
      <c r="AB112" s="572" t="str">
        <f t="shared" si="743"/>
        <v/>
      </c>
      <c r="AC112" s="579" t="str">
        <f t="shared" si="826"/>
        <v/>
      </c>
      <c r="AD112" s="580" t="str">
        <f t="shared" si="827"/>
        <v/>
      </c>
      <c r="AE112" s="572" t="str">
        <f t="shared" si="828"/>
        <v/>
      </c>
      <c r="AF112" s="576" t="str">
        <f t="shared" si="829"/>
        <v/>
      </c>
      <c r="AG112" s="545" t="str">
        <f t="shared" si="830"/>
        <v/>
      </c>
      <c r="AH112" s="546" t="str">
        <f t="shared" si="831"/>
        <v/>
      </c>
      <c r="AI112" s="528" t="str">
        <f t="shared" si="832"/>
        <v/>
      </c>
      <c r="AJ112" s="529" t="str">
        <f t="shared" si="833"/>
        <v/>
      </c>
      <c r="AK112" s="578" t="str">
        <f t="shared" si="834"/>
        <v/>
      </c>
      <c r="AL112" s="572" t="str">
        <f t="shared" si="835"/>
        <v/>
      </c>
      <c r="AM112" s="577" t="str">
        <f t="shared" si="836"/>
        <v/>
      </c>
      <c r="AN112" s="524" t="str">
        <f t="shared" si="837"/>
        <v/>
      </c>
      <c r="AO112" s="525" t="str">
        <f t="shared" si="525"/>
        <v/>
      </c>
      <c r="AP112" s="528" t="str">
        <f t="shared" si="838"/>
        <v/>
      </c>
      <c r="AQ112" s="529" t="str">
        <f t="shared" si="744"/>
        <v/>
      </c>
      <c r="AS112" s="932" t="str">
        <f t="shared" si="842"/>
        <v/>
      </c>
      <c r="AT112" s="928" t="str">
        <f t="shared" si="745"/>
        <v/>
      </c>
      <c r="AU112" s="418"/>
      <c r="AV112" s="164" t="str">
        <f t="shared" si="746"/>
        <v/>
      </c>
      <c r="AW112" s="797" t="str">
        <f>IFERROR(INDEX(MassProp!C$9:C$150,MATCH($M112,MassProp!$B$9:$B$150,0)),"")</f>
        <v/>
      </c>
      <c r="AX112" s="744" t="str">
        <f>IFERROR(INDEX(MassProp!D$9:D$150,MATCH($M112,MassProp!$B$9:$B$150,0)),"")</f>
        <v/>
      </c>
      <c r="AY112" s="731" t="str">
        <f>IFERROR(INDEX(MassProp!E$9:E$150,MATCH($M112,MassProp!$B$9:$B$150,0)),"")</f>
        <v/>
      </c>
      <c r="AZ112" s="297" t="str">
        <f t="shared" si="633"/>
        <v/>
      </c>
      <c r="BA112" s="296" t="str">
        <f t="shared" si="747"/>
        <v/>
      </c>
      <c r="BB112" s="177" t="str">
        <f t="shared" si="610"/>
        <v/>
      </c>
      <c r="BC112" s="9"/>
      <c r="BD112" s="5" t="str">
        <f t="shared" si="611"/>
        <v/>
      </c>
      <c r="BE112" s="6" t="str">
        <f t="shared" si="748"/>
        <v/>
      </c>
      <c r="BF112" s="4" t="str">
        <f t="shared" si="749"/>
        <v/>
      </c>
      <c r="BG112" s="5" t="str">
        <f t="shared" si="750"/>
        <v/>
      </c>
      <c r="BH112" s="10" t="str">
        <f t="shared" si="751"/>
        <v/>
      </c>
      <c r="BI112" s="9" t="str">
        <f t="shared" si="634"/>
        <v/>
      </c>
      <c r="BJ112" s="5" t="str">
        <f t="shared" si="752"/>
        <v/>
      </c>
      <c r="BK112" s="8" t="str">
        <f t="shared" si="753"/>
        <v/>
      </c>
      <c r="BL112" s="173" t="str">
        <f t="shared" si="754"/>
        <v/>
      </c>
      <c r="BM112" s="5" t="str">
        <f t="shared" si="755"/>
        <v/>
      </c>
      <c r="BN112" s="6" t="str">
        <f t="shared" si="756"/>
        <v/>
      </c>
      <c r="BO112" s="4" t="str">
        <f t="shared" si="635"/>
        <v/>
      </c>
      <c r="BP112" s="5" t="str">
        <f t="shared" si="734"/>
        <v/>
      </c>
      <c r="BQ112" s="5" t="str">
        <f t="shared" si="636"/>
        <v/>
      </c>
      <c r="BR112" s="6" t="str">
        <f t="shared" si="637"/>
        <v/>
      </c>
      <c r="BS112" s="4" t="str">
        <f t="shared" si="839"/>
        <v/>
      </c>
      <c r="BT112" s="5" t="str">
        <f t="shared" si="839"/>
        <v/>
      </c>
      <c r="BU112" s="10" t="str">
        <f t="shared" si="613"/>
        <v/>
      </c>
      <c r="BV112" s="9" t="str">
        <f t="shared" si="614"/>
        <v/>
      </c>
      <c r="BW112" s="5" t="str">
        <f t="shared" si="615"/>
        <v/>
      </c>
      <c r="BX112" s="8" t="str">
        <f t="shared" si="616"/>
        <v/>
      </c>
      <c r="BY112" s="173" t="str">
        <f t="shared" si="617"/>
        <v/>
      </c>
      <c r="BZ112" s="5" t="str">
        <f t="shared" si="618"/>
        <v/>
      </c>
      <c r="CA112" s="6" t="str">
        <f t="shared" si="619"/>
        <v/>
      </c>
      <c r="CB112" s="4" t="str">
        <f t="shared" si="638"/>
        <v/>
      </c>
      <c r="CC112" s="5" t="str">
        <f t="shared" si="639"/>
        <v/>
      </c>
      <c r="CD112" s="5" t="str">
        <f t="shared" si="640"/>
        <v/>
      </c>
      <c r="CE112" s="6" t="str">
        <f t="shared" si="641"/>
        <v/>
      </c>
      <c r="CF112" s="4" t="str">
        <f t="shared" si="642"/>
        <v/>
      </c>
      <c r="CG112" s="5" t="str">
        <f t="shared" si="643"/>
        <v/>
      </c>
      <c r="CH112" s="5" t="str">
        <f t="shared" si="644"/>
        <v/>
      </c>
      <c r="CI112" s="4" t="str">
        <f t="shared" si="620"/>
        <v/>
      </c>
      <c r="CJ112" s="5" t="str">
        <f t="shared" si="621"/>
        <v/>
      </c>
      <c r="CK112" s="8" t="str">
        <f t="shared" si="622"/>
        <v/>
      </c>
      <c r="CL112" s="173" t="str">
        <f t="shared" si="623"/>
        <v/>
      </c>
      <c r="CM112" s="5" t="str">
        <f t="shared" si="624"/>
        <v/>
      </c>
      <c r="CN112" s="6" t="str">
        <f t="shared" si="625"/>
        <v/>
      </c>
      <c r="CO112" s="167" t="str">
        <f t="shared" si="757"/>
        <v/>
      </c>
      <c r="CP112" s="4" t="str">
        <f t="shared" si="645"/>
        <v/>
      </c>
      <c r="CQ112" s="5" t="str">
        <f t="shared" si="646"/>
        <v/>
      </c>
      <c r="CR112" s="5" t="str">
        <f t="shared" si="647"/>
        <v/>
      </c>
      <c r="CS112" s="8" t="str">
        <f t="shared" si="648"/>
        <v/>
      </c>
      <c r="CT112" s="9" t="str">
        <f t="shared" si="649"/>
        <v/>
      </c>
      <c r="CU112" s="6" t="str">
        <f t="shared" si="650"/>
        <v/>
      </c>
      <c r="CV112" s="4" t="str">
        <f t="shared" si="651"/>
        <v/>
      </c>
      <c r="CW112" s="5" t="str">
        <f t="shared" si="652"/>
        <v/>
      </c>
      <c r="CX112" s="8" t="str">
        <f t="shared" si="653"/>
        <v/>
      </c>
      <c r="CY112" s="9" t="str">
        <f t="shared" si="654"/>
        <v/>
      </c>
      <c r="CZ112" s="5" t="str">
        <f t="shared" si="655"/>
        <v/>
      </c>
      <c r="DA112" s="6" t="str">
        <f t="shared" si="656"/>
        <v/>
      </c>
      <c r="DB112" s="4" t="str">
        <f t="shared" si="843"/>
        <v/>
      </c>
      <c r="DC112" s="5" t="str">
        <f t="shared" si="843"/>
        <v/>
      </c>
      <c r="DD112" s="10" t="str">
        <f t="shared" si="658"/>
        <v/>
      </c>
      <c r="DE112" s="9" t="str">
        <f t="shared" si="844"/>
        <v/>
      </c>
      <c r="DF112" s="5" t="str">
        <f t="shared" si="844"/>
        <v/>
      </c>
      <c r="DG112" s="10" t="str">
        <f t="shared" si="660"/>
        <v/>
      </c>
      <c r="DH112" s="70" t="str">
        <f t="shared" si="661"/>
        <v/>
      </c>
      <c r="DI112" s="4" t="str">
        <f t="shared" si="662"/>
        <v/>
      </c>
      <c r="DJ112" s="5" t="str">
        <f t="shared" si="663"/>
        <v/>
      </c>
      <c r="DK112" s="10" t="str">
        <f t="shared" si="664"/>
        <v/>
      </c>
      <c r="DL112" s="9" t="str">
        <f t="shared" si="665"/>
        <v/>
      </c>
      <c r="DM112" s="173" t="str">
        <f t="shared" si="666"/>
        <v/>
      </c>
      <c r="DN112" s="178" t="str">
        <f t="shared" si="667"/>
        <v/>
      </c>
      <c r="DO112" s="9" t="str">
        <f t="shared" si="668"/>
        <v/>
      </c>
      <c r="DP112" s="173" t="str">
        <f t="shared" si="669"/>
        <v/>
      </c>
      <c r="DQ112" s="11" t="str">
        <f t="shared" si="670"/>
        <v/>
      </c>
      <c r="DR112" s="173" t="str">
        <f t="shared" si="671"/>
        <v/>
      </c>
      <c r="DS112" s="5" t="str">
        <f t="shared" si="672"/>
        <v/>
      </c>
      <c r="DT112" s="5" t="str">
        <f t="shared" si="673"/>
        <v/>
      </c>
      <c r="DU112" s="5" t="str">
        <f t="shared" si="674"/>
        <v/>
      </c>
      <c r="DV112" s="5" t="str">
        <f t="shared" si="675"/>
        <v/>
      </c>
      <c r="DW112" s="5" t="str">
        <f t="shared" si="676"/>
        <v/>
      </c>
      <c r="DX112" s="167" t="str">
        <f t="shared" si="677"/>
        <v/>
      </c>
      <c r="DY112" s="9" t="str">
        <f t="shared" si="678"/>
        <v/>
      </c>
      <c r="DZ112" s="5" t="str">
        <f t="shared" si="679"/>
        <v/>
      </c>
      <c r="EA112" s="10" t="str">
        <f t="shared" si="680"/>
        <v/>
      </c>
      <c r="EB112" s="6" t="str">
        <f t="shared" si="681"/>
        <v/>
      </c>
      <c r="EC112" s="173" t="str">
        <f t="shared" si="682"/>
        <v/>
      </c>
      <c r="ED112" s="5" t="str">
        <f t="shared" si="683"/>
        <v/>
      </c>
      <c r="EE112" s="4" t="str">
        <f t="shared" si="684"/>
        <v/>
      </c>
      <c r="EF112" s="5" t="str">
        <f t="shared" si="685"/>
        <v/>
      </c>
      <c r="EG112" s="10" t="str">
        <f t="shared" si="686"/>
        <v/>
      </c>
      <c r="EH112" s="9" t="str">
        <f t="shared" si="687"/>
        <v/>
      </c>
      <c r="EI112" s="5" t="str">
        <f t="shared" si="688"/>
        <v/>
      </c>
      <c r="EJ112" s="6" t="str">
        <f t="shared" si="689"/>
        <v/>
      </c>
      <c r="EK112" s="236" t="str">
        <f t="shared" si="690"/>
        <v/>
      </c>
      <c r="EL112" s="238" t="str">
        <f t="shared" si="691"/>
        <v/>
      </c>
      <c r="EM112" s="4" t="str">
        <f t="shared" si="692"/>
        <v/>
      </c>
      <c r="EN112" s="5" t="str">
        <f t="shared" si="693"/>
        <v/>
      </c>
      <c r="EO112" s="10" t="str">
        <f t="shared" si="694"/>
        <v/>
      </c>
      <c r="EP112" s="9" t="str">
        <f t="shared" si="695"/>
        <v/>
      </c>
      <c r="EQ112" s="5" t="str">
        <f t="shared" si="696"/>
        <v/>
      </c>
      <c r="ER112" s="7" t="str">
        <f t="shared" si="697"/>
        <v/>
      </c>
      <c r="ES112" s="21" t="str">
        <f t="shared" si="758"/>
        <v/>
      </c>
      <c r="ET112" s="5" t="str">
        <f t="shared" si="759"/>
        <v/>
      </c>
      <c r="EU112" s="10" t="str">
        <f t="shared" si="760"/>
        <v/>
      </c>
      <c r="EV112" s="174" t="str">
        <f t="shared" si="761"/>
        <v/>
      </c>
      <c r="EW112" s="9" t="str">
        <f t="shared" si="762"/>
        <v/>
      </c>
      <c r="EX112" s="5" t="str">
        <f t="shared" si="763"/>
        <v/>
      </c>
      <c r="EY112" s="6" t="str">
        <f t="shared" si="698"/>
        <v/>
      </c>
      <c r="EZ112" s="51" t="str">
        <f t="shared" si="699"/>
        <v/>
      </c>
      <c r="FA112" s="173" t="str">
        <f t="shared" si="764"/>
        <v/>
      </c>
      <c r="FB112" s="5" t="str">
        <f t="shared" si="765"/>
        <v/>
      </c>
      <c r="FC112" s="6" t="str">
        <f t="shared" si="766"/>
        <v/>
      </c>
      <c r="FD112" s="4" t="str">
        <f t="shared" si="767"/>
        <v/>
      </c>
      <c r="FE112" s="5" t="str">
        <f t="shared" si="768"/>
        <v/>
      </c>
      <c r="FF112" s="7" t="str">
        <f t="shared" si="700"/>
        <v/>
      </c>
      <c r="FG112" s="173" t="str">
        <f t="shared" si="769"/>
        <v/>
      </c>
      <c r="FH112" s="5" t="str">
        <f t="shared" si="770"/>
        <v/>
      </c>
      <c r="FI112" s="10" t="str">
        <f t="shared" si="771"/>
        <v/>
      </c>
      <c r="FJ112" s="279" t="str">
        <f t="shared" si="701"/>
        <v/>
      </c>
      <c r="FK112" s="4" t="str">
        <f t="shared" si="772"/>
        <v/>
      </c>
      <c r="FL112" s="5" t="str">
        <f t="shared" si="626"/>
        <v/>
      </c>
      <c r="FM112" s="8" t="str">
        <f t="shared" si="627"/>
        <v/>
      </c>
      <c r="FN112" s="9" t="str">
        <f t="shared" si="628"/>
        <v/>
      </c>
      <c r="FO112" s="10" t="str">
        <f t="shared" si="773"/>
        <v/>
      </c>
      <c r="FP112" s="277" t="str">
        <f t="shared" si="629"/>
        <v/>
      </c>
      <c r="FQ112" s="173" t="str">
        <f t="shared" si="702"/>
        <v/>
      </c>
      <c r="FR112" s="10" t="str">
        <f t="shared" si="703"/>
        <v/>
      </c>
      <c r="FS112" s="9" t="str">
        <f t="shared" si="704"/>
        <v/>
      </c>
      <c r="FT112" s="6" t="str">
        <f t="shared" si="705"/>
        <v/>
      </c>
      <c r="FU112" s="4" t="str">
        <f t="shared" si="706"/>
        <v/>
      </c>
      <c r="FV112" s="5" t="str">
        <f t="shared" si="707"/>
        <v/>
      </c>
      <c r="FW112" s="8" t="str">
        <f t="shared" si="708"/>
        <v/>
      </c>
      <c r="FX112" s="9" t="str">
        <f t="shared" si="709"/>
        <v/>
      </c>
      <c r="FY112" s="10" t="str">
        <f t="shared" si="774"/>
        <v/>
      </c>
      <c r="FZ112" s="277" t="str">
        <f t="shared" si="710"/>
        <v/>
      </c>
      <c r="GA112" s="177" t="str">
        <f t="shared" si="711"/>
        <v/>
      </c>
      <c r="GB112" s="4" t="str">
        <f t="shared" si="712"/>
        <v/>
      </c>
      <c r="GC112" s="5" t="str">
        <f t="shared" si="713"/>
        <v/>
      </c>
      <c r="GD112" s="10" t="str">
        <f t="shared" si="714"/>
        <v/>
      </c>
      <c r="GE112" s="311" t="str">
        <f t="shared" si="715"/>
        <v/>
      </c>
      <c r="GF112" s="341" t="str">
        <f t="shared" si="716"/>
        <v/>
      </c>
      <c r="GG112" s="285" t="str">
        <f t="shared" si="775"/>
        <v/>
      </c>
      <c r="GH112" s="286" t="str">
        <f t="shared" si="776"/>
        <v/>
      </c>
      <c r="GI112" s="281" t="str">
        <f t="shared" si="777"/>
        <v/>
      </c>
      <c r="GJ112" s="167" t="str">
        <f t="shared" si="717"/>
        <v/>
      </c>
      <c r="GK112" s="174" t="str">
        <f t="shared" si="778"/>
        <v/>
      </c>
      <c r="GL112" s="174" t="str">
        <f t="shared" si="718"/>
        <v/>
      </c>
      <c r="GM112" s="177" t="str">
        <f t="shared" si="719"/>
        <v/>
      </c>
      <c r="GN112" s="280" t="str">
        <f t="shared" si="720"/>
        <v/>
      </c>
      <c r="GO112" s="4" t="str">
        <f t="shared" si="721"/>
        <v/>
      </c>
      <c r="GP112" s="8" t="str">
        <f t="shared" si="722"/>
        <v/>
      </c>
      <c r="GQ112" s="177" t="str">
        <f t="shared" si="723"/>
        <v/>
      </c>
      <c r="GR112" s="371" t="str">
        <f t="shared" si="724"/>
        <v/>
      </c>
      <c r="GS112" s="342" t="str">
        <f t="shared" si="779"/>
        <v/>
      </c>
      <c r="GT112" s="343" t="str">
        <f t="shared" si="780"/>
        <v/>
      </c>
      <c r="GU112" s="344" t="str">
        <f t="shared" si="781"/>
        <v/>
      </c>
      <c r="GV112" s="343" t="str">
        <f t="shared" si="725"/>
        <v/>
      </c>
      <c r="GW112" s="345" t="str">
        <f t="shared" si="782"/>
        <v/>
      </c>
      <c r="GX112" s="346" t="str">
        <f t="shared" si="783"/>
        <v/>
      </c>
      <c r="GY112" s="344" t="str">
        <f t="shared" si="784"/>
        <v/>
      </c>
      <c r="GZ112" s="345" t="str">
        <f t="shared" si="785"/>
        <v/>
      </c>
      <c r="HA112" s="342" t="str">
        <f t="shared" si="786"/>
        <v/>
      </c>
      <c r="HB112" s="5" t="str">
        <f t="shared" si="726"/>
        <v/>
      </c>
      <c r="HC112" s="343" t="str">
        <f t="shared" si="727"/>
        <v/>
      </c>
      <c r="HD112" s="363" t="str">
        <f t="shared" si="728"/>
        <v/>
      </c>
      <c r="HE112" s="344" t="str">
        <f t="shared" si="787"/>
        <v/>
      </c>
      <c r="HF112" s="5" t="str">
        <f t="shared" si="788"/>
        <v/>
      </c>
      <c r="HG112" s="343" t="str">
        <f t="shared" si="729"/>
        <v/>
      </c>
      <c r="HH112" s="349" t="str">
        <f t="shared" si="730"/>
        <v/>
      </c>
      <c r="HI112" s="317" t="str">
        <f t="shared" si="789"/>
        <v/>
      </c>
      <c r="HK112" s="310" t="str">
        <f t="shared" si="840"/>
        <v/>
      </c>
      <c r="HL112" s="348" t="str">
        <f t="shared" si="790"/>
        <v/>
      </c>
      <c r="HM112" s="909" t="str">
        <f t="shared" si="791"/>
        <v/>
      </c>
      <c r="HN112" s="910" t="str">
        <f t="shared" si="792"/>
        <v/>
      </c>
      <c r="HO112" s="911"/>
      <c r="HP112" s="912"/>
      <c r="HQ112" s="910" t="str">
        <f t="shared" si="793"/>
        <v/>
      </c>
      <c r="HR112" s="913" t="str">
        <f t="shared" si="794"/>
        <v/>
      </c>
      <c r="HS112" s="865" t="str">
        <f t="shared" si="841"/>
        <v/>
      </c>
      <c r="HT112" s="875" t="str">
        <f t="shared" si="795"/>
        <v/>
      </c>
      <c r="HU112" s="876" t="str">
        <f t="shared" si="796"/>
        <v/>
      </c>
      <c r="HV112" s="872" t="str">
        <f t="shared" si="797"/>
        <v/>
      </c>
      <c r="HW112" s="866" t="str">
        <f t="shared" si="798"/>
        <v/>
      </c>
      <c r="HX112" s="867" t="str">
        <f t="shared" si="799"/>
        <v/>
      </c>
      <c r="HY112" s="866" t="str">
        <f t="shared" si="800"/>
        <v/>
      </c>
      <c r="HZ112" s="868" t="str">
        <f t="shared" si="801"/>
        <v/>
      </c>
      <c r="IA112" s="869" t="str">
        <f t="shared" si="802"/>
        <v/>
      </c>
      <c r="IB112" s="870" t="str">
        <f t="shared" si="803"/>
        <v/>
      </c>
      <c r="IC112" s="841" t="str">
        <f t="shared" si="804"/>
        <v/>
      </c>
      <c r="ID112" s="351" t="str">
        <f t="shared" si="805"/>
        <v/>
      </c>
      <c r="IE112" s="843" t="str">
        <f t="shared" si="806"/>
        <v/>
      </c>
      <c r="IF112" s="844"/>
      <c r="IG112" s="790" t="str">
        <f>IFERROR(IF($IW112="","",IF($IW112&lt;(((Settings!$C$19/2)*-1)*$IG$8),"Taper","Nose")),"")</f>
        <v/>
      </c>
      <c r="IH112" s="482" t="str">
        <f>IFERROR(IF((((($IY112*COS(RADIANS(180-$JA112)))*COS(RADIANS($JA112)))-(($IZ112*SIN(RADIANS(180-$JA112)))*SIN(RADIANS($JA112))))+$IW112)&lt;(((Settings!$C$19+$IH$8)/2)*-1),"Gage",""),"")</f>
        <v/>
      </c>
      <c r="II112" s="788" t="str">
        <f t="shared" si="731"/>
        <v/>
      </c>
      <c r="IJ112" s="674" t="str" cm="1">
        <f t="array" ref="IJ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K112" s="677" t="str" cm="1">
        <f t="array" ref="IK112">IFERROR(ROUND(VALUE(IF($IJ112&lt;1,$IJ112+LARGE((IF($M$9:$M$150="",0,$M$9:$M$150)-MOD(IF($M$9:$M$150="",0,$M$9:$M$150),1)),1),$IJ112)),4),"")</f>
        <v/>
      </c>
      <c r="IL112" s="482" t="str">
        <f t="shared" si="807"/>
        <v/>
      </c>
      <c r="IM112" s="482" t="str">
        <f t="shared" si="732"/>
        <v/>
      </c>
      <c r="IN112" s="670" t="str">
        <f t="shared" si="808"/>
        <v/>
      </c>
      <c r="IO112" s="702"/>
      <c r="IP112" s="5" t="str">
        <f t="shared" si="809"/>
        <v/>
      </c>
      <c r="IQ112" s="714"/>
      <c r="IR112" s="9" t="str">
        <f t="shared" si="810"/>
        <v/>
      </c>
      <c r="IS112" s="5" t="str">
        <f t="shared" si="811"/>
        <v/>
      </c>
      <c r="IT112" s="5" t="str">
        <f t="shared" si="812"/>
        <v/>
      </c>
      <c r="IU112" s="5" t="str">
        <f t="shared" si="813"/>
        <v/>
      </c>
      <c r="IV112" s="670" t="str">
        <f t="shared" si="814"/>
        <v/>
      </c>
      <c r="IW112" s="9" t="str">
        <f t="shared" si="815"/>
        <v/>
      </c>
      <c r="IX112" s="5" t="str">
        <f t="shared" si="816"/>
        <v/>
      </c>
      <c r="IY112" s="5" t="str">
        <f t="shared" si="817"/>
        <v/>
      </c>
      <c r="IZ112" s="5" t="str">
        <f t="shared" si="818"/>
        <v/>
      </c>
      <c r="JA112" s="705" t="str">
        <f t="shared" si="819"/>
        <v/>
      </c>
    </row>
    <row r="113" spans="1:261" ht="15" customHeight="1" x14ac:dyDescent="0.25">
      <c r="A113" s="75" t="str">
        <f t="shared" si="736"/>
        <v/>
      </c>
      <c r="B113" s="578" t="str">
        <f t="shared" si="515"/>
        <v/>
      </c>
      <c r="C113" s="572" t="str">
        <f t="shared" si="516"/>
        <v/>
      </c>
      <c r="D113" s="576" t="str">
        <f t="shared" si="517"/>
        <v/>
      </c>
      <c r="E113" s="580" t="str">
        <f t="shared" si="518"/>
        <v/>
      </c>
      <c r="F113" s="572" t="str">
        <f t="shared" si="519"/>
        <v/>
      </c>
      <c r="G113" s="579" t="str">
        <f t="shared" si="520"/>
        <v/>
      </c>
      <c r="H113" s="580" t="str">
        <f t="shared" si="521"/>
        <v/>
      </c>
      <c r="I113" s="572" t="str">
        <f t="shared" si="522"/>
        <v/>
      </c>
      <c r="J113" s="483" t="str">
        <f t="shared" si="523"/>
        <v/>
      </c>
      <c r="K113" s="806" t="str">
        <f t="shared" si="524"/>
        <v/>
      </c>
      <c r="L113" s="309"/>
      <c r="M113" s="164" t="str">
        <f t="shared" si="737"/>
        <v/>
      </c>
      <c r="N113" s="575" t="str">
        <f t="shared" si="738"/>
        <v/>
      </c>
      <c r="O113" s="572" t="str">
        <f t="shared" si="739"/>
        <v/>
      </c>
      <c r="P113" s="576" t="str">
        <f t="shared" si="740"/>
        <v/>
      </c>
      <c r="Q113" s="528" t="str">
        <f t="shared" si="609"/>
        <v/>
      </c>
      <c r="R113" s="572" t="str">
        <f t="shared" si="820"/>
        <v/>
      </c>
      <c r="S113" s="577" t="str">
        <f t="shared" si="821"/>
        <v/>
      </c>
      <c r="T113" s="578" t="str">
        <f t="shared" si="822"/>
        <v/>
      </c>
      <c r="U113" s="572" t="str">
        <f t="shared" si="823"/>
        <v/>
      </c>
      <c r="V113" s="579" t="str">
        <f t="shared" si="824"/>
        <v/>
      </c>
      <c r="W113" s="528" t="str">
        <f t="shared" si="735"/>
        <v/>
      </c>
      <c r="X113" s="572" t="str">
        <f t="shared" si="825"/>
        <v/>
      </c>
      <c r="Y113" s="573" t="str">
        <f t="shared" si="733"/>
        <v/>
      </c>
      <c r="Z113" s="575" t="str">
        <f t="shared" si="741"/>
        <v/>
      </c>
      <c r="AA113" s="572" t="str">
        <f t="shared" si="742"/>
        <v/>
      </c>
      <c r="AB113" s="572" t="str">
        <f t="shared" si="743"/>
        <v/>
      </c>
      <c r="AC113" s="579" t="str">
        <f t="shared" si="826"/>
        <v/>
      </c>
      <c r="AD113" s="580" t="str">
        <f t="shared" si="827"/>
        <v/>
      </c>
      <c r="AE113" s="572" t="str">
        <f t="shared" si="828"/>
        <v/>
      </c>
      <c r="AF113" s="576" t="str">
        <f t="shared" si="829"/>
        <v/>
      </c>
      <c r="AG113" s="545" t="str">
        <f t="shared" si="830"/>
        <v/>
      </c>
      <c r="AH113" s="546" t="str">
        <f t="shared" si="831"/>
        <v/>
      </c>
      <c r="AI113" s="528" t="str">
        <f t="shared" si="832"/>
        <v/>
      </c>
      <c r="AJ113" s="529" t="str">
        <f t="shared" si="833"/>
        <v/>
      </c>
      <c r="AK113" s="578" t="str">
        <f t="shared" si="834"/>
        <v/>
      </c>
      <c r="AL113" s="572" t="str">
        <f t="shared" si="835"/>
        <v/>
      </c>
      <c r="AM113" s="577" t="str">
        <f t="shared" si="836"/>
        <v/>
      </c>
      <c r="AN113" s="524" t="str">
        <f t="shared" si="837"/>
        <v/>
      </c>
      <c r="AO113" s="525" t="str">
        <f t="shared" si="525"/>
        <v/>
      </c>
      <c r="AP113" s="528" t="str">
        <f t="shared" si="838"/>
        <v/>
      </c>
      <c r="AQ113" s="529" t="str">
        <f t="shared" si="744"/>
        <v/>
      </c>
      <c r="AS113" s="932" t="str">
        <f t="shared" si="842"/>
        <v/>
      </c>
      <c r="AT113" s="928" t="str">
        <f t="shared" si="745"/>
        <v/>
      </c>
      <c r="AU113" s="418"/>
      <c r="AV113" s="164" t="str">
        <f t="shared" si="746"/>
        <v/>
      </c>
      <c r="AW113" s="797" t="str">
        <f>IFERROR(INDEX(MassProp!C$9:C$150,MATCH($M113,MassProp!$B$9:$B$150,0)),"")</f>
        <v/>
      </c>
      <c r="AX113" s="744" t="str">
        <f>IFERROR(INDEX(MassProp!D$9:D$150,MATCH($M113,MassProp!$B$9:$B$150,0)),"")</f>
        <v/>
      </c>
      <c r="AY113" s="731" t="str">
        <f>IFERROR(INDEX(MassProp!E$9:E$150,MATCH($M113,MassProp!$B$9:$B$150,0)),"")</f>
        <v/>
      </c>
      <c r="AZ113" s="297" t="str">
        <f t="shared" si="633"/>
        <v/>
      </c>
      <c r="BA113" s="296" t="str">
        <f t="shared" si="747"/>
        <v/>
      </c>
      <c r="BB113" s="177" t="str">
        <f t="shared" si="610"/>
        <v/>
      </c>
      <c r="BC113" s="9"/>
      <c r="BD113" s="5" t="str">
        <f t="shared" si="611"/>
        <v/>
      </c>
      <c r="BE113" s="6" t="str">
        <f t="shared" si="748"/>
        <v/>
      </c>
      <c r="BF113" s="4" t="str">
        <f t="shared" si="749"/>
        <v/>
      </c>
      <c r="BG113" s="5" t="str">
        <f t="shared" si="750"/>
        <v/>
      </c>
      <c r="BH113" s="10" t="str">
        <f t="shared" si="751"/>
        <v/>
      </c>
      <c r="BI113" s="9" t="str">
        <f t="shared" si="634"/>
        <v/>
      </c>
      <c r="BJ113" s="5" t="str">
        <f t="shared" si="752"/>
        <v/>
      </c>
      <c r="BK113" s="8" t="str">
        <f t="shared" si="753"/>
        <v/>
      </c>
      <c r="BL113" s="173" t="str">
        <f t="shared" si="754"/>
        <v/>
      </c>
      <c r="BM113" s="5" t="str">
        <f t="shared" si="755"/>
        <v/>
      </c>
      <c r="BN113" s="6" t="str">
        <f t="shared" si="756"/>
        <v/>
      </c>
      <c r="BO113" s="4" t="str">
        <f t="shared" si="635"/>
        <v/>
      </c>
      <c r="BP113" s="5" t="str">
        <f t="shared" si="734"/>
        <v/>
      </c>
      <c r="BQ113" s="5" t="str">
        <f t="shared" si="636"/>
        <v/>
      </c>
      <c r="BR113" s="6" t="str">
        <f t="shared" si="637"/>
        <v/>
      </c>
      <c r="BS113" s="4" t="str">
        <f t="shared" si="839"/>
        <v/>
      </c>
      <c r="BT113" s="5" t="str">
        <f t="shared" si="839"/>
        <v/>
      </c>
      <c r="BU113" s="10" t="str">
        <f t="shared" si="613"/>
        <v/>
      </c>
      <c r="BV113" s="9" t="str">
        <f t="shared" si="614"/>
        <v/>
      </c>
      <c r="BW113" s="5" t="str">
        <f t="shared" si="615"/>
        <v/>
      </c>
      <c r="BX113" s="8" t="str">
        <f t="shared" si="616"/>
        <v/>
      </c>
      <c r="BY113" s="173" t="str">
        <f t="shared" si="617"/>
        <v/>
      </c>
      <c r="BZ113" s="5" t="str">
        <f t="shared" si="618"/>
        <v/>
      </c>
      <c r="CA113" s="6" t="str">
        <f t="shared" si="619"/>
        <v/>
      </c>
      <c r="CB113" s="4" t="str">
        <f t="shared" si="638"/>
        <v/>
      </c>
      <c r="CC113" s="5" t="str">
        <f t="shared" si="639"/>
        <v/>
      </c>
      <c r="CD113" s="5" t="str">
        <f t="shared" si="640"/>
        <v/>
      </c>
      <c r="CE113" s="6" t="str">
        <f t="shared" si="641"/>
        <v/>
      </c>
      <c r="CF113" s="4" t="str">
        <f t="shared" si="642"/>
        <v/>
      </c>
      <c r="CG113" s="5" t="str">
        <f t="shared" si="643"/>
        <v/>
      </c>
      <c r="CH113" s="5" t="str">
        <f t="shared" si="644"/>
        <v/>
      </c>
      <c r="CI113" s="4" t="str">
        <f t="shared" si="620"/>
        <v/>
      </c>
      <c r="CJ113" s="5" t="str">
        <f t="shared" si="621"/>
        <v/>
      </c>
      <c r="CK113" s="8" t="str">
        <f t="shared" si="622"/>
        <v/>
      </c>
      <c r="CL113" s="173" t="str">
        <f t="shared" si="623"/>
        <v/>
      </c>
      <c r="CM113" s="5" t="str">
        <f t="shared" si="624"/>
        <v/>
      </c>
      <c r="CN113" s="6" t="str">
        <f t="shared" si="625"/>
        <v/>
      </c>
      <c r="CO113" s="167" t="str">
        <f t="shared" si="757"/>
        <v/>
      </c>
      <c r="CP113" s="4" t="str">
        <f t="shared" si="645"/>
        <v/>
      </c>
      <c r="CQ113" s="5" t="str">
        <f t="shared" si="646"/>
        <v/>
      </c>
      <c r="CR113" s="5" t="str">
        <f t="shared" si="647"/>
        <v/>
      </c>
      <c r="CS113" s="8" t="str">
        <f t="shared" si="648"/>
        <v/>
      </c>
      <c r="CT113" s="9" t="str">
        <f t="shared" si="649"/>
        <v/>
      </c>
      <c r="CU113" s="6" t="str">
        <f t="shared" si="650"/>
        <v/>
      </c>
      <c r="CV113" s="4" t="str">
        <f t="shared" si="651"/>
        <v/>
      </c>
      <c r="CW113" s="5" t="str">
        <f t="shared" si="652"/>
        <v/>
      </c>
      <c r="CX113" s="8" t="str">
        <f t="shared" si="653"/>
        <v/>
      </c>
      <c r="CY113" s="9" t="str">
        <f t="shared" si="654"/>
        <v/>
      </c>
      <c r="CZ113" s="5" t="str">
        <f t="shared" si="655"/>
        <v/>
      </c>
      <c r="DA113" s="6" t="str">
        <f t="shared" si="656"/>
        <v/>
      </c>
      <c r="DB113" s="4" t="str">
        <f t="shared" si="843"/>
        <v/>
      </c>
      <c r="DC113" s="5" t="str">
        <f t="shared" si="843"/>
        <v/>
      </c>
      <c r="DD113" s="10" t="str">
        <f t="shared" si="658"/>
        <v/>
      </c>
      <c r="DE113" s="9" t="str">
        <f t="shared" si="844"/>
        <v/>
      </c>
      <c r="DF113" s="5" t="str">
        <f t="shared" si="844"/>
        <v/>
      </c>
      <c r="DG113" s="10" t="str">
        <f t="shared" si="660"/>
        <v/>
      </c>
      <c r="DH113" s="70" t="str">
        <f t="shared" si="661"/>
        <v/>
      </c>
      <c r="DI113" s="4" t="str">
        <f t="shared" si="662"/>
        <v/>
      </c>
      <c r="DJ113" s="5" t="str">
        <f t="shared" si="663"/>
        <v/>
      </c>
      <c r="DK113" s="10" t="str">
        <f t="shared" si="664"/>
        <v/>
      </c>
      <c r="DL113" s="9" t="str">
        <f t="shared" si="665"/>
        <v/>
      </c>
      <c r="DM113" s="173" t="str">
        <f t="shared" si="666"/>
        <v/>
      </c>
      <c r="DN113" s="178" t="str">
        <f t="shared" si="667"/>
        <v/>
      </c>
      <c r="DO113" s="9" t="str">
        <f t="shared" si="668"/>
        <v/>
      </c>
      <c r="DP113" s="173" t="str">
        <f t="shared" si="669"/>
        <v/>
      </c>
      <c r="DQ113" s="11" t="str">
        <f t="shared" si="670"/>
        <v/>
      </c>
      <c r="DR113" s="173" t="str">
        <f t="shared" si="671"/>
        <v/>
      </c>
      <c r="DS113" s="5" t="str">
        <f t="shared" si="672"/>
        <v/>
      </c>
      <c r="DT113" s="5" t="str">
        <f t="shared" si="673"/>
        <v/>
      </c>
      <c r="DU113" s="5" t="str">
        <f t="shared" si="674"/>
        <v/>
      </c>
      <c r="DV113" s="5" t="str">
        <f t="shared" si="675"/>
        <v/>
      </c>
      <c r="DW113" s="5" t="str">
        <f t="shared" si="676"/>
        <v/>
      </c>
      <c r="DX113" s="167" t="str">
        <f t="shared" si="677"/>
        <v/>
      </c>
      <c r="DY113" s="9" t="str">
        <f t="shared" si="678"/>
        <v/>
      </c>
      <c r="DZ113" s="5" t="str">
        <f t="shared" si="679"/>
        <v/>
      </c>
      <c r="EA113" s="10" t="str">
        <f t="shared" si="680"/>
        <v/>
      </c>
      <c r="EB113" s="6" t="str">
        <f t="shared" si="681"/>
        <v/>
      </c>
      <c r="EC113" s="173" t="str">
        <f t="shared" si="682"/>
        <v/>
      </c>
      <c r="ED113" s="5" t="str">
        <f t="shared" si="683"/>
        <v/>
      </c>
      <c r="EE113" s="4" t="str">
        <f t="shared" si="684"/>
        <v/>
      </c>
      <c r="EF113" s="5" t="str">
        <f t="shared" si="685"/>
        <v/>
      </c>
      <c r="EG113" s="10" t="str">
        <f t="shared" si="686"/>
        <v/>
      </c>
      <c r="EH113" s="9" t="str">
        <f t="shared" si="687"/>
        <v/>
      </c>
      <c r="EI113" s="5" t="str">
        <f t="shared" si="688"/>
        <v/>
      </c>
      <c r="EJ113" s="6" t="str">
        <f t="shared" si="689"/>
        <v/>
      </c>
      <c r="EK113" s="236" t="str">
        <f t="shared" si="690"/>
        <v/>
      </c>
      <c r="EL113" s="238" t="str">
        <f t="shared" si="691"/>
        <v/>
      </c>
      <c r="EM113" s="4" t="str">
        <f t="shared" si="692"/>
        <v/>
      </c>
      <c r="EN113" s="5" t="str">
        <f t="shared" si="693"/>
        <v/>
      </c>
      <c r="EO113" s="10" t="str">
        <f t="shared" si="694"/>
        <v/>
      </c>
      <c r="EP113" s="9" t="str">
        <f t="shared" si="695"/>
        <v/>
      </c>
      <c r="EQ113" s="5" t="str">
        <f t="shared" si="696"/>
        <v/>
      </c>
      <c r="ER113" s="7" t="str">
        <f t="shared" si="697"/>
        <v/>
      </c>
      <c r="ES113" s="21" t="str">
        <f t="shared" si="758"/>
        <v/>
      </c>
      <c r="ET113" s="5" t="str">
        <f t="shared" si="759"/>
        <v/>
      </c>
      <c r="EU113" s="10" t="str">
        <f t="shared" si="760"/>
        <v/>
      </c>
      <c r="EV113" s="174" t="str">
        <f t="shared" si="761"/>
        <v/>
      </c>
      <c r="EW113" s="9" t="str">
        <f t="shared" si="762"/>
        <v/>
      </c>
      <c r="EX113" s="5" t="str">
        <f t="shared" si="763"/>
        <v/>
      </c>
      <c r="EY113" s="6" t="str">
        <f t="shared" si="698"/>
        <v/>
      </c>
      <c r="EZ113" s="51" t="str">
        <f t="shared" si="699"/>
        <v/>
      </c>
      <c r="FA113" s="173" t="str">
        <f t="shared" si="764"/>
        <v/>
      </c>
      <c r="FB113" s="5" t="str">
        <f t="shared" si="765"/>
        <v/>
      </c>
      <c r="FC113" s="6" t="str">
        <f t="shared" si="766"/>
        <v/>
      </c>
      <c r="FD113" s="4" t="str">
        <f t="shared" si="767"/>
        <v/>
      </c>
      <c r="FE113" s="5" t="str">
        <f t="shared" si="768"/>
        <v/>
      </c>
      <c r="FF113" s="7" t="str">
        <f t="shared" si="700"/>
        <v/>
      </c>
      <c r="FG113" s="173" t="str">
        <f t="shared" si="769"/>
        <v/>
      </c>
      <c r="FH113" s="5" t="str">
        <f t="shared" si="770"/>
        <v/>
      </c>
      <c r="FI113" s="10" t="str">
        <f t="shared" si="771"/>
        <v/>
      </c>
      <c r="FJ113" s="279" t="str">
        <f t="shared" si="701"/>
        <v/>
      </c>
      <c r="FK113" s="4" t="str">
        <f t="shared" si="772"/>
        <v/>
      </c>
      <c r="FL113" s="5" t="str">
        <f t="shared" si="626"/>
        <v/>
      </c>
      <c r="FM113" s="8" t="str">
        <f t="shared" si="627"/>
        <v/>
      </c>
      <c r="FN113" s="9" t="str">
        <f t="shared" si="628"/>
        <v/>
      </c>
      <c r="FO113" s="10" t="str">
        <f t="shared" si="773"/>
        <v/>
      </c>
      <c r="FP113" s="277" t="str">
        <f t="shared" si="629"/>
        <v/>
      </c>
      <c r="FQ113" s="173" t="str">
        <f t="shared" si="702"/>
        <v/>
      </c>
      <c r="FR113" s="10" t="str">
        <f t="shared" si="703"/>
        <v/>
      </c>
      <c r="FS113" s="9" t="str">
        <f t="shared" si="704"/>
        <v/>
      </c>
      <c r="FT113" s="6" t="str">
        <f t="shared" si="705"/>
        <v/>
      </c>
      <c r="FU113" s="4" t="str">
        <f t="shared" si="706"/>
        <v/>
      </c>
      <c r="FV113" s="5" t="str">
        <f t="shared" si="707"/>
        <v/>
      </c>
      <c r="FW113" s="8" t="str">
        <f t="shared" si="708"/>
        <v/>
      </c>
      <c r="FX113" s="9" t="str">
        <f t="shared" si="709"/>
        <v/>
      </c>
      <c r="FY113" s="10" t="str">
        <f t="shared" si="774"/>
        <v/>
      </c>
      <c r="FZ113" s="277" t="str">
        <f t="shared" si="710"/>
        <v/>
      </c>
      <c r="GA113" s="177" t="str">
        <f t="shared" si="711"/>
        <v/>
      </c>
      <c r="GB113" s="4" t="str">
        <f t="shared" si="712"/>
        <v/>
      </c>
      <c r="GC113" s="5" t="str">
        <f t="shared" si="713"/>
        <v/>
      </c>
      <c r="GD113" s="10" t="str">
        <f t="shared" si="714"/>
        <v/>
      </c>
      <c r="GE113" s="311" t="str">
        <f t="shared" si="715"/>
        <v/>
      </c>
      <c r="GF113" s="341" t="str">
        <f t="shared" si="716"/>
        <v/>
      </c>
      <c r="GG113" s="285" t="str">
        <f t="shared" si="775"/>
        <v/>
      </c>
      <c r="GH113" s="286" t="str">
        <f t="shared" si="776"/>
        <v/>
      </c>
      <c r="GI113" s="281" t="str">
        <f t="shared" si="777"/>
        <v/>
      </c>
      <c r="GJ113" s="167" t="str">
        <f t="shared" si="717"/>
        <v/>
      </c>
      <c r="GK113" s="174" t="str">
        <f t="shared" si="778"/>
        <v/>
      </c>
      <c r="GL113" s="174" t="str">
        <f t="shared" si="718"/>
        <v/>
      </c>
      <c r="GM113" s="177" t="str">
        <f t="shared" si="719"/>
        <v/>
      </c>
      <c r="GN113" s="280" t="str">
        <f t="shared" si="720"/>
        <v/>
      </c>
      <c r="GO113" s="4" t="str">
        <f t="shared" si="721"/>
        <v/>
      </c>
      <c r="GP113" s="8" t="str">
        <f t="shared" si="722"/>
        <v/>
      </c>
      <c r="GQ113" s="177" t="str">
        <f t="shared" si="723"/>
        <v/>
      </c>
      <c r="GR113" s="371" t="str">
        <f t="shared" si="724"/>
        <v/>
      </c>
      <c r="GS113" s="342" t="str">
        <f t="shared" si="779"/>
        <v/>
      </c>
      <c r="GT113" s="343" t="str">
        <f t="shared" si="780"/>
        <v/>
      </c>
      <c r="GU113" s="344" t="str">
        <f t="shared" si="781"/>
        <v/>
      </c>
      <c r="GV113" s="343" t="str">
        <f t="shared" si="725"/>
        <v/>
      </c>
      <c r="GW113" s="345" t="str">
        <f t="shared" si="782"/>
        <v/>
      </c>
      <c r="GX113" s="346" t="str">
        <f t="shared" si="783"/>
        <v/>
      </c>
      <c r="GY113" s="344" t="str">
        <f t="shared" si="784"/>
        <v/>
      </c>
      <c r="GZ113" s="345" t="str">
        <f t="shared" si="785"/>
        <v/>
      </c>
      <c r="HA113" s="342" t="str">
        <f t="shared" si="786"/>
        <v/>
      </c>
      <c r="HB113" s="5" t="str">
        <f t="shared" si="726"/>
        <v/>
      </c>
      <c r="HC113" s="343" t="str">
        <f t="shared" si="727"/>
        <v/>
      </c>
      <c r="HD113" s="363" t="str">
        <f t="shared" si="728"/>
        <v/>
      </c>
      <c r="HE113" s="344" t="str">
        <f t="shared" si="787"/>
        <v/>
      </c>
      <c r="HF113" s="5" t="str">
        <f t="shared" si="788"/>
        <v/>
      </c>
      <c r="HG113" s="343" t="str">
        <f t="shared" si="729"/>
        <v/>
      </c>
      <c r="HH113" s="349" t="str">
        <f t="shared" si="730"/>
        <v/>
      </c>
      <c r="HI113" s="317" t="str">
        <f t="shared" si="789"/>
        <v/>
      </c>
      <c r="HK113" s="310" t="str">
        <f t="shared" si="840"/>
        <v/>
      </c>
      <c r="HL113" s="348" t="str">
        <f t="shared" si="790"/>
        <v/>
      </c>
      <c r="HM113" s="909" t="str">
        <f t="shared" si="791"/>
        <v/>
      </c>
      <c r="HN113" s="910" t="str">
        <f t="shared" si="792"/>
        <v/>
      </c>
      <c r="HO113" s="911"/>
      <c r="HP113" s="912"/>
      <c r="HQ113" s="910" t="str">
        <f t="shared" si="793"/>
        <v/>
      </c>
      <c r="HR113" s="913" t="str">
        <f t="shared" si="794"/>
        <v/>
      </c>
      <c r="HS113" s="865" t="str">
        <f t="shared" si="841"/>
        <v/>
      </c>
      <c r="HT113" s="875" t="str">
        <f t="shared" si="795"/>
        <v/>
      </c>
      <c r="HU113" s="876" t="str">
        <f t="shared" si="796"/>
        <v/>
      </c>
      <c r="HV113" s="872" t="str">
        <f t="shared" si="797"/>
        <v/>
      </c>
      <c r="HW113" s="866" t="str">
        <f t="shared" si="798"/>
        <v/>
      </c>
      <c r="HX113" s="867" t="str">
        <f t="shared" si="799"/>
        <v/>
      </c>
      <c r="HY113" s="866" t="str">
        <f t="shared" si="800"/>
        <v/>
      </c>
      <c r="HZ113" s="868" t="str">
        <f t="shared" si="801"/>
        <v/>
      </c>
      <c r="IA113" s="869" t="str">
        <f t="shared" si="802"/>
        <v/>
      </c>
      <c r="IB113" s="870" t="str">
        <f t="shared" si="803"/>
        <v/>
      </c>
      <c r="IC113" s="841" t="str">
        <f t="shared" si="804"/>
        <v/>
      </c>
      <c r="ID113" s="351" t="str">
        <f t="shared" si="805"/>
        <v/>
      </c>
      <c r="IE113" s="843" t="str">
        <f t="shared" si="806"/>
        <v/>
      </c>
      <c r="IF113" s="844"/>
      <c r="IG113" s="790" t="str">
        <f>IFERROR(IF($IW113="","",IF($IW113&lt;(((Settings!$C$19/2)*-1)*$IG$8),"Taper","Nose")),"")</f>
        <v/>
      </c>
      <c r="IH113" s="482" t="str">
        <f>IFERROR(IF((((($IY113*COS(RADIANS(180-$JA113)))*COS(RADIANS($JA113)))-(($IZ113*SIN(RADIANS(180-$JA113)))*SIN(RADIANS($JA113))))+$IW113)&lt;(((Settings!$C$19+$IH$8)/2)*-1),"Gage",""),"")</f>
        <v/>
      </c>
      <c r="II113" s="788" t="str">
        <f t="shared" si="731"/>
        <v/>
      </c>
      <c r="IJ113" s="674" t="str" cm="1">
        <f t="array" ref="IJ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K113" s="677" t="str" cm="1">
        <f t="array" ref="IK113">IFERROR(ROUND(VALUE(IF($IJ113&lt;1,$IJ113+LARGE((IF($M$9:$M$150="",0,$M$9:$M$150)-MOD(IF($M$9:$M$150="",0,$M$9:$M$150),1)),1),$IJ113)),4),"")</f>
        <v/>
      </c>
      <c r="IL113" s="482" t="str">
        <f t="shared" si="807"/>
        <v/>
      </c>
      <c r="IM113" s="482" t="str">
        <f t="shared" si="732"/>
        <v/>
      </c>
      <c r="IN113" s="670" t="str">
        <f t="shared" si="808"/>
        <v/>
      </c>
      <c r="IO113" s="702"/>
      <c r="IP113" s="5" t="str">
        <f t="shared" si="809"/>
        <v/>
      </c>
      <c r="IQ113" s="714"/>
      <c r="IR113" s="9" t="str">
        <f t="shared" si="810"/>
        <v/>
      </c>
      <c r="IS113" s="5" t="str">
        <f t="shared" si="811"/>
        <v/>
      </c>
      <c r="IT113" s="5" t="str">
        <f t="shared" si="812"/>
        <v/>
      </c>
      <c r="IU113" s="5" t="str">
        <f t="shared" si="813"/>
        <v/>
      </c>
      <c r="IV113" s="670" t="str">
        <f t="shared" si="814"/>
        <v/>
      </c>
      <c r="IW113" s="9" t="str">
        <f t="shared" si="815"/>
        <v/>
      </c>
      <c r="IX113" s="5" t="str">
        <f t="shared" si="816"/>
        <v/>
      </c>
      <c r="IY113" s="5" t="str">
        <f t="shared" si="817"/>
        <v/>
      </c>
      <c r="IZ113" s="5" t="str">
        <f t="shared" si="818"/>
        <v/>
      </c>
      <c r="JA113" s="705" t="str">
        <f t="shared" si="819"/>
        <v/>
      </c>
    </row>
    <row r="114" spans="1:261" ht="15" customHeight="1" x14ac:dyDescent="0.25">
      <c r="A114" s="75" t="str">
        <f t="shared" si="736"/>
        <v/>
      </c>
      <c r="B114" s="578" t="str">
        <f t="shared" si="515"/>
        <v/>
      </c>
      <c r="C114" s="572" t="str">
        <f t="shared" si="516"/>
        <v/>
      </c>
      <c r="D114" s="576" t="str">
        <f t="shared" si="517"/>
        <v/>
      </c>
      <c r="E114" s="580" t="str">
        <f t="shared" si="518"/>
        <v/>
      </c>
      <c r="F114" s="572" t="str">
        <f t="shared" si="519"/>
        <v/>
      </c>
      <c r="G114" s="579" t="str">
        <f t="shared" si="520"/>
        <v/>
      </c>
      <c r="H114" s="580" t="str">
        <f t="shared" si="521"/>
        <v/>
      </c>
      <c r="I114" s="572" t="str">
        <f t="shared" si="522"/>
        <v/>
      </c>
      <c r="J114" s="483" t="str">
        <f t="shared" si="523"/>
        <v/>
      </c>
      <c r="K114" s="806" t="str">
        <f t="shared" si="524"/>
        <v/>
      </c>
      <c r="L114" s="309"/>
      <c r="M114" s="164" t="str">
        <f t="shared" si="737"/>
        <v/>
      </c>
      <c r="N114" s="575" t="str">
        <f t="shared" si="738"/>
        <v/>
      </c>
      <c r="O114" s="572" t="str">
        <f t="shared" si="739"/>
        <v/>
      </c>
      <c r="P114" s="576" t="str">
        <f t="shared" si="740"/>
        <v/>
      </c>
      <c r="Q114" s="528" t="str">
        <f t="shared" si="609"/>
        <v/>
      </c>
      <c r="R114" s="572" t="str">
        <f t="shared" si="820"/>
        <v/>
      </c>
      <c r="S114" s="577" t="str">
        <f t="shared" si="821"/>
        <v/>
      </c>
      <c r="T114" s="578" t="str">
        <f t="shared" si="822"/>
        <v/>
      </c>
      <c r="U114" s="572" t="str">
        <f t="shared" si="823"/>
        <v/>
      </c>
      <c r="V114" s="579" t="str">
        <f t="shared" si="824"/>
        <v/>
      </c>
      <c r="W114" s="528" t="str">
        <f t="shared" si="735"/>
        <v/>
      </c>
      <c r="X114" s="572" t="str">
        <f t="shared" si="825"/>
        <v/>
      </c>
      <c r="Y114" s="573" t="str">
        <f t="shared" si="733"/>
        <v/>
      </c>
      <c r="Z114" s="575" t="str">
        <f t="shared" si="741"/>
        <v/>
      </c>
      <c r="AA114" s="572" t="str">
        <f t="shared" si="742"/>
        <v/>
      </c>
      <c r="AB114" s="572" t="str">
        <f t="shared" si="743"/>
        <v/>
      </c>
      <c r="AC114" s="579" t="str">
        <f t="shared" si="826"/>
        <v/>
      </c>
      <c r="AD114" s="580" t="str">
        <f t="shared" si="827"/>
        <v/>
      </c>
      <c r="AE114" s="572" t="str">
        <f t="shared" si="828"/>
        <v/>
      </c>
      <c r="AF114" s="576" t="str">
        <f t="shared" si="829"/>
        <v/>
      </c>
      <c r="AG114" s="545" t="str">
        <f t="shared" si="830"/>
        <v/>
      </c>
      <c r="AH114" s="546" t="str">
        <f t="shared" si="831"/>
        <v/>
      </c>
      <c r="AI114" s="528" t="str">
        <f t="shared" si="832"/>
        <v/>
      </c>
      <c r="AJ114" s="529" t="str">
        <f t="shared" si="833"/>
        <v/>
      </c>
      <c r="AK114" s="578" t="str">
        <f t="shared" si="834"/>
        <v/>
      </c>
      <c r="AL114" s="572" t="str">
        <f t="shared" si="835"/>
        <v/>
      </c>
      <c r="AM114" s="577" t="str">
        <f t="shared" si="836"/>
        <v/>
      </c>
      <c r="AN114" s="524" t="str">
        <f t="shared" si="837"/>
        <v/>
      </c>
      <c r="AO114" s="525" t="str">
        <f t="shared" si="525"/>
        <v/>
      </c>
      <c r="AP114" s="528" t="str">
        <f t="shared" si="838"/>
        <v/>
      </c>
      <c r="AQ114" s="529" t="str">
        <f t="shared" si="744"/>
        <v/>
      </c>
      <c r="AS114" s="932" t="str">
        <f t="shared" si="842"/>
        <v/>
      </c>
      <c r="AT114" s="928" t="str">
        <f t="shared" si="745"/>
        <v/>
      </c>
      <c r="AU114" s="418"/>
      <c r="AV114" s="164" t="str">
        <f t="shared" si="746"/>
        <v/>
      </c>
      <c r="AW114" s="797" t="str">
        <f>IFERROR(INDEX(MassProp!C$9:C$150,MATCH($M114,MassProp!$B$9:$B$150,0)),"")</f>
        <v/>
      </c>
      <c r="AX114" s="744" t="str">
        <f>IFERROR(INDEX(MassProp!D$9:D$150,MATCH($M114,MassProp!$B$9:$B$150,0)),"")</f>
        <v/>
      </c>
      <c r="AY114" s="731" t="str">
        <f>IFERROR(INDEX(MassProp!E$9:E$150,MATCH($M114,MassProp!$B$9:$B$150,0)),"")</f>
        <v/>
      </c>
      <c r="AZ114" s="297" t="str">
        <f t="shared" si="633"/>
        <v/>
      </c>
      <c r="BA114" s="296" t="str">
        <f t="shared" si="747"/>
        <v/>
      </c>
      <c r="BB114" s="177" t="str">
        <f t="shared" si="610"/>
        <v/>
      </c>
      <c r="BC114" s="9"/>
      <c r="BD114" s="5" t="str">
        <f t="shared" si="611"/>
        <v/>
      </c>
      <c r="BE114" s="6" t="str">
        <f t="shared" si="748"/>
        <v/>
      </c>
      <c r="BF114" s="4" t="str">
        <f t="shared" si="749"/>
        <v/>
      </c>
      <c r="BG114" s="5" t="str">
        <f t="shared" si="750"/>
        <v/>
      </c>
      <c r="BH114" s="10" t="str">
        <f t="shared" si="751"/>
        <v/>
      </c>
      <c r="BI114" s="9" t="str">
        <f t="shared" si="634"/>
        <v/>
      </c>
      <c r="BJ114" s="5" t="str">
        <f t="shared" si="752"/>
        <v/>
      </c>
      <c r="BK114" s="8" t="str">
        <f t="shared" si="753"/>
        <v/>
      </c>
      <c r="BL114" s="173" t="str">
        <f t="shared" si="754"/>
        <v/>
      </c>
      <c r="BM114" s="5" t="str">
        <f t="shared" si="755"/>
        <v/>
      </c>
      <c r="BN114" s="6" t="str">
        <f t="shared" si="756"/>
        <v/>
      </c>
      <c r="BO114" s="4" t="str">
        <f t="shared" si="635"/>
        <v/>
      </c>
      <c r="BP114" s="5" t="str">
        <f t="shared" si="734"/>
        <v/>
      </c>
      <c r="BQ114" s="5" t="str">
        <f t="shared" si="636"/>
        <v/>
      </c>
      <c r="BR114" s="6" t="str">
        <f t="shared" si="637"/>
        <v/>
      </c>
      <c r="BS114" s="4" t="str">
        <f t="shared" si="839"/>
        <v/>
      </c>
      <c r="BT114" s="5" t="str">
        <f t="shared" si="839"/>
        <v/>
      </c>
      <c r="BU114" s="10" t="str">
        <f t="shared" si="613"/>
        <v/>
      </c>
      <c r="BV114" s="9" t="str">
        <f t="shared" si="614"/>
        <v/>
      </c>
      <c r="BW114" s="5" t="str">
        <f t="shared" si="615"/>
        <v/>
      </c>
      <c r="BX114" s="8" t="str">
        <f t="shared" si="616"/>
        <v/>
      </c>
      <c r="BY114" s="173" t="str">
        <f t="shared" si="617"/>
        <v/>
      </c>
      <c r="BZ114" s="5" t="str">
        <f t="shared" si="618"/>
        <v/>
      </c>
      <c r="CA114" s="6" t="str">
        <f t="shared" si="619"/>
        <v/>
      </c>
      <c r="CB114" s="4" t="str">
        <f t="shared" si="638"/>
        <v/>
      </c>
      <c r="CC114" s="5" t="str">
        <f t="shared" si="639"/>
        <v/>
      </c>
      <c r="CD114" s="5" t="str">
        <f t="shared" si="640"/>
        <v/>
      </c>
      <c r="CE114" s="6" t="str">
        <f t="shared" si="641"/>
        <v/>
      </c>
      <c r="CF114" s="4" t="str">
        <f t="shared" si="642"/>
        <v/>
      </c>
      <c r="CG114" s="5" t="str">
        <f t="shared" si="643"/>
        <v/>
      </c>
      <c r="CH114" s="5" t="str">
        <f t="shared" si="644"/>
        <v/>
      </c>
      <c r="CI114" s="4" t="str">
        <f t="shared" si="620"/>
        <v/>
      </c>
      <c r="CJ114" s="5" t="str">
        <f t="shared" si="621"/>
        <v/>
      </c>
      <c r="CK114" s="8" t="str">
        <f t="shared" si="622"/>
        <v/>
      </c>
      <c r="CL114" s="173" t="str">
        <f t="shared" si="623"/>
        <v/>
      </c>
      <c r="CM114" s="5" t="str">
        <f t="shared" si="624"/>
        <v/>
      </c>
      <c r="CN114" s="6" t="str">
        <f t="shared" si="625"/>
        <v/>
      </c>
      <c r="CO114" s="167" t="str">
        <f t="shared" si="757"/>
        <v/>
      </c>
      <c r="CP114" s="4" t="str">
        <f t="shared" si="645"/>
        <v/>
      </c>
      <c r="CQ114" s="5" t="str">
        <f t="shared" si="646"/>
        <v/>
      </c>
      <c r="CR114" s="5" t="str">
        <f t="shared" si="647"/>
        <v/>
      </c>
      <c r="CS114" s="8" t="str">
        <f t="shared" si="648"/>
        <v/>
      </c>
      <c r="CT114" s="9" t="str">
        <f t="shared" si="649"/>
        <v/>
      </c>
      <c r="CU114" s="6" t="str">
        <f t="shared" si="650"/>
        <v/>
      </c>
      <c r="CV114" s="4" t="str">
        <f t="shared" si="651"/>
        <v/>
      </c>
      <c r="CW114" s="5" t="str">
        <f t="shared" si="652"/>
        <v/>
      </c>
      <c r="CX114" s="8" t="str">
        <f t="shared" si="653"/>
        <v/>
      </c>
      <c r="CY114" s="9" t="str">
        <f t="shared" si="654"/>
        <v/>
      </c>
      <c r="CZ114" s="5" t="str">
        <f t="shared" si="655"/>
        <v/>
      </c>
      <c r="DA114" s="6" t="str">
        <f t="shared" si="656"/>
        <v/>
      </c>
      <c r="DB114" s="4" t="str">
        <f t="shared" si="843"/>
        <v/>
      </c>
      <c r="DC114" s="5" t="str">
        <f t="shared" si="843"/>
        <v/>
      </c>
      <c r="DD114" s="10" t="str">
        <f t="shared" si="658"/>
        <v/>
      </c>
      <c r="DE114" s="9" t="str">
        <f t="shared" si="844"/>
        <v/>
      </c>
      <c r="DF114" s="5" t="str">
        <f t="shared" si="844"/>
        <v/>
      </c>
      <c r="DG114" s="10" t="str">
        <f t="shared" si="660"/>
        <v/>
      </c>
      <c r="DH114" s="70" t="str">
        <f t="shared" si="661"/>
        <v/>
      </c>
      <c r="DI114" s="4" t="str">
        <f t="shared" si="662"/>
        <v/>
      </c>
      <c r="DJ114" s="5" t="str">
        <f t="shared" si="663"/>
        <v/>
      </c>
      <c r="DK114" s="10" t="str">
        <f t="shared" si="664"/>
        <v/>
      </c>
      <c r="DL114" s="9" t="str">
        <f t="shared" si="665"/>
        <v/>
      </c>
      <c r="DM114" s="173" t="str">
        <f t="shared" si="666"/>
        <v/>
      </c>
      <c r="DN114" s="178" t="str">
        <f t="shared" si="667"/>
        <v/>
      </c>
      <c r="DO114" s="9" t="str">
        <f t="shared" si="668"/>
        <v/>
      </c>
      <c r="DP114" s="173" t="str">
        <f t="shared" si="669"/>
        <v/>
      </c>
      <c r="DQ114" s="11" t="str">
        <f t="shared" si="670"/>
        <v/>
      </c>
      <c r="DR114" s="173" t="str">
        <f t="shared" si="671"/>
        <v/>
      </c>
      <c r="DS114" s="5" t="str">
        <f t="shared" si="672"/>
        <v/>
      </c>
      <c r="DT114" s="5" t="str">
        <f t="shared" si="673"/>
        <v/>
      </c>
      <c r="DU114" s="5" t="str">
        <f t="shared" si="674"/>
        <v/>
      </c>
      <c r="DV114" s="5" t="str">
        <f t="shared" si="675"/>
        <v/>
      </c>
      <c r="DW114" s="5" t="str">
        <f t="shared" si="676"/>
        <v/>
      </c>
      <c r="DX114" s="167" t="str">
        <f t="shared" si="677"/>
        <v/>
      </c>
      <c r="DY114" s="9" t="str">
        <f t="shared" si="678"/>
        <v/>
      </c>
      <c r="DZ114" s="5" t="str">
        <f t="shared" si="679"/>
        <v/>
      </c>
      <c r="EA114" s="10" t="str">
        <f t="shared" si="680"/>
        <v/>
      </c>
      <c r="EB114" s="6" t="str">
        <f t="shared" si="681"/>
        <v/>
      </c>
      <c r="EC114" s="173" t="str">
        <f t="shared" si="682"/>
        <v/>
      </c>
      <c r="ED114" s="5" t="str">
        <f t="shared" si="683"/>
        <v/>
      </c>
      <c r="EE114" s="4" t="str">
        <f t="shared" si="684"/>
        <v/>
      </c>
      <c r="EF114" s="5" t="str">
        <f t="shared" si="685"/>
        <v/>
      </c>
      <c r="EG114" s="10" t="str">
        <f t="shared" si="686"/>
        <v/>
      </c>
      <c r="EH114" s="9" t="str">
        <f t="shared" si="687"/>
        <v/>
      </c>
      <c r="EI114" s="5" t="str">
        <f t="shared" si="688"/>
        <v/>
      </c>
      <c r="EJ114" s="6" t="str">
        <f t="shared" si="689"/>
        <v/>
      </c>
      <c r="EK114" s="236" t="str">
        <f t="shared" si="690"/>
        <v/>
      </c>
      <c r="EL114" s="238" t="str">
        <f t="shared" si="691"/>
        <v/>
      </c>
      <c r="EM114" s="4" t="str">
        <f t="shared" si="692"/>
        <v/>
      </c>
      <c r="EN114" s="5" t="str">
        <f t="shared" si="693"/>
        <v/>
      </c>
      <c r="EO114" s="10" t="str">
        <f t="shared" si="694"/>
        <v/>
      </c>
      <c r="EP114" s="9" t="str">
        <f t="shared" si="695"/>
        <v/>
      </c>
      <c r="EQ114" s="5" t="str">
        <f t="shared" si="696"/>
        <v/>
      </c>
      <c r="ER114" s="7" t="str">
        <f t="shared" si="697"/>
        <v/>
      </c>
      <c r="ES114" s="21" t="str">
        <f t="shared" si="758"/>
        <v/>
      </c>
      <c r="ET114" s="5" t="str">
        <f t="shared" si="759"/>
        <v/>
      </c>
      <c r="EU114" s="10" t="str">
        <f t="shared" si="760"/>
        <v/>
      </c>
      <c r="EV114" s="174" t="str">
        <f t="shared" si="761"/>
        <v/>
      </c>
      <c r="EW114" s="9" t="str">
        <f t="shared" si="762"/>
        <v/>
      </c>
      <c r="EX114" s="5" t="str">
        <f t="shared" si="763"/>
        <v/>
      </c>
      <c r="EY114" s="6" t="str">
        <f t="shared" si="698"/>
        <v/>
      </c>
      <c r="EZ114" s="51" t="str">
        <f t="shared" si="699"/>
        <v/>
      </c>
      <c r="FA114" s="173" t="str">
        <f t="shared" si="764"/>
        <v/>
      </c>
      <c r="FB114" s="5" t="str">
        <f t="shared" si="765"/>
        <v/>
      </c>
      <c r="FC114" s="6" t="str">
        <f t="shared" si="766"/>
        <v/>
      </c>
      <c r="FD114" s="4" t="str">
        <f t="shared" si="767"/>
        <v/>
      </c>
      <c r="FE114" s="5" t="str">
        <f t="shared" si="768"/>
        <v/>
      </c>
      <c r="FF114" s="7" t="str">
        <f t="shared" si="700"/>
        <v/>
      </c>
      <c r="FG114" s="173" t="str">
        <f t="shared" si="769"/>
        <v/>
      </c>
      <c r="FH114" s="5" t="str">
        <f t="shared" si="770"/>
        <v/>
      </c>
      <c r="FI114" s="10" t="str">
        <f t="shared" si="771"/>
        <v/>
      </c>
      <c r="FJ114" s="279" t="str">
        <f t="shared" si="701"/>
        <v/>
      </c>
      <c r="FK114" s="4" t="str">
        <f t="shared" si="772"/>
        <v/>
      </c>
      <c r="FL114" s="5" t="str">
        <f t="shared" si="626"/>
        <v/>
      </c>
      <c r="FM114" s="8" t="str">
        <f t="shared" si="627"/>
        <v/>
      </c>
      <c r="FN114" s="9" t="str">
        <f t="shared" si="628"/>
        <v/>
      </c>
      <c r="FO114" s="10" t="str">
        <f t="shared" si="773"/>
        <v/>
      </c>
      <c r="FP114" s="277" t="str">
        <f t="shared" si="629"/>
        <v/>
      </c>
      <c r="FQ114" s="173" t="str">
        <f t="shared" si="702"/>
        <v/>
      </c>
      <c r="FR114" s="10" t="str">
        <f t="shared" si="703"/>
        <v/>
      </c>
      <c r="FS114" s="9" t="str">
        <f t="shared" si="704"/>
        <v/>
      </c>
      <c r="FT114" s="6" t="str">
        <f t="shared" si="705"/>
        <v/>
      </c>
      <c r="FU114" s="4" t="str">
        <f t="shared" si="706"/>
        <v/>
      </c>
      <c r="FV114" s="5" t="str">
        <f t="shared" si="707"/>
        <v/>
      </c>
      <c r="FW114" s="8" t="str">
        <f t="shared" si="708"/>
        <v/>
      </c>
      <c r="FX114" s="9" t="str">
        <f t="shared" si="709"/>
        <v/>
      </c>
      <c r="FY114" s="10" t="str">
        <f t="shared" si="774"/>
        <v/>
      </c>
      <c r="FZ114" s="277" t="str">
        <f t="shared" si="710"/>
        <v/>
      </c>
      <c r="GA114" s="177" t="str">
        <f t="shared" si="711"/>
        <v/>
      </c>
      <c r="GB114" s="4" t="str">
        <f t="shared" si="712"/>
        <v/>
      </c>
      <c r="GC114" s="5" t="str">
        <f t="shared" si="713"/>
        <v/>
      </c>
      <c r="GD114" s="10" t="str">
        <f t="shared" si="714"/>
        <v/>
      </c>
      <c r="GE114" s="311" t="str">
        <f t="shared" si="715"/>
        <v/>
      </c>
      <c r="GF114" s="341" t="str">
        <f t="shared" si="716"/>
        <v/>
      </c>
      <c r="GG114" s="285" t="str">
        <f t="shared" si="775"/>
        <v/>
      </c>
      <c r="GH114" s="286" t="str">
        <f t="shared" si="776"/>
        <v/>
      </c>
      <c r="GI114" s="281" t="str">
        <f t="shared" si="777"/>
        <v/>
      </c>
      <c r="GJ114" s="167" t="str">
        <f t="shared" si="717"/>
        <v/>
      </c>
      <c r="GK114" s="174" t="str">
        <f t="shared" si="778"/>
        <v/>
      </c>
      <c r="GL114" s="174" t="str">
        <f t="shared" si="718"/>
        <v/>
      </c>
      <c r="GM114" s="177" t="str">
        <f t="shared" si="719"/>
        <v/>
      </c>
      <c r="GN114" s="280" t="str">
        <f t="shared" si="720"/>
        <v/>
      </c>
      <c r="GO114" s="4" t="str">
        <f t="shared" si="721"/>
        <v/>
      </c>
      <c r="GP114" s="8" t="str">
        <f t="shared" si="722"/>
        <v/>
      </c>
      <c r="GQ114" s="177" t="str">
        <f t="shared" si="723"/>
        <v/>
      </c>
      <c r="GR114" s="371" t="str">
        <f t="shared" si="724"/>
        <v/>
      </c>
      <c r="GS114" s="342" t="str">
        <f t="shared" si="779"/>
        <v/>
      </c>
      <c r="GT114" s="343" t="str">
        <f t="shared" si="780"/>
        <v/>
      </c>
      <c r="GU114" s="344" t="str">
        <f t="shared" si="781"/>
        <v/>
      </c>
      <c r="GV114" s="343" t="str">
        <f t="shared" si="725"/>
        <v/>
      </c>
      <c r="GW114" s="345" t="str">
        <f t="shared" si="782"/>
        <v/>
      </c>
      <c r="GX114" s="346" t="str">
        <f t="shared" si="783"/>
        <v/>
      </c>
      <c r="GY114" s="344" t="str">
        <f t="shared" si="784"/>
        <v/>
      </c>
      <c r="GZ114" s="345" t="str">
        <f t="shared" si="785"/>
        <v/>
      </c>
      <c r="HA114" s="342" t="str">
        <f t="shared" si="786"/>
        <v/>
      </c>
      <c r="HB114" s="5" t="str">
        <f t="shared" si="726"/>
        <v/>
      </c>
      <c r="HC114" s="343" t="str">
        <f t="shared" si="727"/>
        <v/>
      </c>
      <c r="HD114" s="363" t="str">
        <f t="shared" si="728"/>
        <v/>
      </c>
      <c r="HE114" s="344" t="str">
        <f t="shared" si="787"/>
        <v/>
      </c>
      <c r="HF114" s="5" t="str">
        <f t="shared" si="788"/>
        <v/>
      </c>
      <c r="HG114" s="343" t="str">
        <f t="shared" si="729"/>
        <v/>
      </c>
      <c r="HH114" s="349" t="str">
        <f t="shared" si="730"/>
        <v/>
      </c>
      <c r="HI114" s="317" t="str">
        <f t="shared" si="789"/>
        <v/>
      </c>
      <c r="HK114" s="310" t="str">
        <f t="shared" si="840"/>
        <v/>
      </c>
      <c r="HL114" s="348" t="str">
        <f t="shared" si="790"/>
        <v/>
      </c>
      <c r="HM114" s="909" t="str">
        <f t="shared" si="791"/>
        <v/>
      </c>
      <c r="HN114" s="910" t="str">
        <f t="shared" si="792"/>
        <v/>
      </c>
      <c r="HO114" s="911"/>
      <c r="HP114" s="912"/>
      <c r="HQ114" s="910" t="str">
        <f t="shared" si="793"/>
        <v/>
      </c>
      <c r="HR114" s="913" t="str">
        <f t="shared" si="794"/>
        <v/>
      </c>
      <c r="HS114" s="865" t="str">
        <f t="shared" si="841"/>
        <v/>
      </c>
      <c r="HT114" s="875" t="str">
        <f t="shared" si="795"/>
        <v/>
      </c>
      <c r="HU114" s="876" t="str">
        <f t="shared" si="796"/>
        <v/>
      </c>
      <c r="HV114" s="872" t="str">
        <f t="shared" si="797"/>
        <v/>
      </c>
      <c r="HW114" s="866" t="str">
        <f t="shared" si="798"/>
        <v/>
      </c>
      <c r="HX114" s="867" t="str">
        <f t="shared" si="799"/>
        <v/>
      </c>
      <c r="HY114" s="866" t="str">
        <f t="shared" si="800"/>
        <v/>
      </c>
      <c r="HZ114" s="868" t="str">
        <f t="shared" si="801"/>
        <v/>
      </c>
      <c r="IA114" s="869" t="str">
        <f t="shared" si="802"/>
        <v/>
      </c>
      <c r="IB114" s="870" t="str">
        <f t="shared" si="803"/>
        <v/>
      </c>
      <c r="IC114" s="841" t="str">
        <f t="shared" si="804"/>
        <v/>
      </c>
      <c r="ID114" s="351" t="str">
        <f t="shared" si="805"/>
        <v/>
      </c>
      <c r="IE114" s="843" t="str">
        <f t="shared" si="806"/>
        <v/>
      </c>
      <c r="IF114" s="844"/>
      <c r="IG114" s="790" t="str">
        <f>IFERROR(IF($IW114="","",IF($IW114&lt;(((Settings!$C$19/2)*-1)*$IG$8),"Taper","Nose")),"")</f>
        <v/>
      </c>
      <c r="IH114" s="482" t="str">
        <f>IFERROR(IF((((($IY114*COS(RADIANS(180-$JA114)))*COS(RADIANS($JA114)))-(($IZ114*SIN(RADIANS(180-$JA114)))*SIN(RADIANS($JA114))))+$IW114)&lt;(((Settings!$C$19+$IH$8)/2)*-1),"Gage",""),"")</f>
        <v/>
      </c>
      <c r="II114" s="788" t="str">
        <f t="shared" si="731"/>
        <v/>
      </c>
      <c r="IJ114" s="674" t="str" cm="1">
        <f t="array" ref="IJ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K114" s="677" t="str" cm="1">
        <f t="array" ref="IK114">IFERROR(ROUND(VALUE(IF($IJ114&lt;1,$IJ114+LARGE((IF($M$9:$M$150="",0,$M$9:$M$150)-MOD(IF($M$9:$M$150="",0,$M$9:$M$150),1)),1),$IJ114)),4),"")</f>
        <v/>
      </c>
      <c r="IL114" s="482" t="str">
        <f t="shared" si="807"/>
        <v/>
      </c>
      <c r="IM114" s="482" t="str">
        <f t="shared" si="732"/>
        <v/>
      </c>
      <c r="IN114" s="670" t="str">
        <f t="shared" si="808"/>
        <v/>
      </c>
      <c r="IO114" s="702"/>
      <c r="IP114" s="5" t="str">
        <f t="shared" si="809"/>
        <v/>
      </c>
      <c r="IQ114" s="714"/>
      <c r="IR114" s="9" t="str">
        <f t="shared" si="810"/>
        <v/>
      </c>
      <c r="IS114" s="5" t="str">
        <f t="shared" si="811"/>
        <v/>
      </c>
      <c r="IT114" s="5" t="str">
        <f t="shared" si="812"/>
        <v/>
      </c>
      <c r="IU114" s="5" t="str">
        <f t="shared" si="813"/>
        <v/>
      </c>
      <c r="IV114" s="670" t="str">
        <f t="shared" si="814"/>
        <v/>
      </c>
      <c r="IW114" s="9" t="str">
        <f t="shared" si="815"/>
        <v/>
      </c>
      <c r="IX114" s="5" t="str">
        <f t="shared" si="816"/>
        <v/>
      </c>
      <c r="IY114" s="5" t="str">
        <f t="shared" si="817"/>
        <v/>
      </c>
      <c r="IZ114" s="5" t="str">
        <f t="shared" si="818"/>
        <v/>
      </c>
      <c r="JA114" s="705" t="str">
        <f t="shared" si="819"/>
        <v/>
      </c>
    </row>
    <row r="115" spans="1:261" ht="15" customHeight="1" x14ac:dyDescent="0.25">
      <c r="A115" s="75" t="str">
        <f t="shared" si="736"/>
        <v/>
      </c>
      <c r="B115" s="578" t="str">
        <f t="shared" si="515"/>
        <v/>
      </c>
      <c r="C115" s="572" t="str">
        <f t="shared" si="516"/>
        <v/>
      </c>
      <c r="D115" s="576" t="str">
        <f t="shared" si="517"/>
        <v/>
      </c>
      <c r="E115" s="580" t="str">
        <f t="shared" si="518"/>
        <v/>
      </c>
      <c r="F115" s="572" t="str">
        <f t="shared" si="519"/>
        <v/>
      </c>
      <c r="G115" s="579" t="str">
        <f t="shared" si="520"/>
        <v/>
      </c>
      <c r="H115" s="580" t="str">
        <f t="shared" si="521"/>
        <v/>
      </c>
      <c r="I115" s="572" t="str">
        <f t="shared" si="522"/>
        <v/>
      </c>
      <c r="J115" s="483" t="str">
        <f t="shared" si="523"/>
        <v/>
      </c>
      <c r="K115" s="806" t="str">
        <f t="shared" si="524"/>
        <v/>
      </c>
      <c r="L115" s="309"/>
      <c r="M115" s="164" t="str">
        <f t="shared" si="737"/>
        <v/>
      </c>
      <c r="N115" s="575" t="str">
        <f t="shared" si="738"/>
        <v/>
      </c>
      <c r="O115" s="572" t="str">
        <f t="shared" si="739"/>
        <v/>
      </c>
      <c r="P115" s="576" t="str">
        <f t="shared" si="740"/>
        <v/>
      </c>
      <c r="Q115" s="528" t="str">
        <f t="shared" si="609"/>
        <v/>
      </c>
      <c r="R115" s="572" t="str">
        <f t="shared" si="820"/>
        <v/>
      </c>
      <c r="S115" s="577" t="str">
        <f t="shared" si="821"/>
        <v/>
      </c>
      <c r="T115" s="578" t="str">
        <f t="shared" si="822"/>
        <v/>
      </c>
      <c r="U115" s="572" t="str">
        <f t="shared" si="823"/>
        <v/>
      </c>
      <c r="V115" s="579" t="str">
        <f t="shared" si="824"/>
        <v/>
      </c>
      <c r="W115" s="528" t="str">
        <f t="shared" si="735"/>
        <v/>
      </c>
      <c r="X115" s="572" t="str">
        <f t="shared" si="825"/>
        <v/>
      </c>
      <c r="Y115" s="573" t="str">
        <f t="shared" si="733"/>
        <v/>
      </c>
      <c r="Z115" s="575" t="str">
        <f t="shared" si="741"/>
        <v/>
      </c>
      <c r="AA115" s="572" t="str">
        <f t="shared" si="742"/>
        <v/>
      </c>
      <c r="AB115" s="572" t="str">
        <f t="shared" si="743"/>
        <v/>
      </c>
      <c r="AC115" s="579" t="str">
        <f t="shared" si="826"/>
        <v/>
      </c>
      <c r="AD115" s="580" t="str">
        <f t="shared" si="827"/>
        <v/>
      </c>
      <c r="AE115" s="572" t="str">
        <f t="shared" si="828"/>
        <v/>
      </c>
      <c r="AF115" s="576" t="str">
        <f t="shared" si="829"/>
        <v/>
      </c>
      <c r="AG115" s="545" t="str">
        <f t="shared" si="830"/>
        <v/>
      </c>
      <c r="AH115" s="546" t="str">
        <f t="shared" si="831"/>
        <v/>
      </c>
      <c r="AI115" s="528" t="str">
        <f t="shared" si="832"/>
        <v/>
      </c>
      <c r="AJ115" s="529" t="str">
        <f t="shared" si="833"/>
        <v/>
      </c>
      <c r="AK115" s="578" t="str">
        <f t="shared" si="834"/>
        <v/>
      </c>
      <c r="AL115" s="572" t="str">
        <f t="shared" si="835"/>
        <v/>
      </c>
      <c r="AM115" s="577" t="str">
        <f t="shared" si="836"/>
        <v/>
      </c>
      <c r="AN115" s="524" t="str">
        <f t="shared" si="837"/>
        <v/>
      </c>
      <c r="AO115" s="525" t="str">
        <f t="shared" si="525"/>
        <v/>
      </c>
      <c r="AP115" s="528" t="str">
        <f t="shared" si="838"/>
        <v/>
      </c>
      <c r="AQ115" s="529" t="str">
        <f t="shared" si="744"/>
        <v/>
      </c>
      <c r="AS115" s="932" t="str">
        <f t="shared" si="842"/>
        <v/>
      </c>
      <c r="AT115" s="928" t="str">
        <f t="shared" si="745"/>
        <v/>
      </c>
      <c r="AU115" s="418"/>
      <c r="AV115" s="164" t="str">
        <f t="shared" si="746"/>
        <v/>
      </c>
      <c r="AW115" s="797" t="str">
        <f>IFERROR(INDEX(MassProp!C$9:C$150,MATCH($M115,MassProp!$B$9:$B$150,0)),"")</f>
        <v/>
      </c>
      <c r="AX115" s="744" t="str">
        <f>IFERROR(INDEX(MassProp!D$9:D$150,MATCH($M115,MassProp!$B$9:$B$150,0)),"")</f>
        <v/>
      </c>
      <c r="AY115" s="731" t="str">
        <f>IFERROR(INDEX(MassProp!E$9:E$150,MATCH($M115,MassProp!$B$9:$B$150,0)),"")</f>
        <v/>
      </c>
      <c r="AZ115" s="297" t="str">
        <f t="shared" si="633"/>
        <v/>
      </c>
      <c r="BA115" s="296" t="str">
        <f t="shared" si="747"/>
        <v/>
      </c>
      <c r="BB115" s="177" t="str">
        <f t="shared" si="610"/>
        <v/>
      </c>
      <c r="BC115" s="9"/>
      <c r="BD115" s="5" t="str">
        <f t="shared" si="611"/>
        <v/>
      </c>
      <c r="BE115" s="6" t="str">
        <f t="shared" si="748"/>
        <v/>
      </c>
      <c r="BF115" s="4" t="str">
        <f t="shared" si="749"/>
        <v/>
      </c>
      <c r="BG115" s="5" t="str">
        <f t="shared" si="750"/>
        <v/>
      </c>
      <c r="BH115" s="10" t="str">
        <f t="shared" si="751"/>
        <v/>
      </c>
      <c r="BI115" s="9" t="str">
        <f t="shared" si="634"/>
        <v/>
      </c>
      <c r="BJ115" s="5" t="str">
        <f t="shared" si="752"/>
        <v/>
      </c>
      <c r="BK115" s="8" t="str">
        <f t="shared" si="753"/>
        <v/>
      </c>
      <c r="BL115" s="173" t="str">
        <f t="shared" si="754"/>
        <v/>
      </c>
      <c r="BM115" s="5" t="str">
        <f t="shared" si="755"/>
        <v/>
      </c>
      <c r="BN115" s="6" t="str">
        <f t="shared" si="756"/>
        <v/>
      </c>
      <c r="BO115" s="4" t="str">
        <f t="shared" si="635"/>
        <v/>
      </c>
      <c r="BP115" s="5" t="str">
        <f t="shared" si="734"/>
        <v/>
      </c>
      <c r="BQ115" s="5" t="str">
        <f t="shared" si="636"/>
        <v/>
      </c>
      <c r="BR115" s="6" t="str">
        <f t="shared" si="637"/>
        <v/>
      </c>
      <c r="BS115" s="4" t="str">
        <f t="shared" si="839"/>
        <v/>
      </c>
      <c r="BT115" s="5" t="str">
        <f t="shared" si="839"/>
        <v/>
      </c>
      <c r="BU115" s="10" t="str">
        <f t="shared" si="613"/>
        <v/>
      </c>
      <c r="BV115" s="9" t="str">
        <f t="shared" si="614"/>
        <v/>
      </c>
      <c r="BW115" s="5" t="str">
        <f t="shared" si="615"/>
        <v/>
      </c>
      <c r="BX115" s="8" t="str">
        <f t="shared" si="616"/>
        <v/>
      </c>
      <c r="BY115" s="173" t="str">
        <f t="shared" si="617"/>
        <v/>
      </c>
      <c r="BZ115" s="5" t="str">
        <f t="shared" si="618"/>
        <v/>
      </c>
      <c r="CA115" s="6" t="str">
        <f t="shared" si="619"/>
        <v/>
      </c>
      <c r="CB115" s="4" t="str">
        <f t="shared" si="638"/>
        <v/>
      </c>
      <c r="CC115" s="5" t="str">
        <f t="shared" si="639"/>
        <v/>
      </c>
      <c r="CD115" s="5" t="str">
        <f t="shared" si="640"/>
        <v/>
      </c>
      <c r="CE115" s="6" t="str">
        <f t="shared" si="641"/>
        <v/>
      </c>
      <c r="CF115" s="4" t="str">
        <f t="shared" si="642"/>
        <v/>
      </c>
      <c r="CG115" s="5" t="str">
        <f t="shared" si="643"/>
        <v/>
      </c>
      <c r="CH115" s="5" t="str">
        <f t="shared" si="644"/>
        <v/>
      </c>
      <c r="CI115" s="4" t="str">
        <f t="shared" si="620"/>
        <v/>
      </c>
      <c r="CJ115" s="5" t="str">
        <f t="shared" si="621"/>
        <v/>
      </c>
      <c r="CK115" s="8" t="str">
        <f t="shared" si="622"/>
        <v/>
      </c>
      <c r="CL115" s="173" t="str">
        <f t="shared" si="623"/>
        <v/>
      </c>
      <c r="CM115" s="5" t="str">
        <f t="shared" si="624"/>
        <v/>
      </c>
      <c r="CN115" s="6" t="str">
        <f t="shared" si="625"/>
        <v/>
      </c>
      <c r="CO115" s="167" t="str">
        <f t="shared" si="757"/>
        <v/>
      </c>
      <c r="CP115" s="4" t="str">
        <f t="shared" si="645"/>
        <v/>
      </c>
      <c r="CQ115" s="5" t="str">
        <f t="shared" si="646"/>
        <v/>
      </c>
      <c r="CR115" s="5" t="str">
        <f t="shared" si="647"/>
        <v/>
      </c>
      <c r="CS115" s="8" t="str">
        <f t="shared" si="648"/>
        <v/>
      </c>
      <c r="CT115" s="9" t="str">
        <f t="shared" si="649"/>
        <v/>
      </c>
      <c r="CU115" s="6" t="str">
        <f t="shared" si="650"/>
        <v/>
      </c>
      <c r="CV115" s="4" t="str">
        <f t="shared" si="651"/>
        <v/>
      </c>
      <c r="CW115" s="5" t="str">
        <f t="shared" si="652"/>
        <v/>
      </c>
      <c r="CX115" s="8" t="str">
        <f t="shared" si="653"/>
        <v/>
      </c>
      <c r="CY115" s="9" t="str">
        <f t="shared" si="654"/>
        <v/>
      </c>
      <c r="CZ115" s="5" t="str">
        <f t="shared" si="655"/>
        <v/>
      </c>
      <c r="DA115" s="6" t="str">
        <f t="shared" si="656"/>
        <v/>
      </c>
      <c r="DB115" s="4" t="str">
        <f t="shared" si="843"/>
        <v/>
      </c>
      <c r="DC115" s="5" t="str">
        <f t="shared" si="843"/>
        <v/>
      </c>
      <c r="DD115" s="10" t="str">
        <f t="shared" si="658"/>
        <v/>
      </c>
      <c r="DE115" s="9" t="str">
        <f t="shared" si="844"/>
        <v/>
      </c>
      <c r="DF115" s="5" t="str">
        <f t="shared" si="844"/>
        <v/>
      </c>
      <c r="DG115" s="10" t="str">
        <f t="shared" si="660"/>
        <v/>
      </c>
      <c r="DH115" s="70" t="str">
        <f t="shared" si="661"/>
        <v/>
      </c>
      <c r="DI115" s="4" t="str">
        <f t="shared" si="662"/>
        <v/>
      </c>
      <c r="DJ115" s="5" t="str">
        <f t="shared" si="663"/>
        <v/>
      </c>
      <c r="DK115" s="10" t="str">
        <f t="shared" si="664"/>
        <v/>
      </c>
      <c r="DL115" s="9" t="str">
        <f t="shared" si="665"/>
        <v/>
      </c>
      <c r="DM115" s="173" t="str">
        <f t="shared" si="666"/>
        <v/>
      </c>
      <c r="DN115" s="178" t="str">
        <f t="shared" si="667"/>
        <v/>
      </c>
      <c r="DO115" s="9" t="str">
        <f t="shared" si="668"/>
        <v/>
      </c>
      <c r="DP115" s="173" t="str">
        <f t="shared" si="669"/>
        <v/>
      </c>
      <c r="DQ115" s="11" t="str">
        <f t="shared" si="670"/>
        <v/>
      </c>
      <c r="DR115" s="173" t="str">
        <f t="shared" si="671"/>
        <v/>
      </c>
      <c r="DS115" s="5" t="str">
        <f t="shared" si="672"/>
        <v/>
      </c>
      <c r="DT115" s="5" t="str">
        <f t="shared" si="673"/>
        <v/>
      </c>
      <c r="DU115" s="5" t="str">
        <f t="shared" si="674"/>
        <v/>
      </c>
      <c r="DV115" s="5" t="str">
        <f t="shared" si="675"/>
        <v/>
      </c>
      <c r="DW115" s="5" t="str">
        <f t="shared" si="676"/>
        <v/>
      </c>
      <c r="DX115" s="167" t="str">
        <f t="shared" si="677"/>
        <v/>
      </c>
      <c r="DY115" s="9" t="str">
        <f t="shared" si="678"/>
        <v/>
      </c>
      <c r="DZ115" s="5" t="str">
        <f t="shared" si="679"/>
        <v/>
      </c>
      <c r="EA115" s="10" t="str">
        <f t="shared" si="680"/>
        <v/>
      </c>
      <c r="EB115" s="6" t="str">
        <f t="shared" si="681"/>
        <v/>
      </c>
      <c r="EC115" s="173" t="str">
        <f t="shared" si="682"/>
        <v/>
      </c>
      <c r="ED115" s="5" t="str">
        <f t="shared" si="683"/>
        <v/>
      </c>
      <c r="EE115" s="4" t="str">
        <f t="shared" si="684"/>
        <v/>
      </c>
      <c r="EF115" s="5" t="str">
        <f t="shared" si="685"/>
        <v/>
      </c>
      <c r="EG115" s="10" t="str">
        <f t="shared" si="686"/>
        <v/>
      </c>
      <c r="EH115" s="9" t="str">
        <f t="shared" si="687"/>
        <v/>
      </c>
      <c r="EI115" s="5" t="str">
        <f t="shared" si="688"/>
        <v/>
      </c>
      <c r="EJ115" s="6" t="str">
        <f t="shared" si="689"/>
        <v/>
      </c>
      <c r="EK115" s="236" t="str">
        <f t="shared" si="690"/>
        <v/>
      </c>
      <c r="EL115" s="238" t="str">
        <f t="shared" si="691"/>
        <v/>
      </c>
      <c r="EM115" s="4" t="str">
        <f t="shared" si="692"/>
        <v/>
      </c>
      <c r="EN115" s="5" t="str">
        <f t="shared" si="693"/>
        <v/>
      </c>
      <c r="EO115" s="10" t="str">
        <f t="shared" si="694"/>
        <v/>
      </c>
      <c r="EP115" s="9" t="str">
        <f t="shared" si="695"/>
        <v/>
      </c>
      <c r="EQ115" s="5" t="str">
        <f t="shared" si="696"/>
        <v/>
      </c>
      <c r="ER115" s="7" t="str">
        <f t="shared" si="697"/>
        <v/>
      </c>
      <c r="ES115" s="21" t="str">
        <f t="shared" si="758"/>
        <v/>
      </c>
      <c r="ET115" s="5" t="str">
        <f t="shared" si="759"/>
        <v/>
      </c>
      <c r="EU115" s="10" t="str">
        <f t="shared" si="760"/>
        <v/>
      </c>
      <c r="EV115" s="174" t="str">
        <f t="shared" si="761"/>
        <v/>
      </c>
      <c r="EW115" s="9" t="str">
        <f t="shared" si="762"/>
        <v/>
      </c>
      <c r="EX115" s="5" t="str">
        <f t="shared" si="763"/>
        <v/>
      </c>
      <c r="EY115" s="6" t="str">
        <f t="shared" si="698"/>
        <v/>
      </c>
      <c r="EZ115" s="51" t="str">
        <f t="shared" si="699"/>
        <v/>
      </c>
      <c r="FA115" s="173" t="str">
        <f t="shared" si="764"/>
        <v/>
      </c>
      <c r="FB115" s="5" t="str">
        <f t="shared" si="765"/>
        <v/>
      </c>
      <c r="FC115" s="6" t="str">
        <f t="shared" si="766"/>
        <v/>
      </c>
      <c r="FD115" s="4" t="str">
        <f t="shared" si="767"/>
        <v/>
      </c>
      <c r="FE115" s="5" t="str">
        <f t="shared" si="768"/>
        <v/>
      </c>
      <c r="FF115" s="7" t="str">
        <f t="shared" si="700"/>
        <v/>
      </c>
      <c r="FG115" s="173" t="str">
        <f t="shared" si="769"/>
        <v/>
      </c>
      <c r="FH115" s="5" t="str">
        <f t="shared" si="770"/>
        <v/>
      </c>
      <c r="FI115" s="10" t="str">
        <f t="shared" si="771"/>
        <v/>
      </c>
      <c r="FJ115" s="279" t="str">
        <f t="shared" si="701"/>
        <v/>
      </c>
      <c r="FK115" s="4" t="str">
        <f t="shared" si="772"/>
        <v/>
      </c>
      <c r="FL115" s="5" t="str">
        <f t="shared" si="626"/>
        <v/>
      </c>
      <c r="FM115" s="8" t="str">
        <f t="shared" si="627"/>
        <v/>
      </c>
      <c r="FN115" s="9" t="str">
        <f t="shared" si="628"/>
        <v/>
      </c>
      <c r="FO115" s="10" t="str">
        <f t="shared" si="773"/>
        <v/>
      </c>
      <c r="FP115" s="277" t="str">
        <f t="shared" si="629"/>
        <v/>
      </c>
      <c r="FQ115" s="173" t="str">
        <f t="shared" si="702"/>
        <v/>
      </c>
      <c r="FR115" s="10" t="str">
        <f t="shared" si="703"/>
        <v/>
      </c>
      <c r="FS115" s="9" t="str">
        <f t="shared" si="704"/>
        <v/>
      </c>
      <c r="FT115" s="6" t="str">
        <f t="shared" si="705"/>
        <v/>
      </c>
      <c r="FU115" s="4" t="str">
        <f t="shared" si="706"/>
        <v/>
      </c>
      <c r="FV115" s="5" t="str">
        <f t="shared" si="707"/>
        <v/>
      </c>
      <c r="FW115" s="8" t="str">
        <f t="shared" si="708"/>
        <v/>
      </c>
      <c r="FX115" s="9" t="str">
        <f t="shared" si="709"/>
        <v/>
      </c>
      <c r="FY115" s="10" t="str">
        <f t="shared" si="774"/>
        <v/>
      </c>
      <c r="FZ115" s="277" t="str">
        <f t="shared" si="710"/>
        <v/>
      </c>
      <c r="GA115" s="177" t="str">
        <f t="shared" si="711"/>
        <v/>
      </c>
      <c r="GB115" s="4" t="str">
        <f t="shared" si="712"/>
        <v/>
      </c>
      <c r="GC115" s="5" t="str">
        <f t="shared" si="713"/>
        <v/>
      </c>
      <c r="GD115" s="10" t="str">
        <f t="shared" si="714"/>
        <v/>
      </c>
      <c r="GE115" s="311" t="str">
        <f t="shared" si="715"/>
        <v/>
      </c>
      <c r="GF115" s="341" t="str">
        <f t="shared" si="716"/>
        <v/>
      </c>
      <c r="GG115" s="285" t="str">
        <f t="shared" si="775"/>
        <v/>
      </c>
      <c r="GH115" s="286" t="str">
        <f t="shared" si="776"/>
        <v/>
      </c>
      <c r="GI115" s="281" t="str">
        <f t="shared" si="777"/>
        <v/>
      </c>
      <c r="GJ115" s="167" t="str">
        <f t="shared" si="717"/>
        <v/>
      </c>
      <c r="GK115" s="174" t="str">
        <f t="shared" si="778"/>
        <v/>
      </c>
      <c r="GL115" s="174" t="str">
        <f t="shared" si="718"/>
        <v/>
      </c>
      <c r="GM115" s="177" t="str">
        <f t="shared" si="719"/>
        <v/>
      </c>
      <c r="GN115" s="280" t="str">
        <f t="shared" si="720"/>
        <v/>
      </c>
      <c r="GO115" s="4" t="str">
        <f t="shared" si="721"/>
        <v/>
      </c>
      <c r="GP115" s="8" t="str">
        <f t="shared" si="722"/>
        <v/>
      </c>
      <c r="GQ115" s="177" t="str">
        <f t="shared" si="723"/>
        <v/>
      </c>
      <c r="GR115" s="371" t="str">
        <f t="shared" si="724"/>
        <v/>
      </c>
      <c r="GS115" s="342" t="str">
        <f t="shared" si="779"/>
        <v/>
      </c>
      <c r="GT115" s="343" t="str">
        <f t="shared" si="780"/>
        <v/>
      </c>
      <c r="GU115" s="344" t="str">
        <f t="shared" si="781"/>
        <v/>
      </c>
      <c r="GV115" s="343" t="str">
        <f t="shared" si="725"/>
        <v/>
      </c>
      <c r="GW115" s="345" t="str">
        <f t="shared" si="782"/>
        <v/>
      </c>
      <c r="GX115" s="346" t="str">
        <f t="shared" si="783"/>
        <v/>
      </c>
      <c r="GY115" s="344" t="str">
        <f t="shared" si="784"/>
        <v/>
      </c>
      <c r="GZ115" s="345" t="str">
        <f t="shared" si="785"/>
        <v/>
      </c>
      <c r="HA115" s="342" t="str">
        <f t="shared" si="786"/>
        <v/>
      </c>
      <c r="HB115" s="5" t="str">
        <f t="shared" si="726"/>
        <v/>
      </c>
      <c r="HC115" s="343" t="str">
        <f t="shared" si="727"/>
        <v/>
      </c>
      <c r="HD115" s="363" t="str">
        <f t="shared" si="728"/>
        <v/>
      </c>
      <c r="HE115" s="344" t="str">
        <f t="shared" si="787"/>
        <v/>
      </c>
      <c r="HF115" s="5" t="str">
        <f t="shared" si="788"/>
        <v/>
      </c>
      <c r="HG115" s="343" t="str">
        <f t="shared" si="729"/>
        <v/>
      </c>
      <c r="HH115" s="349" t="str">
        <f t="shared" si="730"/>
        <v/>
      </c>
      <c r="HI115" s="317" t="str">
        <f t="shared" si="789"/>
        <v/>
      </c>
      <c r="HK115" s="310" t="str">
        <f t="shared" si="840"/>
        <v/>
      </c>
      <c r="HL115" s="348" t="str">
        <f t="shared" si="790"/>
        <v/>
      </c>
      <c r="HM115" s="909" t="str">
        <f t="shared" si="791"/>
        <v/>
      </c>
      <c r="HN115" s="910" t="str">
        <f t="shared" si="792"/>
        <v/>
      </c>
      <c r="HO115" s="911"/>
      <c r="HP115" s="912"/>
      <c r="HQ115" s="910" t="str">
        <f t="shared" si="793"/>
        <v/>
      </c>
      <c r="HR115" s="913" t="str">
        <f t="shared" si="794"/>
        <v/>
      </c>
      <c r="HS115" s="865" t="str">
        <f t="shared" si="841"/>
        <v/>
      </c>
      <c r="HT115" s="875" t="str">
        <f t="shared" si="795"/>
        <v/>
      </c>
      <c r="HU115" s="876" t="str">
        <f t="shared" si="796"/>
        <v/>
      </c>
      <c r="HV115" s="872" t="str">
        <f t="shared" si="797"/>
        <v/>
      </c>
      <c r="HW115" s="866" t="str">
        <f t="shared" si="798"/>
        <v/>
      </c>
      <c r="HX115" s="867" t="str">
        <f t="shared" si="799"/>
        <v/>
      </c>
      <c r="HY115" s="866" t="str">
        <f t="shared" si="800"/>
        <v/>
      </c>
      <c r="HZ115" s="868" t="str">
        <f t="shared" si="801"/>
        <v/>
      </c>
      <c r="IA115" s="869" t="str">
        <f t="shared" si="802"/>
        <v/>
      </c>
      <c r="IB115" s="870" t="str">
        <f t="shared" si="803"/>
        <v/>
      </c>
      <c r="IC115" s="841" t="str">
        <f t="shared" si="804"/>
        <v/>
      </c>
      <c r="ID115" s="351" t="str">
        <f t="shared" si="805"/>
        <v/>
      </c>
      <c r="IE115" s="843" t="str">
        <f t="shared" si="806"/>
        <v/>
      </c>
      <c r="IF115" s="844"/>
      <c r="IG115" s="790" t="str">
        <f>IFERROR(IF($IW115="","",IF($IW115&lt;(((Settings!$C$19/2)*-1)*$IG$8),"Taper","Nose")),"")</f>
        <v/>
      </c>
      <c r="IH115" s="482" t="str">
        <f>IFERROR(IF((((($IY115*COS(RADIANS(180-$JA115)))*COS(RADIANS($JA115)))-(($IZ115*SIN(RADIANS(180-$JA115)))*SIN(RADIANS($JA115))))+$IW115)&lt;(((Settings!$C$19+$IH$8)/2)*-1),"Gage",""),"")</f>
        <v/>
      </c>
      <c r="II115" s="788" t="str">
        <f t="shared" si="731"/>
        <v/>
      </c>
      <c r="IJ115" s="674" t="str" cm="1">
        <f t="array" ref="IJ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K115" s="677" t="str" cm="1">
        <f t="array" ref="IK115">IFERROR(ROUND(VALUE(IF($IJ115&lt;1,$IJ115+LARGE((IF($M$9:$M$150="",0,$M$9:$M$150)-MOD(IF($M$9:$M$150="",0,$M$9:$M$150),1)),1),$IJ115)),4),"")</f>
        <v/>
      </c>
      <c r="IL115" s="482" t="str">
        <f t="shared" si="807"/>
        <v/>
      </c>
      <c r="IM115" s="482" t="str">
        <f t="shared" si="732"/>
        <v/>
      </c>
      <c r="IN115" s="670" t="str">
        <f t="shared" si="808"/>
        <v/>
      </c>
      <c r="IO115" s="702"/>
      <c r="IP115" s="5" t="str">
        <f t="shared" si="809"/>
        <v/>
      </c>
      <c r="IQ115" s="714"/>
      <c r="IR115" s="9" t="str">
        <f t="shared" si="810"/>
        <v/>
      </c>
      <c r="IS115" s="5" t="str">
        <f t="shared" si="811"/>
        <v/>
      </c>
      <c r="IT115" s="5" t="str">
        <f t="shared" si="812"/>
        <v/>
      </c>
      <c r="IU115" s="5" t="str">
        <f t="shared" si="813"/>
        <v/>
      </c>
      <c r="IV115" s="670" t="str">
        <f t="shared" si="814"/>
        <v/>
      </c>
      <c r="IW115" s="9" t="str">
        <f t="shared" si="815"/>
        <v/>
      </c>
      <c r="IX115" s="5" t="str">
        <f t="shared" si="816"/>
        <v/>
      </c>
      <c r="IY115" s="5" t="str">
        <f t="shared" si="817"/>
        <v/>
      </c>
      <c r="IZ115" s="5" t="str">
        <f t="shared" si="818"/>
        <v/>
      </c>
      <c r="JA115" s="705" t="str">
        <f t="shared" si="819"/>
        <v/>
      </c>
    </row>
    <row r="116" spans="1:261" ht="15" customHeight="1" x14ac:dyDescent="0.25">
      <c r="A116" s="75" t="str">
        <f t="shared" si="736"/>
        <v/>
      </c>
      <c r="B116" s="578" t="str">
        <f t="shared" si="515"/>
        <v/>
      </c>
      <c r="C116" s="572" t="str">
        <f t="shared" si="516"/>
        <v/>
      </c>
      <c r="D116" s="576" t="str">
        <f t="shared" si="517"/>
        <v/>
      </c>
      <c r="E116" s="580" t="str">
        <f t="shared" si="518"/>
        <v/>
      </c>
      <c r="F116" s="572" t="str">
        <f t="shared" si="519"/>
        <v/>
      </c>
      <c r="G116" s="579" t="str">
        <f t="shared" si="520"/>
        <v/>
      </c>
      <c r="H116" s="580" t="str">
        <f t="shared" si="521"/>
        <v/>
      </c>
      <c r="I116" s="572" t="str">
        <f t="shared" si="522"/>
        <v/>
      </c>
      <c r="J116" s="483" t="str">
        <f t="shared" si="523"/>
        <v/>
      </c>
      <c r="K116" s="806" t="str">
        <f t="shared" si="524"/>
        <v/>
      </c>
      <c r="L116" s="309"/>
      <c r="M116" s="164" t="str">
        <f t="shared" si="737"/>
        <v/>
      </c>
      <c r="N116" s="575" t="str">
        <f t="shared" si="738"/>
        <v/>
      </c>
      <c r="O116" s="572" t="str">
        <f t="shared" si="739"/>
        <v/>
      </c>
      <c r="P116" s="576" t="str">
        <f t="shared" si="740"/>
        <v/>
      </c>
      <c r="Q116" s="528" t="str">
        <f t="shared" si="609"/>
        <v/>
      </c>
      <c r="R116" s="572" t="str">
        <f t="shared" si="820"/>
        <v/>
      </c>
      <c r="S116" s="577" t="str">
        <f t="shared" si="821"/>
        <v/>
      </c>
      <c r="T116" s="578" t="str">
        <f t="shared" si="822"/>
        <v/>
      </c>
      <c r="U116" s="572" t="str">
        <f t="shared" si="823"/>
        <v/>
      </c>
      <c r="V116" s="579" t="str">
        <f t="shared" si="824"/>
        <v/>
      </c>
      <c r="W116" s="528" t="str">
        <f t="shared" si="735"/>
        <v/>
      </c>
      <c r="X116" s="572" t="str">
        <f t="shared" si="825"/>
        <v/>
      </c>
      <c r="Y116" s="573" t="str">
        <f t="shared" si="733"/>
        <v/>
      </c>
      <c r="Z116" s="575" t="str">
        <f t="shared" si="741"/>
        <v/>
      </c>
      <c r="AA116" s="572" t="str">
        <f t="shared" si="742"/>
        <v/>
      </c>
      <c r="AB116" s="572" t="str">
        <f t="shared" si="743"/>
        <v/>
      </c>
      <c r="AC116" s="579" t="str">
        <f t="shared" si="826"/>
        <v/>
      </c>
      <c r="AD116" s="580" t="str">
        <f t="shared" si="827"/>
        <v/>
      </c>
      <c r="AE116" s="572" t="str">
        <f t="shared" si="828"/>
        <v/>
      </c>
      <c r="AF116" s="576" t="str">
        <f t="shared" si="829"/>
        <v/>
      </c>
      <c r="AG116" s="545" t="str">
        <f t="shared" si="830"/>
        <v/>
      </c>
      <c r="AH116" s="546" t="str">
        <f t="shared" si="831"/>
        <v/>
      </c>
      <c r="AI116" s="528" t="str">
        <f t="shared" si="832"/>
        <v/>
      </c>
      <c r="AJ116" s="529" t="str">
        <f t="shared" si="833"/>
        <v/>
      </c>
      <c r="AK116" s="578" t="str">
        <f t="shared" si="834"/>
        <v/>
      </c>
      <c r="AL116" s="572" t="str">
        <f t="shared" si="835"/>
        <v/>
      </c>
      <c r="AM116" s="577" t="str">
        <f t="shared" si="836"/>
        <v/>
      </c>
      <c r="AN116" s="524" t="str">
        <f t="shared" si="837"/>
        <v/>
      </c>
      <c r="AO116" s="525" t="str">
        <f t="shared" si="525"/>
        <v/>
      </c>
      <c r="AP116" s="528" t="str">
        <f t="shared" si="838"/>
        <v/>
      </c>
      <c r="AQ116" s="529" t="str">
        <f t="shared" si="744"/>
        <v/>
      </c>
      <c r="AS116" s="932" t="str">
        <f t="shared" si="842"/>
        <v/>
      </c>
      <c r="AT116" s="928" t="str">
        <f t="shared" si="745"/>
        <v/>
      </c>
      <c r="AU116" s="418"/>
      <c r="AV116" s="164" t="str">
        <f t="shared" si="746"/>
        <v/>
      </c>
      <c r="AW116" s="797" t="str">
        <f>IFERROR(INDEX(MassProp!C$9:C$150,MATCH($M116,MassProp!$B$9:$B$150,0)),"")</f>
        <v/>
      </c>
      <c r="AX116" s="744" t="str">
        <f>IFERROR(INDEX(MassProp!D$9:D$150,MATCH($M116,MassProp!$B$9:$B$150,0)),"")</f>
        <v/>
      </c>
      <c r="AY116" s="731" t="str">
        <f>IFERROR(INDEX(MassProp!E$9:E$150,MATCH($M116,MassProp!$B$9:$B$150,0)),"")</f>
        <v/>
      </c>
      <c r="AZ116" s="297" t="str">
        <f t="shared" si="633"/>
        <v/>
      </c>
      <c r="BA116" s="296" t="str">
        <f t="shared" si="747"/>
        <v/>
      </c>
      <c r="BB116" s="177" t="str">
        <f t="shared" si="610"/>
        <v/>
      </c>
      <c r="BC116" s="9"/>
      <c r="BD116" s="5" t="str">
        <f t="shared" si="611"/>
        <v/>
      </c>
      <c r="BE116" s="6" t="str">
        <f t="shared" si="748"/>
        <v/>
      </c>
      <c r="BF116" s="4" t="str">
        <f t="shared" si="749"/>
        <v/>
      </c>
      <c r="BG116" s="5" t="str">
        <f t="shared" si="750"/>
        <v/>
      </c>
      <c r="BH116" s="10" t="str">
        <f t="shared" si="751"/>
        <v/>
      </c>
      <c r="BI116" s="9" t="str">
        <f t="shared" si="634"/>
        <v/>
      </c>
      <c r="BJ116" s="5" t="str">
        <f t="shared" si="752"/>
        <v/>
      </c>
      <c r="BK116" s="8" t="str">
        <f t="shared" si="753"/>
        <v/>
      </c>
      <c r="BL116" s="173" t="str">
        <f t="shared" si="754"/>
        <v/>
      </c>
      <c r="BM116" s="5" t="str">
        <f t="shared" si="755"/>
        <v/>
      </c>
      <c r="BN116" s="6" t="str">
        <f t="shared" si="756"/>
        <v/>
      </c>
      <c r="BO116" s="4" t="str">
        <f t="shared" si="635"/>
        <v/>
      </c>
      <c r="BP116" s="5" t="str">
        <f t="shared" si="734"/>
        <v/>
      </c>
      <c r="BQ116" s="5" t="str">
        <f t="shared" si="636"/>
        <v/>
      </c>
      <c r="BR116" s="6" t="str">
        <f t="shared" si="637"/>
        <v/>
      </c>
      <c r="BS116" s="4" t="str">
        <f t="shared" si="839"/>
        <v/>
      </c>
      <c r="BT116" s="5" t="str">
        <f t="shared" si="839"/>
        <v/>
      </c>
      <c r="BU116" s="10" t="str">
        <f t="shared" si="613"/>
        <v/>
      </c>
      <c r="BV116" s="9" t="str">
        <f t="shared" si="614"/>
        <v/>
      </c>
      <c r="BW116" s="5" t="str">
        <f t="shared" si="615"/>
        <v/>
      </c>
      <c r="BX116" s="8" t="str">
        <f t="shared" si="616"/>
        <v/>
      </c>
      <c r="BY116" s="173" t="str">
        <f t="shared" si="617"/>
        <v/>
      </c>
      <c r="BZ116" s="5" t="str">
        <f t="shared" si="618"/>
        <v/>
      </c>
      <c r="CA116" s="6" t="str">
        <f t="shared" si="619"/>
        <v/>
      </c>
      <c r="CB116" s="4" t="str">
        <f t="shared" si="638"/>
        <v/>
      </c>
      <c r="CC116" s="5" t="str">
        <f t="shared" si="639"/>
        <v/>
      </c>
      <c r="CD116" s="5" t="str">
        <f t="shared" si="640"/>
        <v/>
      </c>
      <c r="CE116" s="6" t="str">
        <f t="shared" si="641"/>
        <v/>
      </c>
      <c r="CF116" s="4" t="str">
        <f t="shared" si="642"/>
        <v/>
      </c>
      <c r="CG116" s="5" t="str">
        <f t="shared" si="643"/>
        <v/>
      </c>
      <c r="CH116" s="5" t="str">
        <f t="shared" si="644"/>
        <v/>
      </c>
      <c r="CI116" s="4" t="str">
        <f t="shared" si="620"/>
        <v/>
      </c>
      <c r="CJ116" s="5" t="str">
        <f t="shared" si="621"/>
        <v/>
      </c>
      <c r="CK116" s="8" t="str">
        <f t="shared" si="622"/>
        <v/>
      </c>
      <c r="CL116" s="173" t="str">
        <f t="shared" si="623"/>
        <v/>
      </c>
      <c r="CM116" s="5" t="str">
        <f t="shared" si="624"/>
        <v/>
      </c>
      <c r="CN116" s="6" t="str">
        <f t="shared" si="625"/>
        <v/>
      </c>
      <c r="CO116" s="167" t="str">
        <f t="shared" si="757"/>
        <v/>
      </c>
      <c r="CP116" s="4" t="str">
        <f t="shared" si="645"/>
        <v/>
      </c>
      <c r="CQ116" s="5" t="str">
        <f t="shared" si="646"/>
        <v/>
      </c>
      <c r="CR116" s="5" t="str">
        <f t="shared" si="647"/>
        <v/>
      </c>
      <c r="CS116" s="8" t="str">
        <f t="shared" si="648"/>
        <v/>
      </c>
      <c r="CT116" s="9" t="str">
        <f t="shared" si="649"/>
        <v/>
      </c>
      <c r="CU116" s="6" t="str">
        <f t="shared" si="650"/>
        <v/>
      </c>
      <c r="CV116" s="4" t="str">
        <f t="shared" si="651"/>
        <v/>
      </c>
      <c r="CW116" s="5" t="str">
        <f t="shared" si="652"/>
        <v/>
      </c>
      <c r="CX116" s="8" t="str">
        <f t="shared" si="653"/>
        <v/>
      </c>
      <c r="CY116" s="9" t="str">
        <f t="shared" si="654"/>
        <v/>
      </c>
      <c r="CZ116" s="5" t="str">
        <f t="shared" si="655"/>
        <v/>
      </c>
      <c r="DA116" s="6" t="str">
        <f t="shared" si="656"/>
        <v/>
      </c>
      <c r="DB116" s="4" t="str">
        <f t="shared" si="843"/>
        <v/>
      </c>
      <c r="DC116" s="5" t="str">
        <f t="shared" si="843"/>
        <v/>
      </c>
      <c r="DD116" s="10" t="str">
        <f t="shared" si="658"/>
        <v/>
      </c>
      <c r="DE116" s="9" t="str">
        <f t="shared" si="844"/>
        <v/>
      </c>
      <c r="DF116" s="5" t="str">
        <f t="shared" si="844"/>
        <v/>
      </c>
      <c r="DG116" s="10" t="str">
        <f t="shared" si="660"/>
        <v/>
      </c>
      <c r="DH116" s="70" t="str">
        <f t="shared" si="661"/>
        <v/>
      </c>
      <c r="DI116" s="4" t="str">
        <f t="shared" si="662"/>
        <v/>
      </c>
      <c r="DJ116" s="5" t="str">
        <f t="shared" si="663"/>
        <v/>
      </c>
      <c r="DK116" s="10" t="str">
        <f t="shared" si="664"/>
        <v/>
      </c>
      <c r="DL116" s="9" t="str">
        <f t="shared" si="665"/>
        <v/>
      </c>
      <c r="DM116" s="173" t="str">
        <f t="shared" si="666"/>
        <v/>
      </c>
      <c r="DN116" s="178" t="str">
        <f t="shared" si="667"/>
        <v/>
      </c>
      <c r="DO116" s="9" t="str">
        <f t="shared" si="668"/>
        <v/>
      </c>
      <c r="DP116" s="173" t="str">
        <f t="shared" si="669"/>
        <v/>
      </c>
      <c r="DQ116" s="11" t="str">
        <f t="shared" si="670"/>
        <v/>
      </c>
      <c r="DR116" s="173" t="str">
        <f t="shared" si="671"/>
        <v/>
      </c>
      <c r="DS116" s="5" t="str">
        <f t="shared" si="672"/>
        <v/>
      </c>
      <c r="DT116" s="5" t="str">
        <f t="shared" si="673"/>
        <v/>
      </c>
      <c r="DU116" s="5" t="str">
        <f t="shared" si="674"/>
        <v/>
      </c>
      <c r="DV116" s="5" t="str">
        <f t="shared" si="675"/>
        <v/>
      </c>
      <c r="DW116" s="5" t="str">
        <f t="shared" si="676"/>
        <v/>
      </c>
      <c r="DX116" s="167" t="str">
        <f t="shared" si="677"/>
        <v/>
      </c>
      <c r="DY116" s="9" t="str">
        <f t="shared" si="678"/>
        <v/>
      </c>
      <c r="DZ116" s="5" t="str">
        <f t="shared" si="679"/>
        <v/>
      </c>
      <c r="EA116" s="10" t="str">
        <f t="shared" si="680"/>
        <v/>
      </c>
      <c r="EB116" s="6" t="str">
        <f t="shared" si="681"/>
        <v/>
      </c>
      <c r="EC116" s="173" t="str">
        <f t="shared" si="682"/>
        <v/>
      </c>
      <c r="ED116" s="5" t="str">
        <f t="shared" si="683"/>
        <v/>
      </c>
      <c r="EE116" s="4" t="str">
        <f t="shared" si="684"/>
        <v/>
      </c>
      <c r="EF116" s="5" t="str">
        <f t="shared" si="685"/>
        <v/>
      </c>
      <c r="EG116" s="10" t="str">
        <f t="shared" si="686"/>
        <v/>
      </c>
      <c r="EH116" s="9" t="str">
        <f t="shared" si="687"/>
        <v/>
      </c>
      <c r="EI116" s="5" t="str">
        <f t="shared" si="688"/>
        <v/>
      </c>
      <c r="EJ116" s="6" t="str">
        <f t="shared" si="689"/>
        <v/>
      </c>
      <c r="EK116" s="236" t="str">
        <f t="shared" si="690"/>
        <v/>
      </c>
      <c r="EL116" s="238" t="str">
        <f t="shared" si="691"/>
        <v/>
      </c>
      <c r="EM116" s="4" t="str">
        <f t="shared" si="692"/>
        <v/>
      </c>
      <c r="EN116" s="5" t="str">
        <f t="shared" si="693"/>
        <v/>
      </c>
      <c r="EO116" s="10" t="str">
        <f t="shared" si="694"/>
        <v/>
      </c>
      <c r="EP116" s="9" t="str">
        <f t="shared" si="695"/>
        <v/>
      </c>
      <c r="EQ116" s="5" t="str">
        <f t="shared" si="696"/>
        <v/>
      </c>
      <c r="ER116" s="7" t="str">
        <f t="shared" si="697"/>
        <v/>
      </c>
      <c r="ES116" s="21" t="str">
        <f t="shared" si="758"/>
        <v/>
      </c>
      <c r="ET116" s="5" t="str">
        <f t="shared" si="759"/>
        <v/>
      </c>
      <c r="EU116" s="10" t="str">
        <f t="shared" si="760"/>
        <v/>
      </c>
      <c r="EV116" s="174" t="str">
        <f t="shared" si="761"/>
        <v/>
      </c>
      <c r="EW116" s="9" t="str">
        <f t="shared" si="762"/>
        <v/>
      </c>
      <c r="EX116" s="5" t="str">
        <f t="shared" si="763"/>
        <v/>
      </c>
      <c r="EY116" s="6" t="str">
        <f t="shared" si="698"/>
        <v/>
      </c>
      <c r="EZ116" s="51" t="str">
        <f t="shared" si="699"/>
        <v/>
      </c>
      <c r="FA116" s="173" t="str">
        <f t="shared" si="764"/>
        <v/>
      </c>
      <c r="FB116" s="5" t="str">
        <f t="shared" si="765"/>
        <v/>
      </c>
      <c r="FC116" s="6" t="str">
        <f t="shared" si="766"/>
        <v/>
      </c>
      <c r="FD116" s="4" t="str">
        <f t="shared" si="767"/>
        <v/>
      </c>
      <c r="FE116" s="5" t="str">
        <f t="shared" si="768"/>
        <v/>
      </c>
      <c r="FF116" s="7" t="str">
        <f t="shared" si="700"/>
        <v/>
      </c>
      <c r="FG116" s="173" t="str">
        <f t="shared" si="769"/>
        <v/>
      </c>
      <c r="FH116" s="5" t="str">
        <f t="shared" si="770"/>
        <v/>
      </c>
      <c r="FI116" s="10" t="str">
        <f t="shared" si="771"/>
        <v/>
      </c>
      <c r="FJ116" s="279" t="str">
        <f t="shared" si="701"/>
        <v/>
      </c>
      <c r="FK116" s="4" t="str">
        <f t="shared" si="772"/>
        <v/>
      </c>
      <c r="FL116" s="5" t="str">
        <f t="shared" si="626"/>
        <v/>
      </c>
      <c r="FM116" s="8" t="str">
        <f t="shared" si="627"/>
        <v/>
      </c>
      <c r="FN116" s="9" t="str">
        <f t="shared" si="628"/>
        <v/>
      </c>
      <c r="FO116" s="10" t="str">
        <f t="shared" si="773"/>
        <v/>
      </c>
      <c r="FP116" s="277" t="str">
        <f t="shared" si="629"/>
        <v/>
      </c>
      <c r="FQ116" s="173" t="str">
        <f t="shared" si="702"/>
        <v/>
      </c>
      <c r="FR116" s="10" t="str">
        <f t="shared" si="703"/>
        <v/>
      </c>
      <c r="FS116" s="9" t="str">
        <f t="shared" si="704"/>
        <v/>
      </c>
      <c r="FT116" s="6" t="str">
        <f t="shared" si="705"/>
        <v/>
      </c>
      <c r="FU116" s="4" t="str">
        <f t="shared" si="706"/>
        <v/>
      </c>
      <c r="FV116" s="5" t="str">
        <f t="shared" si="707"/>
        <v/>
      </c>
      <c r="FW116" s="8" t="str">
        <f t="shared" si="708"/>
        <v/>
      </c>
      <c r="FX116" s="9" t="str">
        <f t="shared" si="709"/>
        <v/>
      </c>
      <c r="FY116" s="10" t="str">
        <f t="shared" si="774"/>
        <v/>
      </c>
      <c r="FZ116" s="277" t="str">
        <f t="shared" si="710"/>
        <v/>
      </c>
      <c r="GA116" s="177" t="str">
        <f t="shared" si="711"/>
        <v/>
      </c>
      <c r="GB116" s="4" t="str">
        <f t="shared" si="712"/>
        <v/>
      </c>
      <c r="GC116" s="5" t="str">
        <f t="shared" si="713"/>
        <v/>
      </c>
      <c r="GD116" s="10" t="str">
        <f t="shared" si="714"/>
        <v/>
      </c>
      <c r="GE116" s="311" t="str">
        <f t="shared" si="715"/>
        <v/>
      </c>
      <c r="GF116" s="341" t="str">
        <f t="shared" si="716"/>
        <v/>
      </c>
      <c r="GG116" s="285" t="str">
        <f t="shared" si="775"/>
        <v/>
      </c>
      <c r="GH116" s="286" t="str">
        <f t="shared" si="776"/>
        <v/>
      </c>
      <c r="GI116" s="281" t="str">
        <f t="shared" si="777"/>
        <v/>
      </c>
      <c r="GJ116" s="167" t="str">
        <f t="shared" si="717"/>
        <v/>
      </c>
      <c r="GK116" s="174" t="str">
        <f t="shared" si="778"/>
        <v/>
      </c>
      <c r="GL116" s="174" t="str">
        <f t="shared" si="718"/>
        <v/>
      </c>
      <c r="GM116" s="177" t="str">
        <f t="shared" si="719"/>
        <v/>
      </c>
      <c r="GN116" s="280" t="str">
        <f t="shared" si="720"/>
        <v/>
      </c>
      <c r="GO116" s="4" t="str">
        <f t="shared" si="721"/>
        <v/>
      </c>
      <c r="GP116" s="8" t="str">
        <f t="shared" si="722"/>
        <v/>
      </c>
      <c r="GQ116" s="177" t="str">
        <f t="shared" si="723"/>
        <v/>
      </c>
      <c r="GR116" s="371" t="str">
        <f t="shared" si="724"/>
        <v/>
      </c>
      <c r="GS116" s="342" t="str">
        <f t="shared" si="779"/>
        <v/>
      </c>
      <c r="GT116" s="343" t="str">
        <f t="shared" si="780"/>
        <v/>
      </c>
      <c r="GU116" s="344" t="str">
        <f t="shared" si="781"/>
        <v/>
      </c>
      <c r="GV116" s="343" t="str">
        <f t="shared" si="725"/>
        <v/>
      </c>
      <c r="GW116" s="345" t="str">
        <f t="shared" si="782"/>
        <v/>
      </c>
      <c r="GX116" s="346" t="str">
        <f t="shared" si="783"/>
        <v/>
      </c>
      <c r="GY116" s="344" t="str">
        <f t="shared" si="784"/>
        <v/>
      </c>
      <c r="GZ116" s="345" t="str">
        <f t="shared" si="785"/>
        <v/>
      </c>
      <c r="HA116" s="342" t="str">
        <f t="shared" si="786"/>
        <v/>
      </c>
      <c r="HB116" s="5" t="str">
        <f t="shared" si="726"/>
        <v/>
      </c>
      <c r="HC116" s="343" t="str">
        <f t="shared" si="727"/>
        <v/>
      </c>
      <c r="HD116" s="363" t="str">
        <f t="shared" si="728"/>
        <v/>
      </c>
      <c r="HE116" s="344" t="str">
        <f t="shared" si="787"/>
        <v/>
      </c>
      <c r="HF116" s="5" t="str">
        <f t="shared" si="788"/>
        <v/>
      </c>
      <c r="HG116" s="343" t="str">
        <f t="shared" si="729"/>
        <v/>
      </c>
      <c r="HH116" s="349" t="str">
        <f t="shared" si="730"/>
        <v/>
      </c>
      <c r="HI116" s="317" t="str">
        <f t="shared" si="789"/>
        <v/>
      </c>
      <c r="HK116" s="310" t="str">
        <f t="shared" si="840"/>
        <v/>
      </c>
      <c r="HL116" s="348" t="str">
        <f t="shared" si="790"/>
        <v/>
      </c>
      <c r="HM116" s="909" t="str">
        <f t="shared" si="791"/>
        <v/>
      </c>
      <c r="HN116" s="910" t="str">
        <f t="shared" si="792"/>
        <v/>
      </c>
      <c r="HO116" s="911"/>
      <c r="HP116" s="912"/>
      <c r="HQ116" s="910" t="str">
        <f t="shared" si="793"/>
        <v/>
      </c>
      <c r="HR116" s="913" t="str">
        <f t="shared" si="794"/>
        <v/>
      </c>
      <c r="HS116" s="865" t="str">
        <f t="shared" si="841"/>
        <v/>
      </c>
      <c r="HT116" s="875" t="str">
        <f t="shared" si="795"/>
        <v/>
      </c>
      <c r="HU116" s="876" t="str">
        <f t="shared" si="796"/>
        <v/>
      </c>
      <c r="HV116" s="872" t="str">
        <f t="shared" si="797"/>
        <v/>
      </c>
      <c r="HW116" s="866" t="str">
        <f t="shared" si="798"/>
        <v/>
      </c>
      <c r="HX116" s="867" t="str">
        <f t="shared" si="799"/>
        <v/>
      </c>
      <c r="HY116" s="866" t="str">
        <f t="shared" si="800"/>
        <v/>
      </c>
      <c r="HZ116" s="868" t="str">
        <f t="shared" si="801"/>
        <v/>
      </c>
      <c r="IA116" s="869" t="str">
        <f t="shared" si="802"/>
        <v/>
      </c>
      <c r="IB116" s="870" t="str">
        <f t="shared" si="803"/>
        <v/>
      </c>
      <c r="IC116" s="841" t="str">
        <f t="shared" si="804"/>
        <v/>
      </c>
      <c r="ID116" s="351" t="str">
        <f t="shared" si="805"/>
        <v/>
      </c>
      <c r="IE116" s="843" t="str">
        <f t="shared" si="806"/>
        <v/>
      </c>
      <c r="IF116" s="844"/>
      <c r="IG116" s="790" t="str">
        <f>IFERROR(IF($IW116="","",IF($IW116&lt;(((Settings!$C$19/2)*-1)*$IG$8),"Taper","Nose")),"")</f>
        <v/>
      </c>
      <c r="IH116" s="482" t="str">
        <f>IFERROR(IF((((($IY116*COS(RADIANS(180-$JA116)))*COS(RADIANS($JA116)))-(($IZ116*SIN(RADIANS(180-$JA116)))*SIN(RADIANS($JA116))))+$IW116)&lt;(((Settings!$C$19+$IH$8)/2)*-1),"Gage",""),"")</f>
        <v/>
      </c>
      <c r="II116" s="788" t="str">
        <f t="shared" si="731"/>
        <v/>
      </c>
      <c r="IJ116" s="674" t="str" cm="1">
        <f t="array" ref="IJ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K116" s="677" t="str" cm="1">
        <f t="array" ref="IK116">IFERROR(ROUND(VALUE(IF($IJ116&lt;1,$IJ116+LARGE((IF($M$9:$M$150="",0,$M$9:$M$150)-MOD(IF($M$9:$M$150="",0,$M$9:$M$150),1)),1),$IJ116)),4),"")</f>
        <v/>
      </c>
      <c r="IL116" s="482" t="str">
        <f t="shared" si="807"/>
        <v/>
      </c>
      <c r="IM116" s="482" t="str">
        <f t="shared" si="732"/>
        <v/>
      </c>
      <c r="IN116" s="670" t="str">
        <f t="shared" si="808"/>
        <v/>
      </c>
      <c r="IO116" s="702"/>
      <c r="IP116" s="5" t="str">
        <f t="shared" si="809"/>
        <v/>
      </c>
      <c r="IQ116" s="714"/>
      <c r="IR116" s="9" t="str">
        <f t="shared" si="810"/>
        <v/>
      </c>
      <c r="IS116" s="5" t="str">
        <f t="shared" si="811"/>
        <v/>
      </c>
      <c r="IT116" s="5" t="str">
        <f t="shared" si="812"/>
        <v/>
      </c>
      <c r="IU116" s="5" t="str">
        <f t="shared" si="813"/>
        <v/>
      </c>
      <c r="IV116" s="670" t="str">
        <f t="shared" si="814"/>
        <v/>
      </c>
      <c r="IW116" s="9" t="str">
        <f t="shared" si="815"/>
        <v/>
      </c>
      <c r="IX116" s="5" t="str">
        <f t="shared" si="816"/>
        <v/>
      </c>
      <c r="IY116" s="5" t="str">
        <f t="shared" si="817"/>
        <v/>
      </c>
      <c r="IZ116" s="5" t="str">
        <f t="shared" si="818"/>
        <v/>
      </c>
      <c r="JA116" s="705" t="str">
        <f t="shared" si="819"/>
        <v/>
      </c>
    </row>
    <row r="117" spans="1:261" ht="15" customHeight="1" x14ac:dyDescent="0.25">
      <c r="A117" s="75" t="str">
        <f t="shared" si="736"/>
        <v/>
      </c>
      <c r="B117" s="578" t="str">
        <f t="shared" si="515"/>
        <v/>
      </c>
      <c r="C117" s="572" t="str">
        <f t="shared" si="516"/>
        <v/>
      </c>
      <c r="D117" s="576" t="str">
        <f t="shared" si="517"/>
        <v/>
      </c>
      <c r="E117" s="580" t="str">
        <f t="shared" si="518"/>
        <v/>
      </c>
      <c r="F117" s="572" t="str">
        <f t="shared" si="519"/>
        <v/>
      </c>
      <c r="G117" s="579" t="str">
        <f t="shared" si="520"/>
        <v/>
      </c>
      <c r="H117" s="580" t="str">
        <f t="shared" si="521"/>
        <v/>
      </c>
      <c r="I117" s="572" t="str">
        <f t="shared" si="522"/>
        <v/>
      </c>
      <c r="J117" s="483" t="str">
        <f t="shared" si="523"/>
        <v/>
      </c>
      <c r="K117" s="806" t="str">
        <f t="shared" si="524"/>
        <v/>
      </c>
      <c r="L117" s="309"/>
      <c r="M117" s="164" t="str">
        <f t="shared" si="737"/>
        <v/>
      </c>
      <c r="N117" s="575" t="str">
        <f t="shared" si="738"/>
        <v/>
      </c>
      <c r="O117" s="572" t="str">
        <f t="shared" si="739"/>
        <v/>
      </c>
      <c r="P117" s="576" t="str">
        <f t="shared" si="740"/>
        <v/>
      </c>
      <c r="Q117" s="528" t="str">
        <f t="shared" si="609"/>
        <v/>
      </c>
      <c r="R117" s="572" t="str">
        <f t="shared" si="820"/>
        <v/>
      </c>
      <c r="S117" s="577" t="str">
        <f t="shared" si="821"/>
        <v/>
      </c>
      <c r="T117" s="578" t="str">
        <f t="shared" si="822"/>
        <v/>
      </c>
      <c r="U117" s="572" t="str">
        <f t="shared" si="823"/>
        <v/>
      </c>
      <c r="V117" s="579" t="str">
        <f t="shared" si="824"/>
        <v/>
      </c>
      <c r="W117" s="528" t="str">
        <f t="shared" si="735"/>
        <v/>
      </c>
      <c r="X117" s="572" t="str">
        <f t="shared" si="825"/>
        <v/>
      </c>
      <c r="Y117" s="573" t="str">
        <f t="shared" si="733"/>
        <v/>
      </c>
      <c r="Z117" s="575" t="str">
        <f t="shared" si="741"/>
        <v/>
      </c>
      <c r="AA117" s="572" t="str">
        <f t="shared" si="742"/>
        <v/>
      </c>
      <c r="AB117" s="572" t="str">
        <f t="shared" si="743"/>
        <v/>
      </c>
      <c r="AC117" s="579" t="str">
        <f t="shared" si="826"/>
        <v/>
      </c>
      <c r="AD117" s="580" t="str">
        <f t="shared" si="827"/>
        <v/>
      </c>
      <c r="AE117" s="572" t="str">
        <f t="shared" si="828"/>
        <v/>
      </c>
      <c r="AF117" s="576" t="str">
        <f t="shared" si="829"/>
        <v/>
      </c>
      <c r="AG117" s="545" t="str">
        <f t="shared" si="830"/>
        <v/>
      </c>
      <c r="AH117" s="546" t="str">
        <f t="shared" si="831"/>
        <v/>
      </c>
      <c r="AI117" s="528" t="str">
        <f t="shared" si="832"/>
        <v/>
      </c>
      <c r="AJ117" s="529" t="str">
        <f t="shared" si="833"/>
        <v/>
      </c>
      <c r="AK117" s="578" t="str">
        <f t="shared" si="834"/>
        <v/>
      </c>
      <c r="AL117" s="572" t="str">
        <f t="shared" si="835"/>
        <v/>
      </c>
      <c r="AM117" s="577" t="str">
        <f t="shared" si="836"/>
        <v/>
      </c>
      <c r="AN117" s="524" t="str">
        <f t="shared" si="837"/>
        <v/>
      </c>
      <c r="AO117" s="525" t="str">
        <f t="shared" si="525"/>
        <v/>
      </c>
      <c r="AP117" s="528" t="str">
        <f t="shared" si="838"/>
        <v/>
      </c>
      <c r="AQ117" s="529" t="str">
        <f t="shared" si="744"/>
        <v/>
      </c>
      <c r="AS117" s="932" t="str">
        <f t="shared" si="842"/>
        <v/>
      </c>
      <c r="AT117" s="928" t="str">
        <f t="shared" si="745"/>
        <v/>
      </c>
      <c r="AU117" s="418"/>
      <c r="AV117" s="164" t="str">
        <f t="shared" si="746"/>
        <v/>
      </c>
      <c r="AW117" s="797" t="str">
        <f>IFERROR(INDEX(MassProp!C$9:C$150,MATCH($M117,MassProp!$B$9:$B$150,0)),"")</f>
        <v/>
      </c>
      <c r="AX117" s="744" t="str">
        <f>IFERROR(INDEX(MassProp!D$9:D$150,MATCH($M117,MassProp!$B$9:$B$150,0)),"")</f>
        <v/>
      </c>
      <c r="AY117" s="731" t="str">
        <f>IFERROR(INDEX(MassProp!E$9:E$150,MATCH($M117,MassProp!$B$9:$B$150,0)),"")</f>
        <v/>
      </c>
      <c r="AZ117" s="297" t="str">
        <f t="shared" si="633"/>
        <v/>
      </c>
      <c r="BA117" s="296" t="str">
        <f t="shared" si="747"/>
        <v/>
      </c>
      <c r="BB117" s="177" t="str">
        <f t="shared" si="610"/>
        <v/>
      </c>
      <c r="BC117" s="9"/>
      <c r="BD117" s="5" t="str">
        <f t="shared" si="611"/>
        <v/>
      </c>
      <c r="BE117" s="6" t="str">
        <f t="shared" si="748"/>
        <v/>
      </c>
      <c r="BF117" s="4" t="str">
        <f t="shared" si="749"/>
        <v/>
      </c>
      <c r="BG117" s="5" t="str">
        <f t="shared" si="750"/>
        <v/>
      </c>
      <c r="BH117" s="10" t="str">
        <f t="shared" si="751"/>
        <v/>
      </c>
      <c r="BI117" s="9" t="str">
        <f t="shared" si="634"/>
        <v/>
      </c>
      <c r="BJ117" s="5" t="str">
        <f t="shared" si="752"/>
        <v/>
      </c>
      <c r="BK117" s="8" t="str">
        <f t="shared" si="753"/>
        <v/>
      </c>
      <c r="BL117" s="173" t="str">
        <f t="shared" si="754"/>
        <v/>
      </c>
      <c r="BM117" s="5" t="str">
        <f t="shared" si="755"/>
        <v/>
      </c>
      <c r="BN117" s="6" t="str">
        <f t="shared" si="756"/>
        <v/>
      </c>
      <c r="BO117" s="4" t="str">
        <f t="shared" si="635"/>
        <v/>
      </c>
      <c r="BP117" s="5" t="str">
        <f t="shared" si="734"/>
        <v/>
      </c>
      <c r="BQ117" s="5" t="str">
        <f t="shared" si="636"/>
        <v/>
      </c>
      <c r="BR117" s="6" t="str">
        <f t="shared" si="637"/>
        <v/>
      </c>
      <c r="BS117" s="4" t="str">
        <f t="shared" si="839"/>
        <v/>
      </c>
      <c r="BT117" s="5" t="str">
        <f t="shared" si="839"/>
        <v/>
      </c>
      <c r="BU117" s="10" t="str">
        <f t="shared" si="613"/>
        <v/>
      </c>
      <c r="BV117" s="9" t="str">
        <f t="shared" si="614"/>
        <v/>
      </c>
      <c r="BW117" s="5" t="str">
        <f t="shared" si="615"/>
        <v/>
      </c>
      <c r="BX117" s="8" t="str">
        <f t="shared" si="616"/>
        <v/>
      </c>
      <c r="BY117" s="173" t="str">
        <f t="shared" si="617"/>
        <v/>
      </c>
      <c r="BZ117" s="5" t="str">
        <f t="shared" si="618"/>
        <v/>
      </c>
      <c r="CA117" s="6" t="str">
        <f t="shared" si="619"/>
        <v/>
      </c>
      <c r="CB117" s="4" t="str">
        <f t="shared" si="638"/>
        <v/>
      </c>
      <c r="CC117" s="5" t="str">
        <f t="shared" si="639"/>
        <v/>
      </c>
      <c r="CD117" s="5" t="str">
        <f t="shared" si="640"/>
        <v/>
      </c>
      <c r="CE117" s="6" t="str">
        <f t="shared" si="641"/>
        <v/>
      </c>
      <c r="CF117" s="4" t="str">
        <f t="shared" si="642"/>
        <v/>
      </c>
      <c r="CG117" s="5" t="str">
        <f t="shared" si="643"/>
        <v/>
      </c>
      <c r="CH117" s="5" t="str">
        <f t="shared" si="644"/>
        <v/>
      </c>
      <c r="CI117" s="4" t="str">
        <f t="shared" si="620"/>
        <v/>
      </c>
      <c r="CJ117" s="5" t="str">
        <f t="shared" si="621"/>
        <v/>
      </c>
      <c r="CK117" s="8" t="str">
        <f t="shared" si="622"/>
        <v/>
      </c>
      <c r="CL117" s="173" t="str">
        <f t="shared" si="623"/>
        <v/>
      </c>
      <c r="CM117" s="5" t="str">
        <f t="shared" si="624"/>
        <v/>
      </c>
      <c r="CN117" s="6" t="str">
        <f t="shared" si="625"/>
        <v/>
      </c>
      <c r="CO117" s="167" t="str">
        <f t="shared" si="757"/>
        <v/>
      </c>
      <c r="CP117" s="4" t="str">
        <f t="shared" si="645"/>
        <v/>
      </c>
      <c r="CQ117" s="5" t="str">
        <f t="shared" si="646"/>
        <v/>
      </c>
      <c r="CR117" s="5" t="str">
        <f t="shared" si="647"/>
        <v/>
      </c>
      <c r="CS117" s="8" t="str">
        <f t="shared" si="648"/>
        <v/>
      </c>
      <c r="CT117" s="9" t="str">
        <f t="shared" si="649"/>
        <v/>
      </c>
      <c r="CU117" s="6" t="str">
        <f t="shared" si="650"/>
        <v/>
      </c>
      <c r="CV117" s="4" t="str">
        <f t="shared" si="651"/>
        <v/>
      </c>
      <c r="CW117" s="5" t="str">
        <f t="shared" si="652"/>
        <v/>
      </c>
      <c r="CX117" s="8" t="str">
        <f t="shared" si="653"/>
        <v/>
      </c>
      <c r="CY117" s="9" t="str">
        <f t="shared" si="654"/>
        <v/>
      </c>
      <c r="CZ117" s="5" t="str">
        <f t="shared" si="655"/>
        <v/>
      </c>
      <c r="DA117" s="6" t="str">
        <f t="shared" si="656"/>
        <v/>
      </c>
      <c r="DB117" s="4" t="str">
        <f t="shared" si="843"/>
        <v/>
      </c>
      <c r="DC117" s="5" t="str">
        <f t="shared" si="843"/>
        <v/>
      </c>
      <c r="DD117" s="10" t="str">
        <f t="shared" si="658"/>
        <v/>
      </c>
      <c r="DE117" s="9" t="str">
        <f t="shared" si="844"/>
        <v/>
      </c>
      <c r="DF117" s="5" t="str">
        <f t="shared" si="844"/>
        <v/>
      </c>
      <c r="DG117" s="10" t="str">
        <f t="shared" si="660"/>
        <v/>
      </c>
      <c r="DH117" s="70" t="str">
        <f t="shared" si="661"/>
        <v/>
      </c>
      <c r="DI117" s="4" t="str">
        <f t="shared" si="662"/>
        <v/>
      </c>
      <c r="DJ117" s="5" t="str">
        <f t="shared" si="663"/>
        <v/>
      </c>
      <c r="DK117" s="10" t="str">
        <f t="shared" si="664"/>
        <v/>
      </c>
      <c r="DL117" s="9" t="str">
        <f t="shared" si="665"/>
        <v/>
      </c>
      <c r="DM117" s="173" t="str">
        <f t="shared" si="666"/>
        <v/>
      </c>
      <c r="DN117" s="178" t="str">
        <f t="shared" si="667"/>
        <v/>
      </c>
      <c r="DO117" s="9" t="str">
        <f t="shared" si="668"/>
        <v/>
      </c>
      <c r="DP117" s="173" t="str">
        <f t="shared" si="669"/>
        <v/>
      </c>
      <c r="DQ117" s="11" t="str">
        <f t="shared" si="670"/>
        <v/>
      </c>
      <c r="DR117" s="173" t="str">
        <f t="shared" si="671"/>
        <v/>
      </c>
      <c r="DS117" s="5" t="str">
        <f t="shared" si="672"/>
        <v/>
      </c>
      <c r="DT117" s="5" t="str">
        <f t="shared" si="673"/>
        <v/>
      </c>
      <c r="DU117" s="5" t="str">
        <f t="shared" si="674"/>
        <v/>
      </c>
      <c r="DV117" s="5" t="str">
        <f t="shared" si="675"/>
        <v/>
      </c>
      <c r="DW117" s="5" t="str">
        <f t="shared" si="676"/>
        <v/>
      </c>
      <c r="DX117" s="167" t="str">
        <f t="shared" si="677"/>
        <v/>
      </c>
      <c r="DY117" s="9" t="str">
        <f t="shared" si="678"/>
        <v/>
      </c>
      <c r="DZ117" s="5" t="str">
        <f t="shared" si="679"/>
        <v/>
      </c>
      <c r="EA117" s="10" t="str">
        <f t="shared" si="680"/>
        <v/>
      </c>
      <c r="EB117" s="6" t="str">
        <f t="shared" si="681"/>
        <v/>
      </c>
      <c r="EC117" s="173" t="str">
        <f t="shared" si="682"/>
        <v/>
      </c>
      <c r="ED117" s="5" t="str">
        <f t="shared" si="683"/>
        <v/>
      </c>
      <c r="EE117" s="4" t="str">
        <f t="shared" si="684"/>
        <v/>
      </c>
      <c r="EF117" s="5" t="str">
        <f t="shared" si="685"/>
        <v/>
      </c>
      <c r="EG117" s="10" t="str">
        <f t="shared" si="686"/>
        <v/>
      </c>
      <c r="EH117" s="9" t="str">
        <f t="shared" si="687"/>
        <v/>
      </c>
      <c r="EI117" s="5" t="str">
        <f t="shared" si="688"/>
        <v/>
      </c>
      <c r="EJ117" s="6" t="str">
        <f t="shared" si="689"/>
        <v/>
      </c>
      <c r="EK117" s="236" t="str">
        <f t="shared" si="690"/>
        <v/>
      </c>
      <c r="EL117" s="238" t="str">
        <f t="shared" si="691"/>
        <v/>
      </c>
      <c r="EM117" s="4" t="str">
        <f t="shared" si="692"/>
        <v/>
      </c>
      <c r="EN117" s="5" t="str">
        <f t="shared" si="693"/>
        <v/>
      </c>
      <c r="EO117" s="10" t="str">
        <f t="shared" si="694"/>
        <v/>
      </c>
      <c r="EP117" s="9" t="str">
        <f t="shared" si="695"/>
        <v/>
      </c>
      <c r="EQ117" s="5" t="str">
        <f t="shared" si="696"/>
        <v/>
      </c>
      <c r="ER117" s="7" t="str">
        <f t="shared" si="697"/>
        <v/>
      </c>
      <c r="ES117" s="21" t="str">
        <f t="shared" si="758"/>
        <v/>
      </c>
      <c r="ET117" s="5" t="str">
        <f t="shared" si="759"/>
        <v/>
      </c>
      <c r="EU117" s="10" t="str">
        <f t="shared" si="760"/>
        <v/>
      </c>
      <c r="EV117" s="174" t="str">
        <f t="shared" si="761"/>
        <v/>
      </c>
      <c r="EW117" s="9" t="str">
        <f t="shared" si="762"/>
        <v/>
      </c>
      <c r="EX117" s="5" t="str">
        <f t="shared" si="763"/>
        <v/>
      </c>
      <c r="EY117" s="6" t="str">
        <f t="shared" si="698"/>
        <v/>
      </c>
      <c r="EZ117" s="51" t="str">
        <f t="shared" si="699"/>
        <v/>
      </c>
      <c r="FA117" s="173" t="str">
        <f t="shared" si="764"/>
        <v/>
      </c>
      <c r="FB117" s="5" t="str">
        <f t="shared" si="765"/>
        <v/>
      </c>
      <c r="FC117" s="6" t="str">
        <f t="shared" si="766"/>
        <v/>
      </c>
      <c r="FD117" s="4" t="str">
        <f t="shared" si="767"/>
        <v/>
      </c>
      <c r="FE117" s="5" t="str">
        <f t="shared" si="768"/>
        <v/>
      </c>
      <c r="FF117" s="7" t="str">
        <f t="shared" si="700"/>
        <v/>
      </c>
      <c r="FG117" s="173" t="str">
        <f t="shared" si="769"/>
        <v/>
      </c>
      <c r="FH117" s="5" t="str">
        <f t="shared" si="770"/>
        <v/>
      </c>
      <c r="FI117" s="10" t="str">
        <f t="shared" si="771"/>
        <v/>
      </c>
      <c r="FJ117" s="279" t="str">
        <f t="shared" si="701"/>
        <v/>
      </c>
      <c r="FK117" s="4" t="str">
        <f t="shared" si="772"/>
        <v/>
      </c>
      <c r="FL117" s="5" t="str">
        <f t="shared" si="626"/>
        <v/>
      </c>
      <c r="FM117" s="8" t="str">
        <f t="shared" si="627"/>
        <v/>
      </c>
      <c r="FN117" s="9" t="str">
        <f t="shared" si="628"/>
        <v/>
      </c>
      <c r="FO117" s="10" t="str">
        <f t="shared" si="773"/>
        <v/>
      </c>
      <c r="FP117" s="277" t="str">
        <f t="shared" si="629"/>
        <v/>
      </c>
      <c r="FQ117" s="173" t="str">
        <f t="shared" si="702"/>
        <v/>
      </c>
      <c r="FR117" s="10" t="str">
        <f t="shared" si="703"/>
        <v/>
      </c>
      <c r="FS117" s="9" t="str">
        <f t="shared" si="704"/>
        <v/>
      </c>
      <c r="FT117" s="6" t="str">
        <f t="shared" si="705"/>
        <v/>
      </c>
      <c r="FU117" s="4" t="str">
        <f t="shared" si="706"/>
        <v/>
      </c>
      <c r="FV117" s="5" t="str">
        <f t="shared" si="707"/>
        <v/>
      </c>
      <c r="FW117" s="8" t="str">
        <f t="shared" si="708"/>
        <v/>
      </c>
      <c r="FX117" s="9" t="str">
        <f t="shared" si="709"/>
        <v/>
      </c>
      <c r="FY117" s="10" t="str">
        <f t="shared" si="774"/>
        <v/>
      </c>
      <c r="FZ117" s="277" t="str">
        <f t="shared" si="710"/>
        <v/>
      </c>
      <c r="GA117" s="177" t="str">
        <f t="shared" si="711"/>
        <v/>
      </c>
      <c r="GB117" s="4" t="str">
        <f t="shared" si="712"/>
        <v/>
      </c>
      <c r="GC117" s="5" t="str">
        <f t="shared" si="713"/>
        <v/>
      </c>
      <c r="GD117" s="10" t="str">
        <f t="shared" si="714"/>
        <v/>
      </c>
      <c r="GE117" s="311" t="str">
        <f t="shared" si="715"/>
        <v/>
      </c>
      <c r="GF117" s="341" t="str">
        <f t="shared" si="716"/>
        <v/>
      </c>
      <c r="GG117" s="285" t="str">
        <f t="shared" si="775"/>
        <v/>
      </c>
      <c r="GH117" s="286" t="str">
        <f t="shared" si="776"/>
        <v/>
      </c>
      <c r="GI117" s="281" t="str">
        <f t="shared" si="777"/>
        <v/>
      </c>
      <c r="GJ117" s="167" t="str">
        <f t="shared" si="717"/>
        <v/>
      </c>
      <c r="GK117" s="174" t="str">
        <f t="shared" si="778"/>
        <v/>
      </c>
      <c r="GL117" s="174" t="str">
        <f t="shared" si="718"/>
        <v/>
      </c>
      <c r="GM117" s="177" t="str">
        <f t="shared" si="719"/>
        <v/>
      </c>
      <c r="GN117" s="280" t="str">
        <f t="shared" si="720"/>
        <v/>
      </c>
      <c r="GO117" s="4" t="str">
        <f t="shared" si="721"/>
        <v/>
      </c>
      <c r="GP117" s="8" t="str">
        <f t="shared" si="722"/>
        <v/>
      </c>
      <c r="GQ117" s="177" t="str">
        <f t="shared" si="723"/>
        <v/>
      </c>
      <c r="GR117" s="371" t="str">
        <f t="shared" si="724"/>
        <v/>
      </c>
      <c r="GS117" s="342" t="str">
        <f t="shared" si="779"/>
        <v/>
      </c>
      <c r="GT117" s="343" t="str">
        <f t="shared" si="780"/>
        <v/>
      </c>
      <c r="GU117" s="344" t="str">
        <f t="shared" si="781"/>
        <v/>
      </c>
      <c r="GV117" s="343" t="str">
        <f t="shared" si="725"/>
        <v/>
      </c>
      <c r="GW117" s="345" t="str">
        <f t="shared" si="782"/>
        <v/>
      </c>
      <c r="GX117" s="346" t="str">
        <f t="shared" si="783"/>
        <v/>
      </c>
      <c r="GY117" s="344" t="str">
        <f t="shared" si="784"/>
        <v/>
      </c>
      <c r="GZ117" s="345" t="str">
        <f t="shared" si="785"/>
        <v/>
      </c>
      <c r="HA117" s="342" t="str">
        <f t="shared" si="786"/>
        <v/>
      </c>
      <c r="HB117" s="5" t="str">
        <f t="shared" si="726"/>
        <v/>
      </c>
      <c r="HC117" s="343" t="str">
        <f t="shared" si="727"/>
        <v/>
      </c>
      <c r="HD117" s="363" t="str">
        <f t="shared" si="728"/>
        <v/>
      </c>
      <c r="HE117" s="344" t="str">
        <f t="shared" si="787"/>
        <v/>
      </c>
      <c r="HF117" s="5" t="str">
        <f t="shared" si="788"/>
        <v/>
      </c>
      <c r="HG117" s="343" t="str">
        <f t="shared" si="729"/>
        <v/>
      </c>
      <c r="HH117" s="349" t="str">
        <f t="shared" si="730"/>
        <v/>
      </c>
      <c r="HI117" s="317" t="str">
        <f t="shared" si="789"/>
        <v/>
      </c>
      <c r="HK117" s="310" t="str">
        <f t="shared" si="840"/>
        <v/>
      </c>
      <c r="HL117" s="348" t="str">
        <f t="shared" si="790"/>
        <v/>
      </c>
      <c r="HM117" s="909" t="str">
        <f t="shared" si="791"/>
        <v/>
      </c>
      <c r="HN117" s="910" t="str">
        <f t="shared" si="792"/>
        <v/>
      </c>
      <c r="HO117" s="911"/>
      <c r="HP117" s="912"/>
      <c r="HQ117" s="910" t="str">
        <f t="shared" si="793"/>
        <v/>
      </c>
      <c r="HR117" s="913" t="str">
        <f t="shared" si="794"/>
        <v/>
      </c>
      <c r="HS117" s="865" t="str">
        <f t="shared" si="841"/>
        <v/>
      </c>
      <c r="HT117" s="875" t="str">
        <f t="shared" si="795"/>
        <v/>
      </c>
      <c r="HU117" s="876" t="str">
        <f t="shared" si="796"/>
        <v/>
      </c>
      <c r="HV117" s="872" t="str">
        <f t="shared" si="797"/>
        <v/>
      </c>
      <c r="HW117" s="866" t="str">
        <f t="shared" si="798"/>
        <v/>
      </c>
      <c r="HX117" s="867" t="str">
        <f t="shared" si="799"/>
        <v/>
      </c>
      <c r="HY117" s="866" t="str">
        <f t="shared" si="800"/>
        <v/>
      </c>
      <c r="HZ117" s="868" t="str">
        <f t="shared" si="801"/>
        <v/>
      </c>
      <c r="IA117" s="869" t="str">
        <f t="shared" si="802"/>
        <v/>
      </c>
      <c r="IB117" s="870" t="str">
        <f t="shared" si="803"/>
        <v/>
      </c>
      <c r="IC117" s="841" t="str">
        <f t="shared" si="804"/>
        <v/>
      </c>
      <c r="ID117" s="351" t="str">
        <f t="shared" si="805"/>
        <v/>
      </c>
      <c r="IE117" s="843" t="str">
        <f t="shared" si="806"/>
        <v/>
      </c>
      <c r="IF117" s="844"/>
      <c r="IG117" s="790" t="str">
        <f>IFERROR(IF($IW117="","",IF($IW117&lt;(((Settings!$C$19/2)*-1)*$IG$8),"Taper","Nose")),"")</f>
        <v/>
      </c>
      <c r="IH117" s="482" t="str">
        <f>IFERROR(IF((((($IY117*COS(RADIANS(180-$JA117)))*COS(RADIANS($JA117)))-(($IZ117*SIN(RADIANS(180-$JA117)))*SIN(RADIANS($JA117))))+$IW117)&lt;(((Settings!$C$19+$IH$8)/2)*-1),"Gage",""),"")</f>
        <v/>
      </c>
      <c r="II117" s="788" t="str">
        <f t="shared" si="731"/>
        <v/>
      </c>
      <c r="IJ117" s="674" t="str" cm="1">
        <f t="array" ref="IJ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K117" s="677" t="str" cm="1">
        <f t="array" ref="IK117">IFERROR(ROUND(VALUE(IF($IJ117&lt;1,$IJ117+LARGE((IF($M$9:$M$150="",0,$M$9:$M$150)-MOD(IF($M$9:$M$150="",0,$M$9:$M$150),1)),1),$IJ117)),4),"")</f>
        <v/>
      </c>
      <c r="IL117" s="482" t="str">
        <f t="shared" si="807"/>
        <v/>
      </c>
      <c r="IM117" s="482" t="str">
        <f t="shared" si="732"/>
        <v/>
      </c>
      <c r="IN117" s="670" t="str">
        <f t="shared" si="808"/>
        <v/>
      </c>
      <c r="IO117" s="702"/>
      <c r="IP117" s="5" t="str">
        <f t="shared" si="809"/>
        <v/>
      </c>
      <c r="IQ117" s="714"/>
      <c r="IR117" s="9" t="str">
        <f t="shared" si="810"/>
        <v/>
      </c>
      <c r="IS117" s="5" t="str">
        <f t="shared" si="811"/>
        <v/>
      </c>
      <c r="IT117" s="5" t="str">
        <f t="shared" si="812"/>
        <v/>
      </c>
      <c r="IU117" s="5" t="str">
        <f t="shared" si="813"/>
        <v/>
      </c>
      <c r="IV117" s="670" t="str">
        <f t="shared" si="814"/>
        <v/>
      </c>
      <c r="IW117" s="9" t="str">
        <f t="shared" si="815"/>
        <v/>
      </c>
      <c r="IX117" s="5" t="str">
        <f t="shared" si="816"/>
        <v/>
      </c>
      <c r="IY117" s="5" t="str">
        <f t="shared" si="817"/>
        <v/>
      </c>
      <c r="IZ117" s="5" t="str">
        <f t="shared" si="818"/>
        <v/>
      </c>
      <c r="JA117" s="705" t="str">
        <f t="shared" si="819"/>
        <v/>
      </c>
    </row>
    <row r="118" spans="1:261" ht="15" customHeight="1" x14ac:dyDescent="0.25">
      <c r="A118" s="75" t="str">
        <f t="shared" si="736"/>
        <v/>
      </c>
      <c r="B118" s="578" t="str">
        <f t="shared" si="515"/>
        <v/>
      </c>
      <c r="C118" s="572" t="str">
        <f t="shared" si="516"/>
        <v/>
      </c>
      <c r="D118" s="576" t="str">
        <f t="shared" si="517"/>
        <v/>
      </c>
      <c r="E118" s="580" t="str">
        <f t="shared" si="518"/>
        <v/>
      </c>
      <c r="F118" s="572" t="str">
        <f t="shared" si="519"/>
        <v/>
      </c>
      <c r="G118" s="579" t="str">
        <f t="shared" si="520"/>
        <v/>
      </c>
      <c r="H118" s="580" t="str">
        <f t="shared" si="521"/>
        <v/>
      </c>
      <c r="I118" s="572" t="str">
        <f t="shared" si="522"/>
        <v/>
      </c>
      <c r="J118" s="483" t="str">
        <f t="shared" si="523"/>
        <v/>
      </c>
      <c r="K118" s="806" t="str">
        <f t="shared" si="524"/>
        <v/>
      </c>
      <c r="L118" s="309"/>
      <c r="M118" s="164" t="str">
        <f t="shared" si="737"/>
        <v/>
      </c>
      <c r="N118" s="575" t="str">
        <f t="shared" si="738"/>
        <v/>
      </c>
      <c r="O118" s="572" t="str">
        <f t="shared" si="739"/>
        <v/>
      </c>
      <c r="P118" s="576" t="str">
        <f t="shared" si="740"/>
        <v/>
      </c>
      <c r="Q118" s="528" t="str">
        <f t="shared" si="609"/>
        <v/>
      </c>
      <c r="R118" s="572" t="str">
        <f t="shared" si="820"/>
        <v/>
      </c>
      <c r="S118" s="577" t="str">
        <f t="shared" si="821"/>
        <v/>
      </c>
      <c r="T118" s="578" t="str">
        <f t="shared" si="822"/>
        <v/>
      </c>
      <c r="U118" s="572" t="str">
        <f t="shared" si="823"/>
        <v/>
      </c>
      <c r="V118" s="579" t="str">
        <f t="shared" si="824"/>
        <v/>
      </c>
      <c r="W118" s="528" t="str">
        <f t="shared" si="735"/>
        <v/>
      </c>
      <c r="X118" s="572" t="str">
        <f t="shared" si="825"/>
        <v/>
      </c>
      <c r="Y118" s="573" t="str">
        <f t="shared" si="733"/>
        <v/>
      </c>
      <c r="Z118" s="575" t="str">
        <f t="shared" si="741"/>
        <v/>
      </c>
      <c r="AA118" s="572" t="str">
        <f t="shared" si="742"/>
        <v/>
      </c>
      <c r="AB118" s="572" t="str">
        <f t="shared" si="743"/>
        <v/>
      </c>
      <c r="AC118" s="579" t="str">
        <f t="shared" si="826"/>
        <v/>
      </c>
      <c r="AD118" s="580" t="str">
        <f t="shared" si="827"/>
        <v/>
      </c>
      <c r="AE118" s="572" t="str">
        <f t="shared" si="828"/>
        <v/>
      </c>
      <c r="AF118" s="576" t="str">
        <f t="shared" si="829"/>
        <v/>
      </c>
      <c r="AG118" s="545" t="str">
        <f t="shared" si="830"/>
        <v/>
      </c>
      <c r="AH118" s="546" t="str">
        <f t="shared" si="831"/>
        <v/>
      </c>
      <c r="AI118" s="528" t="str">
        <f t="shared" si="832"/>
        <v/>
      </c>
      <c r="AJ118" s="529" t="str">
        <f t="shared" si="833"/>
        <v/>
      </c>
      <c r="AK118" s="578" t="str">
        <f t="shared" si="834"/>
        <v/>
      </c>
      <c r="AL118" s="572" t="str">
        <f t="shared" si="835"/>
        <v/>
      </c>
      <c r="AM118" s="577" t="str">
        <f t="shared" si="836"/>
        <v/>
      </c>
      <c r="AN118" s="524" t="str">
        <f t="shared" si="837"/>
        <v/>
      </c>
      <c r="AO118" s="525" t="str">
        <f t="shared" si="525"/>
        <v/>
      </c>
      <c r="AP118" s="528" t="str">
        <f t="shared" si="838"/>
        <v/>
      </c>
      <c r="AQ118" s="529" t="str">
        <f t="shared" si="744"/>
        <v/>
      </c>
      <c r="AS118" s="932" t="str">
        <f t="shared" si="842"/>
        <v/>
      </c>
      <c r="AT118" s="928" t="str">
        <f t="shared" si="745"/>
        <v/>
      </c>
      <c r="AU118" s="418"/>
      <c r="AV118" s="164" t="str">
        <f t="shared" si="746"/>
        <v/>
      </c>
      <c r="AW118" s="797" t="str">
        <f>IFERROR(INDEX(MassProp!C$9:C$150,MATCH($M118,MassProp!$B$9:$B$150,0)),"")</f>
        <v/>
      </c>
      <c r="AX118" s="744" t="str">
        <f>IFERROR(INDEX(MassProp!D$9:D$150,MATCH($M118,MassProp!$B$9:$B$150,0)),"")</f>
        <v/>
      </c>
      <c r="AY118" s="731" t="str">
        <f>IFERROR(INDEX(MassProp!E$9:E$150,MATCH($M118,MassProp!$B$9:$B$150,0)),"")</f>
        <v/>
      </c>
      <c r="AZ118" s="297" t="str">
        <f t="shared" si="633"/>
        <v/>
      </c>
      <c r="BA118" s="296" t="str">
        <f t="shared" si="747"/>
        <v/>
      </c>
      <c r="BB118" s="177" t="str">
        <f t="shared" si="610"/>
        <v/>
      </c>
      <c r="BC118" s="9"/>
      <c r="BD118" s="5" t="str">
        <f t="shared" si="611"/>
        <v/>
      </c>
      <c r="BE118" s="6" t="str">
        <f t="shared" si="748"/>
        <v/>
      </c>
      <c r="BF118" s="4" t="str">
        <f t="shared" si="749"/>
        <v/>
      </c>
      <c r="BG118" s="5" t="str">
        <f t="shared" si="750"/>
        <v/>
      </c>
      <c r="BH118" s="10" t="str">
        <f t="shared" si="751"/>
        <v/>
      </c>
      <c r="BI118" s="9" t="str">
        <f t="shared" si="634"/>
        <v/>
      </c>
      <c r="BJ118" s="5" t="str">
        <f t="shared" si="752"/>
        <v/>
      </c>
      <c r="BK118" s="8" t="str">
        <f t="shared" si="753"/>
        <v/>
      </c>
      <c r="BL118" s="173" t="str">
        <f t="shared" si="754"/>
        <v/>
      </c>
      <c r="BM118" s="5" t="str">
        <f t="shared" si="755"/>
        <v/>
      </c>
      <c r="BN118" s="6" t="str">
        <f t="shared" si="756"/>
        <v/>
      </c>
      <c r="BO118" s="4" t="str">
        <f t="shared" si="635"/>
        <v/>
      </c>
      <c r="BP118" s="5" t="str">
        <f t="shared" si="734"/>
        <v/>
      </c>
      <c r="BQ118" s="5" t="str">
        <f t="shared" si="636"/>
        <v/>
      </c>
      <c r="BR118" s="6" t="str">
        <f t="shared" si="637"/>
        <v/>
      </c>
      <c r="BS118" s="4" t="str">
        <f t="shared" si="839"/>
        <v/>
      </c>
      <c r="BT118" s="5" t="str">
        <f t="shared" si="839"/>
        <v/>
      </c>
      <c r="BU118" s="10" t="str">
        <f t="shared" si="613"/>
        <v/>
      </c>
      <c r="BV118" s="9" t="str">
        <f t="shared" si="614"/>
        <v/>
      </c>
      <c r="BW118" s="5" t="str">
        <f t="shared" si="615"/>
        <v/>
      </c>
      <c r="BX118" s="8" t="str">
        <f t="shared" si="616"/>
        <v/>
      </c>
      <c r="BY118" s="173" t="str">
        <f t="shared" si="617"/>
        <v/>
      </c>
      <c r="BZ118" s="5" t="str">
        <f t="shared" si="618"/>
        <v/>
      </c>
      <c r="CA118" s="6" t="str">
        <f t="shared" si="619"/>
        <v/>
      </c>
      <c r="CB118" s="4" t="str">
        <f t="shared" si="638"/>
        <v/>
      </c>
      <c r="CC118" s="5" t="str">
        <f t="shared" si="639"/>
        <v/>
      </c>
      <c r="CD118" s="5" t="str">
        <f t="shared" si="640"/>
        <v/>
      </c>
      <c r="CE118" s="6" t="str">
        <f t="shared" si="641"/>
        <v/>
      </c>
      <c r="CF118" s="4" t="str">
        <f t="shared" si="642"/>
        <v/>
      </c>
      <c r="CG118" s="5" t="str">
        <f t="shared" si="643"/>
        <v/>
      </c>
      <c r="CH118" s="5" t="str">
        <f t="shared" si="644"/>
        <v/>
      </c>
      <c r="CI118" s="4" t="str">
        <f t="shared" si="620"/>
        <v/>
      </c>
      <c r="CJ118" s="5" t="str">
        <f t="shared" si="621"/>
        <v/>
      </c>
      <c r="CK118" s="8" t="str">
        <f t="shared" si="622"/>
        <v/>
      </c>
      <c r="CL118" s="173" t="str">
        <f t="shared" si="623"/>
        <v/>
      </c>
      <c r="CM118" s="5" t="str">
        <f t="shared" si="624"/>
        <v/>
      </c>
      <c r="CN118" s="6" t="str">
        <f t="shared" si="625"/>
        <v/>
      </c>
      <c r="CO118" s="167" t="str">
        <f t="shared" si="757"/>
        <v/>
      </c>
      <c r="CP118" s="4" t="str">
        <f t="shared" si="645"/>
        <v/>
      </c>
      <c r="CQ118" s="5" t="str">
        <f t="shared" si="646"/>
        <v/>
      </c>
      <c r="CR118" s="5" t="str">
        <f t="shared" si="647"/>
        <v/>
      </c>
      <c r="CS118" s="8" t="str">
        <f t="shared" si="648"/>
        <v/>
      </c>
      <c r="CT118" s="9" t="str">
        <f t="shared" si="649"/>
        <v/>
      </c>
      <c r="CU118" s="6" t="str">
        <f t="shared" si="650"/>
        <v/>
      </c>
      <c r="CV118" s="4" t="str">
        <f t="shared" si="651"/>
        <v/>
      </c>
      <c r="CW118" s="5" t="str">
        <f t="shared" si="652"/>
        <v/>
      </c>
      <c r="CX118" s="8" t="str">
        <f t="shared" si="653"/>
        <v/>
      </c>
      <c r="CY118" s="9" t="str">
        <f t="shared" si="654"/>
        <v/>
      </c>
      <c r="CZ118" s="5" t="str">
        <f t="shared" si="655"/>
        <v/>
      </c>
      <c r="DA118" s="6" t="str">
        <f t="shared" si="656"/>
        <v/>
      </c>
      <c r="DB118" s="4" t="str">
        <f t="shared" si="843"/>
        <v/>
      </c>
      <c r="DC118" s="5" t="str">
        <f t="shared" si="843"/>
        <v/>
      </c>
      <c r="DD118" s="10" t="str">
        <f t="shared" si="658"/>
        <v/>
      </c>
      <c r="DE118" s="9" t="str">
        <f t="shared" si="844"/>
        <v/>
      </c>
      <c r="DF118" s="5" t="str">
        <f t="shared" si="844"/>
        <v/>
      </c>
      <c r="DG118" s="10" t="str">
        <f t="shared" si="660"/>
        <v/>
      </c>
      <c r="DH118" s="70" t="str">
        <f t="shared" si="661"/>
        <v/>
      </c>
      <c r="DI118" s="4" t="str">
        <f t="shared" si="662"/>
        <v/>
      </c>
      <c r="DJ118" s="5" t="str">
        <f t="shared" si="663"/>
        <v/>
      </c>
      <c r="DK118" s="10" t="str">
        <f t="shared" si="664"/>
        <v/>
      </c>
      <c r="DL118" s="9" t="str">
        <f t="shared" si="665"/>
        <v/>
      </c>
      <c r="DM118" s="173" t="str">
        <f t="shared" si="666"/>
        <v/>
      </c>
      <c r="DN118" s="178" t="str">
        <f t="shared" si="667"/>
        <v/>
      </c>
      <c r="DO118" s="9" t="str">
        <f t="shared" si="668"/>
        <v/>
      </c>
      <c r="DP118" s="173" t="str">
        <f t="shared" si="669"/>
        <v/>
      </c>
      <c r="DQ118" s="11" t="str">
        <f t="shared" si="670"/>
        <v/>
      </c>
      <c r="DR118" s="173" t="str">
        <f t="shared" si="671"/>
        <v/>
      </c>
      <c r="DS118" s="5" t="str">
        <f t="shared" si="672"/>
        <v/>
      </c>
      <c r="DT118" s="5" t="str">
        <f t="shared" si="673"/>
        <v/>
      </c>
      <c r="DU118" s="5" t="str">
        <f t="shared" si="674"/>
        <v/>
      </c>
      <c r="DV118" s="5" t="str">
        <f t="shared" si="675"/>
        <v/>
      </c>
      <c r="DW118" s="5" t="str">
        <f t="shared" si="676"/>
        <v/>
      </c>
      <c r="DX118" s="167" t="str">
        <f t="shared" si="677"/>
        <v/>
      </c>
      <c r="DY118" s="9" t="str">
        <f t="shared" si="678"/>
        <v/>
      </c>
      <c r="DZ118" s="5" t="str">
        <f t="shared" si="679"/>
        <v/>
      </c>
      <c r="EA118" s="10" t="str">
        <f t="shared" si="680"/>
        <v/>
      </c>
      <c r="EB118" s="6" t="str">
        <f t="shared" si="681"/>
        <v/>
      </c>
      <c r="EC118" s="173" t="str">
        <f t="shared" si="682"/>
        <v/>
      </c>
      <c r="ED118" s="5" t="str">
        <f t="shared" si="683"/>
        <v/>
      </c>
      <c r="EE118" s="4" t="str">
        <f t="shared" si="684"/>
        <v/>
      </c>
      <c r="EF118" s="5" t="str">
        <f t="shared" si="685"/>
        <v/>
      </c>
      <c r="EG118" s="10" t="str">
        <f t="shared" si="686"/>
        <v/>
      </c>
      <c r="EH118" s="9" t="str">
        <f t="shared" si="687"/>
        <v/>
      </c>
      <c r="EI118" s="5" t="str">
        <f t="shared" si="688"/>
        <v/>
      </c>
      <c r="EJ118" s="6" t="str">
        <f t="shared" si="689"/>
        <v/>
      </c>
      <c r="EK118" s="236" t="str">
        <f t="shared" si="690"/>
        <v/>
      </c>
      <c r="EL118" s="238" t="str">
        <f t="shared" si="691"/>
        <v/>
      </c>
      <c r="EM118" s="4" t="str">
        <f t="shared" si="692"/>
        <v/>
      </c>
      <c r="EN118" s="5" t="str">
        <f t="shared" si="693"/>
        <v/>
      </c>
      <c r="EO118" s="10" t="str">
        <f t="shared" si="694"/>
        <v/>
      </c>
      <c r="EP118" s="9" t="str">
        <f t="shared" si="695"/>
        <v/>
      </c>
      <c r="EQ118" s="5" t="str">
        <f t="shared" si="696"/>
        <v/>
      </c>
      <c r="ER118" s="7" t="str">
        <f t="shared" si="697"/>
        <v/>
      </c>
      <c r="ES118" s="21" t="str">
        <f t="shared" si="758"/>
        <v/>
      </c>
      <c r="ET118" s="5" t="str">
        <f t="shared" si="759"/>
        <v/>
      </c>
      <c r="EU118" s="10" t="str">
        <f t="shared" si="760"/>
        <v/>
      </c>
      <c r="EV118" s="174" t="str">
        <f t="shared" si="761"/>
        <v/>
      </c>
      <c r="EW118" s="9" t="str">
        <f t="shared" si="762"/>
        <v/>
      </c>
      <c r="EX118" s="5" t="str">
        <f t="shared" si="763"/>
        <v/>
      </c>
      <c r="EY118" s="6" t="str">
        <f t="shared" si="698"/>
        <v/>
      </c>
      <c r="EZ118" s="51" t="str">
        <f t="shared" si="699"/>
        <v/>
      </c>
      <c r="FA118" s="173" t="str">
        <f t="shared" si="764"/>
        <v/>
      </c>
      <c r="FB118" s="5" t="str">
        <f t="shared" si="765"/>
        <v/>
      </c>
      <c r="FC118" s="6" t="str">
        <f t="shared" si="766"/>
        <v/>
      </c>
      <c r="FD118" s="4" t="str">
        <f t="shared" si="767"/>
        <v/>
      </c>
      <c r="FE118" s="5" t="str">
        <f t="shared" si="768"/>
        <v/>
      </c>
      <c r="FF118" s="7" t="str">
        <f t="shared" si="700"/>
        <v/>
      </c>
      <c r="FG118" s="173" t="str">
        <f t="shared" si="769"/>
        <v/>
      </c>
      <c r="FH118" s="5" t="str">
        <f t="shared" si="770"/>
        <v/>
      </c>
      <c r="FI118" s="10" t="str">
        <f t="shared" si="771"/>
        <v/>
      </c>
      <c r="FJ118" s="279" t="str">
        <f t="shared" si="701"/>
        <v/>
      </c>
      <c r="FK118" s="4" t="str">
        <f t="shared" si="772"/>
        <v/>
      </c>
      <c r="FL118" s="5" t="str">
        <f t="shared" si="626"/>
        <v/>
      </c>
      <c r="FM118" s="8" t="str">
        <f t="shared" si="627"/>
        <v/>
      </c>
      <c r="FN118" s="9" t="str">
        <f t="shared" si="628"/>
        <v/>
      </c>
      <c r="FO118" s="10" t="str">
        <f t="shared" si="773"/>
        <v/>
      </c>
      <c r="FP118" s="277" t="str">
        <f t="shared" si="629"/>
        <v/>
      </c>
      <c r="FQ118" s="173" t="str">
        <f t="shared" si="702"/>
        <v/>
      </c>
      <c r="FR118" s="10" t="str">
        <f t="shared" si="703"/>
        <v/>
      </c>
      <c r="FS118" s="9" t="str">
        <f t="shared" si="704"/>
        <v/>
      </c>
      <c r="FT118" s="6" t="str">
        <f t="shared" si="705"/>
        <v/>
      </c>
      <c r="FU118" s="4" t="str">
        <f t="shared" si="706"/>
        <v/>
      </c>
      <c r="FV118" s="5" t="str">
        <f t="shared" si="707"/>
        <v/>
      </c>
      <c r="FW118" s="8" t="str">
        <f t="shared" si="708"/>
        <v/>
      </c>
      <c r="FX118" s="9" t="str">
        <f t="shared" si="709"/>
        <v/>
      </c>
      <c r="FY118" s="10" t="str">
        <f t="shared" si="774"/>
        <v/>
      </c>
      <c r="FZ118" s="277" t="str">
        <f t="shared" si="710"/>
        <v/>
      </c>
      <c r="GA118" s="177" t="str">
        <f t="shared" si="711"/>
        <v/>
      </c>
      <c r="GB118" s="4" t="str">
        <f t="shared" si="712"/>
        <v/>
      </c>
      <c r="GC118" s="5" t="str">
        <f t="shared" si="713"/>
        <v/>
      </c>
      <c r="GD118" s="10" t="str">
        <f t="shared" si="714"/>
        <v/>
      </c>
      <c r="GE118" s="311" t="str">
        <f t="shared" si="715"/>
        <v/>
      </c>
      <c r="GF118" s="341" t="str">
        <f t="shared" si="716"/>
        <v/>
      </c>
      <c r="GG118" s="285" t="str">
        <f t="shared" si="775"/>
        <v/>
      </c>
      <c r="GH118" s="286" t="str">
        <f t="shared" si="776"/>
        <v/>
      </c>
      <c r="GI118" s="281" t="str">
        <f t="shared" si="777"/>
        <v/>
      </c>
      <c r="GJ118" s="167" t="str">
        <f t="shared" si="717"/>
        <v/>
      </c>
      <c r="GK118" s="174" t="str">
        <f t="shared" si="778"/>
        <v/>
      </c>
      <c r="GL118" s="174" t="str">
        <f t="shared" si="718"/>
        <v/>
      </c>
      <c r="GM118" s="177" t="str">
        <f t="shared" si="719"/>
        <v/>
      </c>
      <c r="GN118" s="280" t="str">
        <f t="shared" si="720"/>
        <v/>
      </c>
      <c r="GO118" s="4" t="str">
        <f t="shared" si="721"/>
        <v/>
      </c>
      <c r="GP118" s="8" t="str">
        <f t="shared" si="722"/>
        <v/>
      </c>
      <c r="GQ118" s="177" t="str">
        <f t="shared" si="723"/>
        <v/>
      </c>
      <c r="GR118" s="371" t="str">
        <f t="shared" si="724"/>
        <v/>
      </c>
      <c r="GS118" s="342" t="str">
        <f t="shared" si="779"/>
        <v/>
      </c>
      <c r="GT118" s="343" t="str">
        <f t="shared" si="780"/>
        <v/>
      </c>
      <c r="GU118" s="344" t="str">
        <f t="shared" si="781"/>
        <v/>
      </c>
      <c r="GV118" s="343" t="str">
        <f t="shared" si="725"/>
        <v/>
      </c>
      <c r="GW118" s="345" t="str">
        <f t="shared" si="782"/>
        <v/>
      </c>
      <c r="GX118" s="346" t="str">
        <f t="shared" si="783"/>
        <v/>
      </c>
      <c r="GY118" s="344" t="str">
        <f t="shared" si="784"/>
        <v/>
      </c>
      <c r="GZ118" s="345" t="str">
        <f t="shared" si="785"/>
        <v/>
      </c>
      <c r="HA118" s="342" t="str">
        <f t="shared" si="786"/>
        <v/>
      </c>
      <c r="HB118" s="5" t="str">
        <f t="shared" si="726"/>
        <v/>
      </c>
      <c r="HC118" s="343" t="str">
        <f t="shared" si="727"/>
        <v/>
      </c>
      <c r="HD118" s="363" t="str">
        <f t="shared" si="728"/>
        <v/>
      </c>
      <c r="HE118" s="344" t="str">
        <f t="shared" si="787"/>
        <v/>
      </c>
      <c r="HF118" s="5" t="str">
        <f t="shared" si="788"/>
        <v/>
      </c>
      <c r="HG118" s="343" t="str">
        <f t="shared" si="729"/>
        <v/>
      </c>
      <c r="HH118" s="349" t="str">
        <f t="shared" si="730"/>
        <v/>
      </c>
      <c r="HI118" s="317" t="str">
        <f t="shared" si="789"/>
        <v/>
      </c>
      <c r="HK118" s="310" t="str">
        <f t="shared" si="840"/>
        <v/>
      </c>
      <c r="HL118" s="348" t="str">
        <f t="shared" si="790"/>
        <v/>
      </c>
      <c r="HM118" s="909" t="str">
        <f t="shared" si="791"/>
        <v/>
      </c>
      <c r="HN118" s="910" t="str">
        <f t="shared" si="792"/>
        <v/>
      </c>
      <c r="HO118" s="911"/>
      <c r="HP118" s="912"/>
      <c r="HQ118" s="910" t="str">
        <f t="shared" si="793"/>
        <v/>
      </c>
      <c r="HR118" s="913" t="str">
        <f t="shared" si="794"/>
        <v/>
      </c>
      <c r="HS118" s="865" t="str">
        <f t="shared" si="841"/>
        <v/>
      </c>
      <c r="HT118" s="875" t="str">
        <f t="shared" si="795"/>
        <v/>
      </c>
      <c r="HU118" s="876" t="str">
        <f t="shared" si="796"/>
        <v/>
      </c>
      <c r="HV118" s="872" t="str">
        <f t="shared" si="797"/>
        <v/>
      </c>
      <c r="HW118" s="866" t="str">
        <f t="shared" si="798"/>
        <v/>
      </c>
      <c r="HX118" s="867" t="str">
        <f t="shared" si="799"/>
        <v/>
      </c>
      <c r="HY118" s="866" t="str">
        <f t="shared" si="800"/>
        <v/>
      </c>
      <c r="HZ118" s="868" t="str">
        <f t="shared" si="801"/>
        <v/>
      </c>
      <c r="IA118" s="869" t="str">
        <f t="shared" si="802"/>
        <v/>
      </c>
      <c r="IB118" s="870" t="str">
        <f t="shared" si="803"/>
        <v/>
      </c>
      <c r="IC118" s="841" t="str">
        <f t="shared" si="804"/>
        <v/>
      </c>
      <c r="ID118" s="351" t="str">
        <f t="shared" si="805"/>
        <v/>
      </c>
      <c r="IE118" s="843" t="str">
        <f t="shared" si="806"/>
        <v/>
      </c>
      <c r="IF118" s="844"/>
      <c r="IG118" s="790" t="str">
        <f>IFERROR(IF($IW118="","",IF($IW118&lt;(((Settings!$C$19/2)*-1)*$IG$8),"Taper","Nose")),"")</f>
        <v/>
      </c>
      <c r="IH118" s="482" t="str">
        <f>IFERROR(IF((((($IY118*COS(RADIANS(180-$JA118)))*COS(RADIANS($JA118)))-(($IZ118*SIN(RADIANS(180-$JA118)))*SIN(RADIANS($JA118))))+$IW118)&lt;(((Settings!$C$19+$IH$8)/2)*-1),"Gage",""),"")</f>
        <v/>
      </c>
      <c r="II118" s="788" t="str">
        <f t="shared" si="731"/>
        <v/>
      </c>
      <c r="IJ118" s="674" t="str" cm="1">
        <f t="array" ref="IJ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K118" s="677" t="str" cm="1">
        <f t="array" ref="IK118">IFERROR(ROUND(VALUE(IF($IJ118&lt;1,$IJ118+LARGE((IF($M$9:$M$150="",0,$M$9:$M$150)-MOD(IF($M$9:$M$150="",0,$M$9:$M$150),1)),1),$IJ118)),4),"")</f>
        <v/>
      </c>
      <c r="IL118" s="482" t="str">
        <f t="shared" si="807"/>
        <v/>
      </c>
      <c r="IM118" s="482" t="str">
        <f t="shared" si="732"/>
        <v/>
      </c>
      <c r="IN118" s="670" t="str">
        <f t="shared" si="808"/>
        <v/>
      </c>
      <c r="IO118" s="702"/>
      <c r="IP118" s="5" t="str">
        <f t="shared" si="809"/>
        <v/>
      </c>
      <c r="IQ118" s="714"/>
      <c r="IR118" s="9" t="str">
        <f t="shared" si="810"/>
        <v/>
      </c>
      <c r="IS118" s="5" t="str">
        <f t="shared" si="811"/>
        <v/>
      </c>
      <c r="IT118" s="5" t="str">
        <f t="shared" si="812"/>
        <v/>
      </c>
      <c r="IU118" s="5" t="str">
        <f t="shared" si="813"/>
        <v/>
      </c>
      <c r="IV118" s="670" t="str">
        <f t="shared" si="814"/>
        <v/>
      </c>
      <c r="IW118" s="9" t="str">
        <f t="shared" si="815"/>
        <v/>
      </c>
      <c r="IX118" s="5" t="str">
        <f t="shared" si="816"/>
        <v/>
      </c>
      <c r="IY118" s="5" t="str">
        <f t="shared" si="817"/>
        <v/>
      </c>
      <c r="IZ118" s="5" t="str">
        <f t="shared" si="818"/>
        <v/>
      </c>
      <c r="JA118" s="705" t="str">
        <f t="shared" si="819"/>
        <v/>
      </c>
    </row>
    <row r="119" spans="1:261" ht="15" customHeight="1" x14ac:dyDescent="0.25">
      <c r="A119" s="75" t="str">
        <f t="shared" si="736"/>
        <v/>
      </c>
      <c r="B119" s="578" t="str">
        <f t="shared" ref="B119:B150" si="845">IFERROR(Q274+($A119*-E119),"")</f>
        <v/>
      </c>
      <c r="C119" s="572" t="str">
        <f t="shared" ref="C119:C150" si="846">IFERROR(R274+($A119*-F119),"")</f>
        <v/>
      </c>
      <c r="D119" s="576" t="str">
        <f t="shared" ref="D119:D150" si="847">IFERROR(S274+($A119*-G119),"")</f>
        <v/>
      </c>
      <c r="E119" s="580" t="str">
        <f t="shared" ref="E119:E150" si="848">T274</f>
        <v/>
      </c>
      <c r="F119" s="572" t="str">
        <f t="shared" ref="F119:F150" si="849">U274</f>
        <v/>
      </c>
      <c r="G119" s="579" t="str">
        <f t="shared" ref="G119:G150" si="850">V274</f>
        <v/>
      </c>
      <c r="H119" s="580" t="str">
        <f t="shared" ref="H119:H150" si="851">W274</f>
        <v/>
      </c>
      <c r="I119" s="572" t="str">
        <f t="shared" ref="I119:I150" si="852">X274</f>
        <v/>
      </c>
      <c r="J119" s="483" t="str">
        <f t="shared" ref="J119:J150" si="853">IF(Y274=0,"",Y274)</f>
        <v/>
      </c>
      <c r="K119" s="806" t="str">
        <f t="shared" ref="K119:K150" si="854">Z274</f>
        <v/>
      </c>
      <c r="L119" s="309"/>
      <c r="M119" s="164" t="str">
        <f t="shared" si="737"/>
        <v/>
      </c>
      <c r="N119" s="575" t="str">
        <f t="shared" si="738"/>
        <v/>
      </c>
      <c r="O119" s="572" t="str">
        <f t="shared" si="739"/>
        <v/>
      </c>
      <c r="P119" s="576" t="str">
        <f t="shared" si="740"/>
        <v/>
      </c>
      <c r="Q119" s="528" t="str">
        <f t="shared" si="609"/>
        <v/>
      </c>
      <c r="R119" s="572" t="str">
        <f t="shared" si="820"/>
        <v/>
      </c>
      <c r="S119" s="577" t="str">
        <f t="shared" si="821"/>
        <v/>
      </c>
      <c r="T119" s="578" t="str">
        <f t="shared" si="822"/>
        <v/>
      </c>
      <c r="U119" s="572" t="str">
        <f t="shared" si="823"/>
        <v/>
      </c>
      <c r="V119" s="579" t="str">
        <f t="shared" si="824"/>
        <v/>
      </c>
      <c r="W119" s="528" t="str">
        <f t="shared" si="735"/>
        <v/>
      </c>
      <c r="X119" s="572" t="str">
        <f t="shared" si="825"/>
        <v/>
      </c>
      <c r="Y119" s="573" t="str">
        <f t="shared" si="733"/>
        <v/>
      </c>
      <c r="Z119" s="575" t="str">
        <f t="shared" si="741"/>
        <v/>
      </c>
      <c r="AA119" s="572" t="str">
        <f t="shared" si="742"/>
        <v/>
      </c>
      <c r="AB119" s="572" t="str">
        <f t="shared" si="743"/>
        <v/>
      </c>
      <c r="AC119" s="579" t="str">
        <f t="shared" si="826"/>
        <v/>
      </c>
      <c r="AD119" s="580" t="str">
        <f t="shared" si="827"/>
        <v/>
      </c>
      <c r="AE119" s="572" t="str">
        <f t="shared" si="828"/>
        <v/>
      </c>
      <c r="AF119" s="576" t="str">
        <f t="shared" si="829"/>
        <v/>
      </c>
      <c r="AG119" s="545" t="str">
        <f t="shared" si="830"/>
        <v/>
      </c>
      <c r="AH119" s="546" t="str">
        <f t="shared" si="831"/>
        <v/>
      </c>
      <c r="AI119" s="528" t="str">
        <f t="shared" si="832"/>
        <v/>
      </c>
      <c r="AJ119" s="529" t="str">
        <f t="shared" si="833"/>
        <v/>
      </c>
      <c r="AK119" s="578" t="str">
        <f t="shared" si="834"/>
        <v/>
      </c>
      <c r="AL119" s="572" t="str">
        <f t="shared" si="835"/>
        <v/>
      </c>
      <c r="AM119" s="577" t="str">
        <f t="shared" si="836"/>
        <v/>
      </c>
      <c r="AN119" s="524" t="str">
        <f t="shared" si="837"/>
        <v/>
      </c>
      <c r="AO119" s="525" t="str">
        <f t="shared" si="525"/>
        <v/>
      </c>
      <c r="AP119" s="528" t="str">
        <f t="shared" si="838"/>
        <v/>
      </c>
      <c r="AQ119" s="529" t="str">
        <f t="shared" si="744"/>
        <v/>
      </c>
      <c r="AS119" s="932" t="str">
        <f t="shared" si="842"/>
        <v/>
      </c>
      <c r="AT119" s="928" t="str">
        <f t="shared" si="745"/>
        <v/>
      </c>
      <c r="AU119" s="418"/>
      <c r="AV119" s="164" t="str">
        <f t="shared" si="746"/>
        <v/>
      </c>
      <c r="AW119" s="797" t="str">
        <f>IFERROR(INDEX(MassProp!C$9:C$150,MATCH($M119,MassProp!$B$9:$B$150,0)),"")</f>
        <v/>
      </c>
      <c r="AX119" s="744" t="str">
        <f>IFERROR(INDEX(MassProp!D$9:D$150,MATCH($M119,MassProp!$B$9:$B$150,0)),"")</f>
        <v/>
      </c>
      <c r="AY119" s="731" t="str">
        <f>IFERROR(INDEX(MassProp!E$9:E$150,MATCH($M119,MassProp!$B$9:$B$150,0)),"")</f>
        <v/>
      </c>
      <c r="AZ119" s="297" t="str">
        <f t="shared" si="633"/>
        <v/>
      </c>
      <c r="BA119" s="296" t="str">
        <f t="shared" si="747"/>
        <v/>
      </c>
      <c r="BB119" s="177" t="str">
        <f t="shared" si="610"/>
        <v/>
      </c>
      <c r="BC119" s="9"/>
      <c r="BD119" s="5" t="str">
        <f t="shared" si="611"/>
        <v/>
      </c>
      <c r="BE119" s="6" t="str">
        <f t="shared" si="748"/>
        <v/>
      </c>
      <c r="BF119" s="4" t="str">
        <f t="shared" si="749"/>
        <v/>
      </c>
      <c r="BG119" s="5" t="str">
        <f t="shared" si="750"/>
        <v/>
      </c>
      <c r="BH119" s="10" t="str">
        <f t="shared" si="751"/>
        <v/>
      </c>
      <c r="BI119" s="9" t="str">
        <f t="shared" si="634"/>
        <v/>
      </c>
      <c r="BJ119" s="5" t="str">
        <f t="shared" si="752"/>
        <v/>
      </c>
      <c r="BK119" s="8" t="str">
        <f t="shared" si="753"/>
        <v/>
      </c>
      <c r="BL119" s="173" t="str">
        <f t="shared" si="754"/>
        <v/>
      </c>
      <c r="BM119" s="5" t="str">
        <f t="shared" si="755"/>
        <v/>
      </c>
      <c r="BN119" s="6" t="str">
        <f t="shared" si="756"/>
        <v/>
      </c>
      <c r="BO119" s="4" t="str">
        <f t="shared" si="635"/>
        <v/>
      </c>
      <c r="BP119" s="5" t="str">
        <f t="shared" si="734"/>
        <v/>
      </c>
      <c r="BQ119" s="5" t="str">
        <f t="shared" si="636"/>
        <v/>
      </c>
      <c r="BR119" s="6" t="str">
        <f t="shared" si="637"/>
        <v/>
      </c>
      <c r="BS119" s="4" t="str">
        <f t="shared" si="839"/>
        <v/>
      </c>
      <c r="BT119" s="5" t="str">
        <f t="shared" si="839"/>
        <v/>
      </c>
      <c r="BU119" s="10" t="str">
        <f t="shared" si="613"/>
        <v/>
      </c>
      <c r="BV119" s="9" t="str">
        <f t="shared" si="614"/>
        <v/>
      </c>
      <c r="BW119" s="5" t="str">
        <f t="shared" si="615"/>
        <v/>
      </c>
      <c r="BX119" s="8" t="str">
        <f t="shared" si="616"/>
        <v/>
      </c>
      <c r="BY119" s="173" t="str">
        <f t="shared" si="617"/>
        <v/>
      </c>
      <c r="BZ119" s="5" t="str">
        <f t="shared" si="618"/>
        <v/>
      </c>
      <c r="CA119" s="6" t="str">
        <f t="shared" si="619"/>
        <v/>
      </c>
      <c r="CB119" s="4" t="str">
        <f t="shared" si="638"/>
        <v/>
      </c>
      <c r="CC119" s="5" t="str">
        <f t="shared" si="639"/>
        <v/>
      </c>
      <c r="CD119" s="5" t="str">
        <f t="shared" si="640"/>
        <v/>
      </c>
      <c r="CE119" s="6" t="str">
        <f t="shared" si="641"/>
        <v/>
      </c>
      <c r="CF119" s="4" t="str">
        <f t="shared" si="642"/>
        <v/>
      </c>
      <c r="CG119" s="5" t="str">
        <f t="shared" si="643"/>
        <v/>
      </c>
      <c r="CH119" s="5" t="str">
        <f t="shared" si="644"/>
        <v/>
      </c>
      <c r="CI119" s="4" t="str">
        <f t="shared" si="620"/>
        <v/>
      </c>
      <c r="CJ119" s="5" t="str">
        <f t="shared" si="621"/>
        <v/>
      </c>
      <c r="CK119" s="8" t="str">
        <f t="shared" si="622"/>
        <v/>
      </c>
      <c r="CL119" s="173" t="str">
        <f t="shared" si="623"/>
        <v/>
      </c>
      <c r="CM119" s="5" t="str">
        <f t="shared" si="624"/>
        <v/>
      </c>
      <c r="CN119" s="6" t="str">
        <f t="shared" si="625"/>
        <v/>
      </c>
      <c r="CO119" s="167" t="str">
        <f t="shared" si="757"/>
        <v/>
      </c>
      <c r="CP119" s="4" t="str">
        <f t="shared" si="645"/>
        <v/>
      </c>
      <c r="CQ119" s="5" t="str">
        <f t="shared" si="646"/>
        <v/>
      </c>
      <c r="CR119" s="5" t="str">
        <f t="shared" si="647"/>
        <v/>
      </c>
      <c r="CS119" s="8" t="str">
        <f t="shared" si="648"/>
        <v/>
      </c>
      <c r="CT119" s="9" t="str">
        <f t="shared" si="649"/>
        <v/>
      </c>
      <c r="CU119" s="6" t="str">
        <f t="shared" si="650"/>
        <v/>
      </c>
      <c r="CV119" s="4" t="str">
        <f t="shared" si="651"/>
        <v/>
      </c>
      <c r="CW119" s="5" t="str">
        <f t="shared" si="652"/>
        <v/>
      </c>
      <c r="CX119" s="8" t="str">
        <f t="shared" si="653"/>
        <v/>
      </c>
      <c r="CY119" s="9" t="str">
        <f t="shared" si="654"/>
        <v/>
      </c>
      <c r="CZ119" s="5" t="str">
        <f t="shared" si="655"/>
        <v/>
      </c>
      <c r="DA119" s="6" t="str">
        <f t="shared" si="656"/>
        <v/>
      </c>
      <c r="DB119" s="4" t="str">
        <f t="shared" si="843"/>
        <v/>
      </c>
      <c r="DC119" s="5" t="str">
        <f t="shared" si="843"/>
        <v/>
      </c>
      <c r="DD119" s="10" t="str">
        <f t="shared" si="658"/>
        <v/>
      </c>
      <c r="DE119" s="9" t="str">
        <f t="shared" si="844"/>
        <v/>
      </c>
      <c r="DF119" s="5" t="str">
        <f t="shared" si="844"/>
        <v/>
      </c>
      <c r="DG119" s="10" t="str">
        <f t="shared" si="660"/>
        <v/>
      </c>
      <c r="DH119" s="70" t="str">
        <f t="shared" si="661"/>
        <v/>
      </c>
      <c r="DI119" s="4" t="str">
        <f t="shared" si="662"/>
        <v/>
      </c>
      <c r="DJ119" s="5" t="str">
        <f t="shared" si="663"/>
        <v/>
      </c>
      <c r="DK119" s="10" t="str">
        <f t="shared" si="664"/>
        <v/>
      </c>
      <c r="DL119" s="9" t="str">
        <f t="shared" si="665"/>
        <v/>
      </c>
      <c r="DM119" s="173" t="str">
        <f t="shared" si="666"/>
        <v/>
      </c>
      <c r="DN119" s="178" t="str">
        <f t="shared" si="667"/>
        <v/>
      </c>
      <c r="DO119" s="9" t="str">
        <f t="shared" si="668"/>
        <v/>
      </c>
      <c r="DP119" s="173" t="str">
        <f t="shared" si="669"/>
        <v/>
      </c>
      <c r="DQ119" s="11" t="str">
        <f t="shared" si="670"/>
        <v/>
      </c>
      <c r="DR119" s="173" t="str">
        <f t="shared" si="671"/>
        <v/>
      </c>
      <c r="DS119" s="5" t="str">
        <f t="shared" si="672"/>
        <v/>
      </c>
      <c r="DT119" s="5" t="str">
        <f t="shared" si="673"/>
        <v/>
      </c>
      <c r="DU119" s="5" t="str">
        <f t="shared" si="674"/>
        <v/>
      </c>
      <c r="DV119" s="5" t="str">
        <f t="shared" si="675"/>
        <v/>
      </c>
      <c r="DW119" s="5" t="str">
        <f t="shared" si="676"/>
        <v/>
      </c>
      <c r="DX119" s="167" t="str">
        <f t="shared" si="677"/>
        <v/>
      </c>
      <c r="DY119" s="9" t="str">
        <f t="shared" si="678"/>
        <v/>
      </c>
      <c r="DZ119" s="5" t="str">
        <f t="shared" si="679"/>
        <v/>
      </c>
      <c r="EA119" s="10" t="str">
        <f t="shared" si="680"/>
        <v/>
      </c>
      <c r="EB119" s="6" t="str">
        <f t="shared" si="681"/>
        <v/>
      </c>
      <c r="EC119" s="173" t="str">
        <f t="shared" si="682"/>
        <v/>
      </c>
      <c r="ED119" s="5" t="str">
        <f t="shared" si="683"/>
        <v/>
      </c>
      <c r="EE119" s="4" t="str">
        <f t="shared" si="684"/>
        <v/>
      </c>
      <c r="EF119" s="5" t="str">
        <f t="shared" si="685"/>
        <v/>
      </c>
      <c r="EG119" s="10" t="str">
        <f t="shared" si="686"/>
        <v/>
      </c>
      <c r="EH119" s="9" t="str">
        <f t="shared" si="687"/>
        <v/>
      </c>
      <c r="EI119" s="5" t="str">
        <f t="shared" si="688"/>
        <v/>
      </c>
      <c r="EJ119" s="6" t="str">
        <f t="shared" si="689"/>
        <v/>
      </c>
      <c r="EK119" s="236" t="str">
        <f t="shared" si="690"/>
        <v/>
      </c>
      <c r="EL119" s="238" t="str">
        <f t="shared" si="691"/>
        <v/>
      </c>
      <c r="EM119" s="4" t="str">
        <f t="shared" si="692"/>
        <v/>
      </c>
      <c r="EN119" s="5" t="str">
        <f t="shared" si="693"/>
        <v/>
      </c>
      <c r="EO119" s="10" t="str">
        <f t="shared" si="694"/>
        <v/>
      </c>
      <c r="EP119" s="9" t="str">
        <f t="shared" si="695"/>
        <v/>
      </c>
      <c r="EQ119" s="5" t="str">
        <f t="shared" si="696"/>
        <v/>
      </c>
      <c r="ER119" s="7" t="str">
        <f t="shared" si="697"/>
        <v/>
      </c>
      <c r="ES119" s="21" t="str">
        <f t="shared" si="758"/>
        <v/>
      </c>
      <c r="ET119" s="5" t="str">
        <f t="shared" si="759"/>
        <v/>
      </c>
      <c r="EU119" s="10" t="str">
        <f t="shared" si="760"/>
        <v/>
      </c>
      <c r="EV119" s="174" t="str">
        <f t="shared" si="761"/>
        <v/>
      </c>
      <c r="EW119" s="9" t="str">
        <f t="shared" si="762"/>
        <v/>
      </c>
      <c r="EX119" s="5" t="str">
        <f t="shared" si="763"/>
        <v/>
      </c>
      <c r="EY119" s="6" t="str">
        <f t="shared" si="698"/>
        <v/>
      </c>
      <c r="EZ119" s="51" t="str">
        <f t="shared" si="699"/>
        <v/>
      </c>
      <c r="FA119" s="173" t="str">
        <f t="shared" si="764"/>
        <v/>
      </c>
      <c r="FB119" s="5" t="str">
        <f t="shared" si="765"/>
        <v/>
      </c>
      <c r="FC119" s="6" t="str">
        <f t="shared" si="766"/>
        <v/>
      </c>
      <c r="FD119" s="4" t="str">
        <f t="shared" si="767"/>
        <v/>
      </c>
      <c r="FE119" s="5" t="str">
        <f t="shared" si="768"/>
        <v/>
      </c>
      <c r="FF119" s="7" t="str">
        <f t="shared" si="700"/>
        <v/>
      </c>
      <c r="FG119" s="173" t="str">
        <f t="shared" si="769"/>
        <v/>
      </c>
      <c r="FH119" s="5" t="str">
        <f t="shared" si="770"/>
        <v/>
      </c>
      <c r="FI119" s="10" t="str">
        <f t="shared" si="771"/>
        <v/>
      </c>
      <c r="FJ119" s="279" t="str">
        <f t="shared" si="701"/>
        <v/>
      </c>
      <c r="FK119" s="4" t="str">
        <f t="shared" si="772"/>
        <v/>
      </c>
      <c r="FL119" s="5" t="str">
        <f t="shared" si="626"/>
        <v/>
      </c>
      <c r="FM119" s="8" t="str">
        <f t="shared" si="627"/>
        <v/>
      </c>
      <c r="FN119" s="9" t="str">
        <f t="shared" si="628"/>
        <v/>
      </c>
      <c r="FO119" s="10" t="str">
        <f t="shared" si="773"/>
        <v/>
      </c>
      <c r="FP119" s="277" t="str">
        <f t="shared" si="629"/>
        <v/>
      </c>
      <c r="FQ119" s="173" t="str">
        <f t="shared" si="702"/>
        <v/>
      </c>
      <c r="FR119" s="10" t="str">
        <f t="shared" si="703"/>
        <v/>
      </c>
      <c r="FS119" s="9" t="str">
        <f t="shared" si="704"/>
        <v/>
      </c>
      <c r="FT119" s="6" t="str">
        <f t="shared" si="705"/>
        <v/>
      </c>
      <c r="FU119" s="4" t="str">
        <f t="shared" si="706"/>
        <v/>
      </c>
      <c r="FV119" s="5" t="str">
        <f t="shared" si="707"/>
        <v/>
      </c>
      <c r="FW119" s="8" t="str">
        <f t="shared" si="708"/>
        <v/>
      </c>
      <c r="FX119" s="9" t="str">
        <f t="shared" si="709"/>
        <v/>
      </c>
      <c r="FY119" s="10" t="str">
        <f t="shared" si="774"/>
        <v/>
      </c>
      <c r="FZ119" s="277" t="str">
        <f t="shared" si="710"/>
        <v/>
      </c>
      <c r="GA119" s="177" t="str">
        <f t="shared" si="711"/>
        <v/>
      </c>
      <c r="GB119" s="4" t="str">
        <f t="shared" si="712"/>
        <v/>
      </c>
      <c r="GC119" s="5" t="str">
        <f t="shared" si="713"/>
        <v/>
      </c>
      <c r="GD119" s="10" t="str">
        <f t="shared" si="714"/>
        <v/>
      </c>
      <c r="GE119" s="311" t="str">
        <f t="shared" si="715"/>
        <v/>
      </c>
      <c r="GF119" s="341" t="str">
        <f t="shared" si="716"/>
        <v/>
      </c>
      <c r="GG119" s="285" t="str">
        <f t="shared" si="775"/>
        <v/>
      </c>
      <c r="GH119" s="286" t="str">
        <f t="shared" si="776"/>
        <v/>
      </c>
      <c r="GI119" s="281" t="str">
        <f t="shared" si="777"/>
        <v/>
      </c>
      <c r="GJ119" s="167" t="str">
        <f t="shared" si="717"/>
        <v/>
      </c>
      <c r="GK119" s="174" t="str">
        <f t="shared" si="778"/>
        <v/>
      </c>
      <c r="GL119" s="174" t="str">
        <f t="shared" si="718"/>
        <v/>
      </c>
      <c r="GM119" s="177" t="str">
        <f t="shared" si="719"/>
        <v/>
      </c>
      <c r="GN119" s="280" t="str">
        <f t="shared" si="720"/>
        <v/>
      </c>
      <c r="GO119" s="4" t="str">
        <f t="shared" si="721"/>
        <v/>
      </c>
      <c r="GP119" s="8" t="str">
        <f t="shared" si="722"/>
        <v/>
      </c>
      <c r="GQ119" s="177" t="str">
        <f t="shared" si="723"/>
        <v/>
      </c>
      <c r="GR119" s="371" t="str">
        <f t="shared" si="724"/>
        <v/>
      </c>
      <c r="GS119" s="342" t="str">
        <f t="shared" si="779"/>
        <v/>
      </c>
      <c r="GT119" s="343" t="str">
        <f t="shared" si="780"/>
        <v/>
      </c>
      <c r="GU119" s="344" t="str">
        <f t="shared" si="781"/>
        <v/>
      </c>
      <c r="GV119" s="343" t="str">
        <f t="shared" si="725"/>
        <v/>
      </c>
      <c r="GW119" s="345" t="str">
        <f t="shared" si="782"/>
        <v/>
      </c>
      <c r="GX119" s="346" t="str">
        <f t="shared" si="783"/>
        <v/>
      </c>
      <c r="GY119" s="344" t="str">
        <f t="shared" si="784"/>
        <v/>
      </c>
      <c r="GZ119" s="345" t="str">
        <f t="shared" si="785"/>
        <v/>
      </c>
      <c r="HA119" s="342" t="str">
        <f t="shared" si="786"/>
        <v/>
      </c>
      <c r="HB119" s="5" t="str">
        <f t="shared" si="726"/>
        <v/>
      </c>
      <c r="HC119" s="343" t="str">
        <f t="shared" si="727"/>
        <v/>
      </c>
      <c r="HD119" s="363" t="str">
        <f t="shared" si="728"/>
        <v/>
      </c>
      <c r="HE119" s="344" t="str">
        <f t="shared" si="787"/>
        <v/>
      </c>
      <c r="HF119" s="5" t="str">
        <f t="shared" si="788"/>
        <v/>
      </c>
      <c r="HG119" s="343" t="str">
        <f t="shared" si="729"/>
        <v/>
      </c>
      <c r="HH119" s="349" t="str">
        <f t="shared" si="730"/>
        <v/>
      </c>
      <c r="HI119" s="317" t="str">
        <f t="shared" si="789"/>
        <v/>
      </c>
      <c r="HK119" s="310" t="str">
        <f t="shared" si="840"/>
        <v/>
      </c>
      <c r="HL119" s="348" t="str">
        <f t="shared" si="790"/>
        <v/>
      </c>
      <c r="HM119" s="909" t="str">
        <f t="shared" si="791"/>
        <v/>
      </c>
      <c r="HN119" s="910" t="str">
        <f t="shared" si="792"/>
        <v/>
      </c>
      <c r="HO119" s="911"/>
      <c r="HP119" s="912"/>
      <c r="HQ119" s="910" t="str">
        <f t="shared" si="793"/>
        <v/>
      </c>
      <c r="HR119" s="913" t="str">
        <f t="shared" si="794"/>
        <v/>
      </c>
      <c r="HS119" s="865" t="str">
        <f t="shared" si="841"/>
        <v/>
      </c>
      <c r="HT119" s="875" t="str">
        <f t="shared" si="795"/>
        <v/>
      </c>
      <c r="HU119" s="876" t="str">
        <f t="shared" si="796"/>
        <v/>
      </c>
      <c r="HV119" s="872" t="str">
        <f t="shared" si="797"/>
        <v/>
      </c>
      <c r="HW119" s="866" t="str">
        <f t="shared" si="798"/>
        <v/>
      </c>
      <c r="HX119" s="867" t="str">
        <f t="shared" si="799"/>
        <v/>
      </c>
      <c r="HY119" s="866" t="str">
        <f t="shared" si="800"/>
        <v/>
      </c>
      <c r="HZ119" s="868" t="str">
        <f t="shared" si="801"/>
        <v/>
      </c>
      <c r="IA119" s="869" t="str">
        <f t="shared" si="802"/>
        <v/>
      </c>
      <c r="IB119" s="870" t="str">
        <f t="shared" si="803"/>
        <v/>
      </c>
      <c r="IC119" s="841" t="str">
        <f t="shared" si="804"/>
        <v/>
      </c>
      <c r="ID119" s="351" t="str">
        <f t="shared" si="805"/>
        <v/>
      </c>
      <c r="IE119" s="843" t="str">
        <f t="shared" si="806"/>
        <v/>
      </c>
      <c r="IF119" s="844"/>
      <c r="IG119" s="790" t="str">
        <f>IFERROR(IF($IW119="","",IF($IW119&lt;(((Settings!$C$19/2)*-1)*$IG$8),"Taper","Nose")),"")</f>
        <v/>
      </c>
      <c r="IH119" s="482" t="str">
        <f>IFERROR(IF((((($IY119*COS(RADIANS(180-$JA119)))*COS(RADIANS($JA119)))-(($IZ119*SIN(RADIANS(180-$JA119)))*SIN(RADIANS($JA119))))+$IW119)&lt;(((Settings!$C$19+$IH$8)/2)*-1),"Gage",""),"")</f>
        <v/>
      </c>
      <c r="II119" s="788" t="str">
        <f t="shared" si="731"/>
        <v/>
      </c>
      <c r="IJ119" s="674" t="str" cm="1">
        <f t="array" ref="IJ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K119" s="677" t="str" cm="1">
        <f t="array" ref="IK119">IFERROR(ROUND(VALUE(IF($IJ119&lt;1,$IJ119+LARGE((IF($M$9:$M$150="",0,$M$9:$M$150)-MOD(IF($M$9:$M$150="",0,$M$9:$M$150),1)),1),$IJ119)),4),"")</f>
        <v/>
      </c>
      <c r="IL119" s="482" t="str">
        <f t="shared" si="807"/>
        <v/>
      </c>
      <c r="IM119" s="482" t="str">
        <f t="shared" si="732"/>
        <v/>
      </c>
      <c r="IN119" s="670" t="str">
        <f t="shared" si="808"/>
        <v/>
      </c>
      <c r="IO119" s="702"/>
      <c r="IP119" s="5" t="str">
        <f t="shared" si="809"/>
        <v/>
      </c>
      <c r="IQ119" s="714"/>
      <c r="IR119" s="9" t="str">
        <f t="shared" si="810"/>
        <v/>
      </c>
      <c r="IS119" s="5" t="str">
        <f t="shared" si="811"/>
        <v/>
      </c>
      <c r="IT119" s="5" t="str">
        <f t="shared" si="812"/>
        <v/>
      </c>
      <c r="IU119" s="5" t="str">
        <f t="shared" si="813"/>
        <v/>
      </c>
      <c r="IV119" s="670" t="str">
        <f t="shared" si="814"/>
        <v/>
      </c>
      <c r="IW119" s="9" t="str">
        <f t="shared" si="815"/>
        <v/>
      </c>
      <c r="IX119" s="5" t="str">
        <f t="shared" si="816"/>
        <v/>
      </c>
      <c r="IY119" s="5" t="str">
        <f t="shared" si="817"/>
        <v/>
      </c>
      <c r="IZ119" s="5" t="str">
        <f t="shared" si="818"/>
        <v/>
      </c>
      <c r="JA119" s="705" t="str">
        <f t="shared" si="819"/>
        <v/>
      </c>
    </row>
    <row r="120" spans="1:261" ht="15" customHeight="1" x14ac:dyDescent="0.25">
      <c r="A120" s="75" t="str">
        <f t="shared" si="736"/>
        <v/>
      </c>
      <c r="B120" s="578" t="str">
        <f t="shared" si="845"/>
        <v/>
      </c>
      <c r="C120" s="572" t="str">
        <f t="shared" si="846"/>
        <v/>
      </c>
      <c r="D120" s="576" t="str">
        <f t="shared" si="847"/>
        <v/>
      </c>
      <c r="E120" s="580" t="str">
        <f t="shared" si="848"/>
        <v/>
      </c>
      <c r="F120" s="572" t="str">
        <f t="shared" si="849"/>
        <v/>
      </c>
      <c r="G120" s="579" t="str">
        <f t="shared" si="850"/>
        <v/>
      </c>
      <c r="H120" s="580" t="str">
        <f t="shared" si="851"/>
        <v/>
      </c>
      <c r="I120" s="572" t="str">
        <f t="shared" si="852"/>
        <v/>
      </c>
      <c r="J120" s="483" t="str">
        <f t="shared" si="853"/>
        <v/>
      </c>
      <c r="K120" s="806" t="str">
        <f t="shared" si="854"/>
        <v/>
      </c>
      <c r="L120" s="309"/>
      <c r="M120" s="164" t="str">
        <f t="shared" si="737"/>
        <v/>
      </c>
      <c r="N120" s="575" t="str">
        <f t="shared" si="738"/>
        <v/>
      </c>
      <c r="O120" s="572" t="str">
        <f t="shared" si="739"/>
        <v/>
      </c>
      <c r="P120" s="576" t="str">
        <f t="shared" si="740"/>
        <v/>
      </c>
      <c r="Q120" s="528" t="str">
        <f t="shared" si="609"/>
        <v/>
      </c>
      <c r="R120" s="572" t="str">
        <f t="shared" si="820"/>
        <v/>
      </c>
      <c r="S120" s="577" t="str">
        <f t="shared" si="821"/>
        <v/>
      </c>
      <c r="T120" s="578" t="str">
        <f t="shared" si="822"/>
        <v/>
      </c>
      <c r="U120" s="572" t="str">
        <f t="shared" si="823"/>
        <v/>
      </c>
      <c r="V120" s="579" t="str">
        <f t="shared" si="824"/>
        <v/>
      </c>
      <c r="W120" s="528" t="str">
        <f t="shared" si="735"/>
        <v/>
      </c>
      <c r="X120" s="572" t="str">
        <f t="shared" si="825"/>
        <v/>
      </c>
      <c r="Y120" s="573" t="str">
        <f t="shared" si="733"/>
        <v/>
      </c>
      <c r="Z120" s="575" t="str">
        <f t="shared" si="741"/>
        <v/>
      </c>
      <c r="AA120" s="572" t="str">
        <f t="shared" si="742"/>
        <v/>
      </c>
      <c r="AB120" s="572" t="str">
        <f t="shared" si="743"/>
        <v/>
      </c>
      <c r="AC120" s="579" t="str">
        <f t="shared" si="826"/>
        <v/>
      </c>
      <c r="AD120" s="580" t="str">
        <f t="shared" si="827"/>
        <v/>
      </c>
      <c r="AE120" s="572" t="str">
        <f t="shared" si="828"/>
        <v/>
      </c>
      <c r="AF120" s="576" t="str">
        <f t="shared" si="829"/>
        <v/>
      </c>
      <c r="AG120" s="545" t="str">
        <f t="shared" si="830"/>
        <v/>
      </c>
      <c r="AH120" s="546" t="str">
        <f t="shared" si="831"/>
        <v/>
      </c>
      <c r="AI120" s="528" t="str">
        <f t="shared" si="832"/>
        <v/>
      </c>
      <c r="AJ120" s="529" t="str">
        <f t="shared" si="833"/>
        <v/>
      </c>
      <c r="AK120" s="578" t="str">
        <f t="shared" si="834"/>
        <v/>
      </c>
      <c r="AL120" s="572" t="str">
        <f t="shared" si="835"/>
        <v/>
      </c>
      <c r="AM120" s="577" t="str">
        <f t="shared" si="836"/>
        <v/>
      </c>
      <c r="AN120" s="524" t="str">
        <f t="shared" si="837"/>
        <v/>
      </c>
      <c r="AO120" s="525" t="str">
        <f t="shared" ref="AO120:AO150" si="855">IF(ROUND(IF(M120="",0,DEGREES(ACOS(AK120))),4)=90,0,IF(M120="","",DEGREES(ACOS(AK120))))</f>
        <v/>
      </c>
      <c r="AP120" s="528" t="str">
        <f t="shared" si="838"/>
        <v/>
      </c>
      <c r="AQ120" s="529" t="str">
        <f t="shared" si="744"/>
        <v/>
      </c>
      <c r="AS120" s="932" t="str">
        <f t="shared" si="842"/>
        <v/>
      </c>
      <c r="AT120" s="928" t="str">
        <f t="shared" si="745"/>
        <v/>
      </c>
      <c r="AU120" s="418"/>
      <c r="AV120" s="164" t="str">
        <f t="shared" si="746"/>
        <v/>
      </c>
      <c r="AW120" s="797" t="str">
        <f>IFERROR(INDEX(MassProp!C$9:C$150,MATCH($M120,MassProp!$B$9:$B$150,0)),"")</f>
        <v/>
      </c>
      <c r="AX120" s="744" t="str">
        <f>IFERROR(INDEX(MassProp!D$9:D$150,MATCH($M120,MassProp!$B$9:$B$150,0)),"")</f>
        <v/>
      </c>
      <c r="AY120" s="731" t="str">
        <f>IFERROR(INDEX(MassProp!E$9:E$150,MATCH($M120,MassProp!$B$9:$B$150,0)),"")</f>
        <v/>
      </c>
      <c r="AZ120" s="297" t="str">
        <f t="shared" si="633"/>
        <v/>
      </c>
      <c r="BA120" s="296" t="str">
        <f t="shared" si="747"/>
        <v/>
      </c>
      <c r="BB120" s="177" t="str">
        <f t="shared" si="610"/>
        <v/>
      </c>
      <c r="BC120" s="9"/>
      <c r="BD120" s="5" t="str">
        <f t="shared" si="611"/>
        <v/>
      </c>
      <c r="BE120" s="6" t="str">
        <f t="shared" si="748"/>
        <v/>
      </c>
      <c r="BF120" s="4" t="str">
        <f t="shared" si="749"/>
        <v/>
      </c>
      <c r="BG120" s="5" t="str">
        <f t="shared" si="750"/>
        <v/>
      </c>
      <c r="BH120" s="10" t="str">
        <f t="shared" si="751"/>
        <v/>
      </c>
      <c r="BI120" s="9" t="str">
        <f t="shared" si="634"/>
        <v/>
      </c>
      <c r="BJ120" s="5" t="str">
        <f t="shared" si="752"/>
        <v/>
      </c>
      <c r="BK120" s="8" t="str">
        <f t="shared" si="753"/>
        <v/>
      </c>
      <c r="BL120" s="173" t="str">
        <f t="shared" si="754"/>
        <v/>
      </c>
      <c r="BM120" s="5" t="str">
        <f t="shared" si="755"/>
        <v/>
      </c>
      <c r="BN120" s="6" t="str">
        <f t="shared" si="756"/>
        <v/>
      </c>
      <c r="BO120" s="4" t="str">
        <f t="shared" si="635"/>
        <v/>
      </c>
      <c r="BP120" s="5" t="str">
        <f t="shared" si="734"/>
        <v/>
      </c>
      <c r="BQ120" s="5" t="str">
        <f t="shared" si="636"/>
        <v/>
      </c>
      <c r="BR120" s="6" t="str">
        <f t="shared" si="637"/>
        <v/>
      </c>
      <c r="BS120" s="4" t="str">
        <f t="shared" si="839"/>
        <v/>
      </c>
      <c r="BT120" s="5" t="str">
        <f t="shared" si="839"/>
        <v/>
      </c>
      <c r="BU120" s="10" t="str">
        <f t="shared" si="613"/>
        <v/>
      </c>
      <c r="BV120" s="9" t="str">
        <f t="shared" si="614"/>
        <v/>
      </c>
      <c r="BW120" s="5" t="str">
        <f t="shared" si="615"/>
        <v/>
      </c>
      <c r="BX120" s="8" t="str">
        <f t="shared" si="616"/>
        <v/>
      </c>
      <c r="BY120" s="173" t="str">
        <f t="shared" si="617"/>
        <v/>
      </c>
      <c r="BZ120" s="5" t="str">
        <f t="shared" si="618"/>
        <v/>
      </c>
      <c r="CA120" s="6" t="str">
        <f t="shared" si="619"/>
        <v/>
      </c>
      <c r="CB120" s="4" t="str">
        <f t="shared" si="638"/>
        <v/>
      </c>
      <c r="CC120" s="5" t="str">
        <f t="shared" si="639"/>
        <v/>
      </c>
      <c r="CD120" s="5" t="str">
        <f t="shared" si="640"/>
        <v/>
      </c>
      <c r="CE120" s="6" t="str">
        <f t="shared" si="641"/>
        <v/>
      </c>
      <c r="CF120" s="4" t="str">
        <f t="shared" si="642"/>
        <v/>
      </c>
      <c r="CG120" s="5" t="str">
        <f t="shared" si="643"/>
        <v/>
      </c>
      <c r="CH120" s="5" t="str">
        <f t="shared" si="644"/>
        <v/>
      </c>
      <c r="CI120" s="4" t="str">
        <f t="shared" si="620"/>
        <v/>
      </c>
      <c r="CJ120" s="5" t="str">
        <f t="shared" si="621"/>
        <v/>
      </c>
      <c r="CK120" s="8" t="str">
        <f t="shared" si="622"/>
        <v/>
      </c>
      <c r="CL120" s="173" t="str">
        <f t="shared" si="623"/>
        <v/>
      </c>
      <c r="CM120" s="5" t="str">
        <f t="shared" si="624"/>
        <v/>
      </c>
      <c r="CN120" s="6" t="str">
        <f t="shared" si="625"/>
        <v/>
      </c>
      <c r="CO120" s="167" t="str">
        <f t="shared" si="757"/>
        <v/>
      </c>
      <c r="CP120" s="4" t="str">
        <f t="shared" si="645"/>
        <v/>
      </c>
      <c r="CQ120" s="5" t="str">
        <f t="shared" si="646"/>
        <v/>
      </c>
      <c r="CR120" s="5" t="str">
        <f t="shared" si="647"/>
        <v/>
      </c>
      <c r="CS120" s="8" t="str">
        <f t="shared" si="648"/>
        <v/>
      </c>
      <c r="CT120" s="9" t="str">
        <f t="shared" si="649"/>
        <v/>
      </c>
      <c r="CU120" s="6" t="str">
        <f t="shared" si="650"/>
        <v/>
      </c>
      <c r="CV120" s="4" t="str">
        <f t="shared" si="651"/>
        <v/>
      </c>
      <c r="CW120" s="5" t="str">
        <f t="shared" si="652"/>
        <v/>
      </c>
      <c r="CX120" s="8" t="str">
        <f t="shared" si="653"/>
        <v/>
      </c>
      <c r="CY120" s="9" t="str">
        <f t="shared" si="654"/>
        <v/>
      </c>
      <c r="CZ120" s="5" t="str">
        <f t="shared" si="655"/>
        <v/>
      </c>
      <c r="DA120" s="6" t="str">
        <f t="shared" si="656"/>
        <v/>
      </c>
      <c r="DB120" s="4" t="str">
        <f t="shared" si="843"/>
        <v/>
      </c>
      <c r="DC120" s="5" t="str">
        <f t="shared" si="843"/>
        <v/>
      </c>
      <c r="DD120" s="10" t="str">
        <f t="shared" si="658"/>
        <v/>
      </c>
      <c r="DE120" s="9" t="str">
        <f t="shared" si="844"/>
        <v/>
      </c>
      <c r="DF120" s="5" t="str">
        <f t="shared" si="844"/>
        <v/>
      </c>
      <c r="DG120" s="10" t="str">
        <f t="shared" si="660"/>
        <v/>
      </c>
      <c r="DH120" s="70" t="str">
        <f t="shared" si="661"/>
        <v/>
      </c>
      <c r="DI120" s="4" t="str">
        <f t="shared" si="662"/>
        <v/>
      </c>
      <c r="DJ120" s="5" t="str">
        <f t="shared" si="663"/>
        <v/>
      </c>
      <c r="DK120" s="10" t="str">
        <f t="shared" si="664"/>
        <v/>
      </c>
      <c r="DL120" s="9" t="str">
        <f t="shared" si="665"/>
        <v/>
      </c>
      <c r="DM120" s="173" t="str">
        <f t="shared" si="666"/>
        <v/>
      </c>
      <c r="DN120" s="178" t="str">
        <f t="shared" si="667"/>
        <v/>
      </c>
      <c r="DO120" s="9" t="str">
        <f t="shared" si="668"/>
        <v/>
      </c>
      <c r="DP120" s="173" t="str">
        <f t="shared" si="669"/>
        <v/>
      </c>
      <c r="DQ120" s="11" t="str">
        <f t="shared" si="670"/>
        <v/>
      </c>
      <c r="DR120" s="173" t="str">
        <f t="shared" si="671"/>
        <v/>
      </c>
      <c r="DS120" s="5" t="str">
        <f t="shared" si="672"/>
        <v/>
      </c>
      <c r="DT120" s="5" t="str">
        <f t="shared" si="673"/>
        <v/>
      </c>
      <c r="DU120" s="5" t="str">
        <f t="shared" si="674"/>
        <v/>
      </c>
      <c r="DV120" s="5" t="str">
        <f t="shared" si="675"/>
        <v/>
      </c>
      <c r="DW120" s="5" t="str">
        <f t="shared" si="676"/>
        <v/>
      </c>
      <c r="DX120" s="167" t="str">
        <f t="shared" si="677"/>
        <v/>
      </c>
      <c r="DY120" s="9" t="str">
        <f t="shared" si="678"/>
        <v/>
      </c>
      <c r="DZ120" s="5" t="str">
        <f t="shared" si="679"/>
        <v/>
      </c>
      <c r="EA120" s="10" t="str">
        <f t="shared" si="680"/>
        <v/>
      </c>
      <c r="EB120" s="6" t="str">
        <f t="shared" si="681"/>
        <v/>
      </c>
      <c r="EC120" s="173" t="str">
        <f t="shared" si="682"/>
        <v/>
      </c>
      <c r="ED120" s="5" t="str">
        <f t="shared" si="683"/>
        <v/>
      </c>
      <c r="EE120" s="4" t="str">
        <f t="shared" si="684"/>
        <v/>
      </c>
      <c r="EF120" s="5" t="str">
        <f t="shared" si="685"/>
        <v/>
      </c>
      <c r="EG120" s="10" t="str">
        <f t="shared" si="686"/>
        <v/>
      </c>
      <c r="EH120" s="9" t="str">
        <f t="shared" si="687"/>
        <v/>
      </c>
      <c r="EI120" s="5" t="str">
        <f t="shared" si="688"/>
        <v/>
      </c>
      <c r="EJ120" s="6" t="str">
        <f t="shared" si="689"/>
        <v/>
      </c>
      <c r="EK120" s="236" t="str">
        <f t="shared" si="690"/>
        <v/>
      </c>
      <c r="EL120" s="238" t="str">
        <f t="shared" si="691"/>
        <v/>
      </c>
      <c r="EM120" s="4" t="str">
        <f t="shared" si="692"/>
        <v/>
      </c>
      <c r="EN120" s="5" t="str">
        <f t="shared" si="693"/>
        <v/>
      </c>
      <c r="EO120" s="10" t="str">
        <f t="shared" si="694"/>
        <v/>
      </c>
      <c r="EP120" s="9" t="str">
        <f t="shared" si="695"/>
        <v/>
      </c>
      <c r="EQ120" s="5" t="str">
        <f t="shared" si="696"/>
        <v/>
      </c>
      <c r="ER120" s="7" t="str">
        <f t="shared" si="697"/>
        <v/>
      </c>
      <c r="ES120" s="21" t="str">
        <f t="shared" si="758"/>
        <v/>
      </c>
      <c r="ET120" s="5" t="str">
        <f t="shared" si="759"/>
        <v/>
      </c>
      <c r="EU120" s="10" t="str">
        <f t="shared" si="760"/>
        <v/>
      </c>
      <c r="EV120" s="174" t="str">
        <f t="shared" si="761"/>
        <v/>
      </c>
      <c r="EW120" s="9" t="str">
        <f t="shared" si="762"/>
        <v/>
      </c>
      <c r="EX120" s="5" t="str">
        <f t="shared" si="763"/>
        <v/>
      </c>
      <c r="EY120" s="6" t="str">
        <f t="shared" si="698"/>
        <v/>
      </c>
      <c r="EZ120" s="51" t="str">
        <f t="shared" si="699"/>
        <v/>
      </c>
      <c r="FA120" s="173" t="str">
        <f t="shared" si="764"/>
        <v/>
      </c>
      <c r="FB120" s="5" t="str">
        <f t="shared" si="765"/>
        <v/>
      </c>
      <c r="FC120" s="6" t="str">
        <f t="shared" si="766"/>
        <v/>
      </c>
      <c r="FD120" s="4" t="str">
        <f t="shared" si="767"/>
        <v/>
      </c>
      <c r="FE120" s="5" t="str">
        <f t="shared" si="768"/>
        <v/>
      </c>
      <c r="FF120" s="7" t="str">
        <f t="shared" si="700"/>
        <v/>
      </c>
      <c r="FG120" s="173" t="str">
        <f t="shared" si="769"/>
        <v/>
      </c>
      <c r="FH120" s="5" t="str">
        <f t="shared" si="770"/>
        <v/>
      </c>
      <c r="FI120" s="10" t="str">
        <f t="shared" si="771"/>
        <v/>
      </c>
      <c r="FJ120" s="279" t="str">
        <f t="shared" si="701"/>
        <v/>
      </c>
      <c r="FK120" s="4" t="str">
        <f t="shared" si="772"/>
        <v/>
      </c>
      <c r="FL120" s="5" t="str">
        <f t="shared" si="626"/>
        <v/>
      </c>
      <c r="FM120" s="8" t="str">
        <f t="shared" si="627"/>
        <v/>
      </c>
      <c r="FN120" s="9" t="str">
        <f t="shared" si="628"/>
        <v/>
      </c>
      <c r="FO120" s="10" t="str">
        <f t="shared" si="773"/>
        <v/>
      </c>
      <c r="FP120" s="277" t="str">
        <f t="shared" si="629"/>
        <v/>
      </c>
      <c r="FQ120" s="173" t="str">
        <f t="shared" si="702"/>
        <v/>
      </c>
      <c r="FR120" s="10" t="str">
        <f t="shared" si="703"/>
        <v/>
      </c>
      <c r="FS120" s="9" t="str">
        <f t="shared" si="704"/>
        <v/>
      </c>
      <c r="FT120" s="6" t="str">
        <f t="shared" si="705"/>
        <v/>
      </c>
      <c r="FU120" s="4" t="str">
        <f t="shared" si="706"/>
        <v/>
      </c>
      <c r="FV120" s="5" t="str">
        <f t="shared" si="707"/>
        <v/>
      </c>
      <c r="FW120" s="8" t="str">
        <f t="shared" si="708"/>
        <v/>
      </c>
      <c r="FX120" s="9" t="str">
        <f t="shared" si="709"/>
        <v/>
      </c>
      <c r="FY120" s="10" t="str">
        <f t="shared" si="774"/>
        <v/>
      </c>
      <c r="FZ120" s="277" t="str">
        <f t="shared" si="710"/>
        <v/>
      </c>
      <c r="GA120" s="177" t="str">
        <f t="shared" si="711"/>
        <v/>
      </c>
      <c r="GB120" s="4" t="str">
        <f t="shared" si="712"/>
        <v/>
      </c>
      <c r="GC120" s="5" t="str">
        <f t="shared" si="713"/>
        <v/>
      </c>
      <c r="GD120" s="10" t="str">
        <f t="shared" si="714"/>
        <v/>
      </c>
      <c r="GE120" s="311" t="str">
        <f t="shared" si="715"/>
        <v/>
      </c>
      <c r="GF120" s="341" t="str">
        <f t="shared" si="716"/>
        <v/>
      </c>
      <c r="GG120" s="285" t="str">
        <f t="shared" si="775"/>
        <v/>
      </c>
      <c r="GH120" s="286" t="str">
        <f t="shared" si="776"/>
        <v/>
      </c>
      <c r="GI120" s="281" t="str">
        <f t="shared" si="777"/>
        <v/>
      </c>
      <c r="GJ120" s="167" t="str">
        <f t="shared" si="717"/>
        <v/>
      </c>
      <c r="GK120" s="174" t="str">
        <f t="shared" si="778"/>
        <v/>
      </c>
      <c r="GL120" s="174" t="str">
        <f t="shared" si="718"/>
        <v/>
      </c>
      <c r="GM120" s="177" t="str">
        <f t="shared" si="719"/>
        <v/>
      </c>
      <c r="GN120" s="280" t="str">
        <f t="shared" si="720"/>
        <v/>
      </c>
      <c r="GO120" s="4" t="str">
        <f t="shared" si="721"/>
        <v/>
      </c>
      <c r="GP120" s="8" t="str">
        <f t="shared" si="722"/>
        <v/>
      </c>
      <c r="GQ120" s="177" t="str">
        <f t="shared" si="723"/>
        <v/>
      </c>
      <c r="GR120" s="371" t="str">
        <f t="shared" si="724"/>
        <v/>
      </c>
      <c r="GS120" s="342" t="str">
        <f t="shared" si="779"/>
        <v/>
      </c>
      <c r="GT120" s="343" t="str">
        <f t="shared" si="780"/>
        <v/>
      </c>
      <c r="GU120" s="344" t="str">
        <f t="shared" si="781"/>
        <v/>
      </c>
      <c r="GV120" s="343" t="str">
        <f t="shared" si="725"/>
        <v/>
      </c>
      <c r="GW120" s="345" t="str">
        <f t="shared" si="782"/>
        <v/>
      </c>
      <c r="GX120" s="346" t="str">
        <f t="shared" si="783"/>
        <v/>
      </c>
      <c r="GY120" s="344" t="str">
        <f t="shared" si="784"/>
        <v/>
      </c>
      <c r="GZ120" s="345" t="str">
        <f t="shared" si="785"/>
        <v/>
      </c>
      <c r="HA120" s="342" t="str">
        <f t="shared" si="786"/>
        <v/>
      </c>
      <c r="HB120" s="5" t="str">
        <f t="shared" si="726"/>
        <v/>
      </c>
      <c r="HC120" s="343" t="str">
        <f t="shared" si="727"/>
        <v/>
      </c>
      <c r="HD120" s="363" t="str">
        <f t="shared" si="728"/>
        <v/>
      </c>
      <c r="HE120" s="344" t="str">
        <f t="shared" si="787"/>
        <v/>
      </c>
      <c r="HF120" s="5" t="str">
        <f t="shared" si="788"/>
        <v/>
      </c>
      <c r="HG120" s="343" t="str">
        <f t="shared" si="729"/>
        <v/>
      </c>
      <c r="HH120" s="349" t="str">
        <f t="shared" si="730"/>
        <v/>
      </c>
      <c r="HI120" s="317" t="str">
        <f t="shared" si="789"/>
        <v/>
      </c>
      <c r="HK120" s="310" t="str">
        <f t="shared" si="840"/>
        <v/>
      </c>
      <c r="HL120" s="348" t="str">
        <f t="shared" si="790"/>
        <v/>
      </c>
      <c r="HM120" s="909" t="str">
        <f t="shared" si="791"/>
        <v/>
      </c>
      <c r="HN120" s="910" t="str">
        <f t="shared" si="792"/>
        <v/>
      </c>
      <c r="HO120" s="911"/>
      <c r="HP120" s="912"/>
      <c r="HQ120" s="910" t="str">
        <f t="shared" si="793"/>
        <v/>
      </c>
      <c r="HR120" s="913" t="str">
        <f t="shared" si="794"/>
        <v/>
      </c>
      <c r="HS120" s="865" t="str">
        <f t="shared" si="841"/>
        <v/>
      </c>
      <c r="HT120" s="875" t="str">
        <f t="shared" si="795"/>
        <v/>
      </c>
      <c r="HU120" s="876" t="str">
        <f t="shared" si="796"/>
        <v/>
      </c>
      <c r="HV120" s="872" t="str">
        <f t="shared" si="797"/>
        <v/>
      </c>
      <c r="HW120" s="866" t="str">
        <f t="shared" si="798"/>
        <v/>
      </c>
      <c r="HX120" s="867" t="str">
        <f t="shared" si="799"/>
        <v/>
      </c>
      <c r="HY120" s="866" t="str">
        <f t="shared" si="800"/>
        <v/>
      </c>
      <c r="HZ120" s="868" t="str">
        <f t="shared" si="801"/>
        <v/>
      </c>
      <c r="IA120" s="869" t="str">
        <f t="shared" si="802"/>
        <v/>
      </c>
      <c r="IB120" s="870" t="str">
        <f t="shared" si="803"/>
        <v/>
      </c>
      <c r="IC120" s="841" t="str">
        <f t="shared" si="804"/>
        <v/>
      </c>
      <c r="ID120" s="351" t="str">
        <f t="shared" si="805"/>
        <v/>
      </c>
      <c r="IE120" s="843" t="str">
        <f t="shared" si="806"/>
        <v/>
      </c>
      <c r="IF120" s="844"/>
      <c r="IG120" s="790" t="str">
        <f>IFERROR(IF($IW120="","",IF($IW120&lt;(((Settings!$C$19/2)*-1)*$IG$8),"Taper","Nose")),"")</f>
        <v/>
      </c>
      <c r="IH120" s="482" t="str">
        <f>IFERROR(IF((((($IY120*COS(RADIANS(180-$JA120)))*COS(RADIANS($JA120)))-(($IZ120*SIN(RADIANS(180-$JA120)))*SIN(RADIANS($JA120))))+$IW120)&lt;(((Settings!$C$19+$IH$8)/2)*-1),"Gage",""),"")</f>
        <v/>
      </c>
      <c r="II120" s="788" t="str">
        <f t="shared" si="731"/>
        <v/>
      </c>
      <c r="IJ120" s="674" t="str" cm="1">
        <f t="array" ref="IJ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K120" s="677" t="str" cm="1">
        <f t="array" ref="IK120">IFERROR(ROUND(VALUE(IF($IJ120&lt;1,$IJ120+LARGE((IF($M$9:$M$150="",0,$M$9:$M$150)-MOD(IF($M$9:$M$150="",0,$M$9:$M$150),1)),1),$IJ120)),4),"")</f>
        <v/>
      </c>
      <c r="IL120" s="482" t="str">
        <f t="shared" si="807"/>
        <v/>
      </c>
      <c r="IM120" s="482" t="str">
        <f t="shared" si="732"/>
        <v/>
      </c>
      <c r="IN120" s="670" t="str">
        <f t="shared" si="808"/>
        <v/>
      </c>
      <c r="IO120" s="702"/>
      <c r="IP120" s="5" t="str">
        <f t="shared" si="809"/>
        <v/>
      </c>
      <c r="IQ120" s="714"/>
      <c r="IR120" s="9" t="str">
        <f t="shared" si="810"/>
        <v/>
      </c>
      <c r="IS120" s="5" t="str">
        <f t="shared" si="811"/>
        <v/>
      </c>
      <c r="IT120" s="5" t="str">
        <f t="shared" si="812"/>
        <v/>
      </c>
      <c r="IU120" s="5" t="str">
        <f t="shared" si="813"/>
        <v/>
      </c>
      <c r="IV120" s="670" t="str">
        <f t="shared" si="814"/>
        <v/>
      </c>
      <c r="IW120" s="9" t="str">
        <f t="shared" si="815"/>
        <v/>
      </c>
      <c r="IX120" s="5" t="str">
        <f t="shared" si="816"/>
        <v/>
      </c>
      <c r="IY120" s="5" t="str">
        <f t="shared" si="817"/>
        <v/>
      </c>
      <c r="IZ120" s="5" t="str">
        <f t="shared" si="818"/>
        <v/>
      </c>
      <c r="JA120" s="705" t="str">
        <f t="shared" si="819"/>
        <v/>
      </c>
    </row>
    <row r="121" spans="1:261" ht="15" customHeight="1" x14ac:dyDescent="0.25">
      <c r="A121" s="75" t="str">
        <f t="shared" si="736"/>
        <v/>
      </c>
      <c r="B121" s="578" t="str">
        <f t="shared" si="845"/>
        <v/>
      </c>
      <c r="C121" s="572" t="str">
        <f t="shared" si="846"/>
        <v/>
      </c>
      <c r="D121" s="576" t="str">
        <f t="shared" si="847"/>
        <v/>
      </c>
      <c r="E121" s="580" t="str">
        <f t="shared" si="848"/>
        <v/>
      </c>
      <c r="F121" s="572" t="str">
        <f t="shared" si="849"/>
        <v/>
      </c>
      <c r="G121" s="579" t="str">
        <f t="shared" si="850"/>
        <v/>
      </c>
      <c r="H121" s="580" t="str">
        <f t="shared" si="851"/>
        <v/>
      </c>
      <c r="I121" s="572" t="str">
        <f t="shared" si="852"/>
        <v/>
      </c>
      <c r="J121" s="483" t="str">
        <f t="shared" si="853"/>
        <v/>
      </c>
      <c r="K121" s="806" t="str">
        <f t="shared" si="854"/>
        <v/>
      </c>
      <c r="L121" s="309"/>
      <c r="M121" s="164" t="str">
        <f t="shared" si="737"/>
        <v/>
      </c>
      <c r="N121" s="575" t="str">
        <f t="shared" si="738"/>
        <v/>
      </c>
      <c r="O121" s="572" t="str">
        <f t="shared" si="739"/>
        <v/>
      </c>
      <c r="P121" s="576" t="str">
        <f t="shared" si="740"/>
        <v/>
      </c>
      <c r="Q121" s="528" t="str">
        <f t="shared" si="609"/>
        <v/>
      </c>
      <c r="R121" s="572" t="str">
        <f t="shared" si="820"/>
        <v/>
      </c>
      <c r="S121" s="577" t="str">
        <f t="shared" si="821"/>
        <v/>
      </c>
      <c r="T121" s="578" t="str">
        <f t="shared" si="822"/>
        <v/>
      </c>
      <c r="U121" s="572" t="str">
        <f t="shared" si="823"/>
        <v/>
      </c>
      <c r="V121" s="579" t="str">
        <f t="shared" si="824"/>
        <v/>
      </c>
      <c r="W121" s="528" t="str">
        <f t="shared" si="735"/>
        <v/>
      </c>
      <c r="X121" s="572" t="str">
        <f t="shared" si="825"/>
        <v/>
      </c>
      <c r="Y121" s="573" t="str">
        <f t="shared" si="733"/>
        <v/>
      </c>
      <c r="Z121" s="575" t="str">
        <f t="shared" si="741"/>
        <v/>
      </c>
      <c r="AA121" s="572" t="str">
        <f t="shared" si="742"/>
        <v/>
      </c>
      <c r="AB121" s="572" t="str">
        <f t="shared" si="743"/>
        <v/>
      </c>
      <c r="AC121" s="579" t="str">
        <f t="shared" si="826"/>
        <v/>
      </c>
      <c r="AD121" s="580" t="str">
        <f t="shared" si="827"/>
        <v/>
      </c>
      <c r="AE121" s="572" t="str">
        <f t="shared" si="828"/>
        <v/>
      </c>
      <c r="AF121" s="576" t="str">
        <f t="shared" si="829"/>
        <v/>
      </c>
      <c r="AG121" s="545" t="str">
        <f t="shared" si="830"/>
        <v/>
      </c>
      <c r="AH121" s="546" t="str">
        <f t="shared" si="831"/>
        <v/>
      </c>
      <c r="AI121" s="528" t="str">
        <f t="shared" si="832"/>
        <v/>
      </c>
      <c r="AJ121" s="529" t="str">
        <f t="shared" si="833"/>
        <v/>
      </c>
      <c r="AK121" s="578" t="str">
        <f t="shared" si="834"/>
        <v/>
      </c>
      <c r="AL121" s="572" t="str">
        <f t="shared" si="835"/>
        <v/>
      </c>
      <c r="AM121" s="577" t="str">
        <f t="shared" si="836"/>
        <v/>
      </c>
      <c r="AN121" s="524" t="str">
        <f t="shared" si="837"/>
        <v/>
      </c>
      <c r="AO121" s="525" t="str">
        <f t="shared" si="855"/>
        <v/>
      </c>
      <c r="AP121" s="528" t="str">
        <f t="shared" si="838"/>
        <v/>
      </c>
      <c r="AQ121" s="529" t="str">
        <f t="shared" si="744"/>
        <v/>
      </c>
      <c r="AS121" s="932" t="str">
        <f t="shared" si="842"/>
        <v/>
      </c>
      <c r="AT121" s="928" t="str">
        <f t="shared" si="745"/>
        <v/>
      </c>
      <c r="AU121" s="418"/>
      <c r="AV121" s="164" t="str">
        <f t="shared" si="746"/>
        <v/>
      </c>
      <c r="AW121" s="797" t="str">
        <f>IFERROR(INDEX(MassProp!C$9:C$150,MATCH($M121,MassProp!$B$9:$B$150,0)),"")</f>
        <v/>
      </c>
      <c r="AX121" s="744" t="str">
        <f>IFERROR(INDEX(MassProp!D$9:D$150,MATCH($M121,MassProp!$B$9:$B$150,0)),"")</f>
        <v/>
      </c>
      <c r="AY121" s="731" t="str">
        <f>IFERROR(INDEX(MassProp!E$9:E$150,MATCH($M121,MassProp!$B$9:$B$150,0)),"")</f>
        <v/>
      </c>
      <c r="AZ121" s="297" t="str">
        <f t="shared" si="633"/>
        <v/>
      </c>
      <c r="BA121" s="296" t="str">
        <f t="shared" si="747"/>
        <v/>
      </c>
      <c r="BB121" s="177" t="str">
        <f t="shared" si="610"/>
        <v/>
      </c>
      <c r="BC121" s="9"/>
      <c r="BD121" s="5" t="str">
        <f t="shared" si="611"/>
        <v/>
      </c>
      <c r="BE121" s="6" t="str">
        <f t="shared" si="748"/>
        <v/>
      </c>
      <c r="BF121" s="4" t="str">
        <f t="shared" si="749"/>
        <v/>
      </c>
      <c r="BG121" s="5" t="str">
        <f t="shared" si="750"/>
        <v/>
      </c>
      <c r="BH121" s="10" t="str">
        <f t="shared" si="751"/>
        <v/>
      </c>
      <c r="BI121" s="9" t="str">
        <f t="shared" si="634"/>
        <v/>
      </c>
      <c r="BJ121" s="5" t="str">
        <f t="shared" si="752"/>
        <v/>
      </c>
      <c r="BK121" s="8" t="str">
        <f t="shared" si="753"/>
        <v/>
      </c>
      <c r="BL121" s="173" t="str">
        <f t="shared" si="754"/>
        <v/>
      </c>
      <c r="BM121" s="5" t="str">
        <f t="shared" si="755"/>
        <v/>
      </c>
      <c r="BN121" s="6" t="str">
        <f t="shared" si="756"/>
        <v/>
      </c>
      <c r="BO121" s="4" t="str">
        <f t="shared" si="635"/>
        <v/>
      </c>
      <c r="BP121" s="5" t="str">
        <f t="shared" si="734"/>
        <v/>
      </c>
      <c r="BQ121" s="5" t="str">
        <f t="shared" si="636"/>
        <v/>
      </c>
      <c r="BR121" s="6" t="str">
        <f t="shared" si="637"/>
        <v/>
      </c>
      <c r="BS121" s="4" t="str">
        <f t="shared" si="839"/>
        <v/>
      </c>
      <c r="BT121" s="5" t="str">
        <f t="shared" si="839"/>
        <v/>
      </c>
      <c r="BU121" s="10" t="str">
        <f t="shared" si="613"/>
        <v/>
      </c>
      <c r="BV121" s="9" t="str">
        <f t="shared" si="614"/>
        <v/>
      </c>
      <c r="BW121" s="5" t="str">
        <f t="shared" si="615"/>
        <v/>
      </c>
      <c r="BX121" s="8" t="str">
        <f t="shared" si="616"/>
        <v/>
      </c>
      <c r="BY121" s="173" t="str">
        <f t="shared" si="617"/>
        <v/>
      </c>
      <c r="BZ121" s="5" t="str">
        <f t="shared" si="618"/>
        <v/>
      </c>
      <c r="CA121" s="6" t="str">
        <f t="shared" si="619"/>
        <v/>
      </c>
      <c r="CB121" s="4" t="str">
        <f t="shared" si="638"/>
        <v/>
      </c>
      <c r="CC121" s="5" t="str">
        <f t="shared" si="639"/>
        <v/>
      </c>
      <c r="CD121" s="5" t="str">
        <f t="shared" si="640"/>
        <v/>
      </c>
      <c r="CE121" s="6" t="str">
        <f t="shared" si="641"/>
        <v/>
      </c>
      <c r="CF121" s="4" t="str">
        <f t="shared" si="642"/>
        <v/>
      </c>
      <c r="CG121" s="5" t="str">
        <f t="shared" si="643"/>
        <v/>
      </c>
      <c r="CH121" s="5" t="str">
        <f t="shared" si="644"/>
        <v/>
      </c>
      <c r="CI121" s="4" t="str">
        <f t="shared" si="620"/>
        <v/>
      </c>
      <c r="CJ121" s="5" t="str">
        <f t="shared" si="621"/>
        <v/>
      </c>
      <c r="CK121" s="8" t="str">
        <f t="shared" si="622"/>
        <v/>
      </c>
      <c r="CL121" s="173" t="str">
        <f t="shared" si="623"/>
        <v/>
      </c>
      <c r="CM121" s="5" t="str">
        <f t="shared" si="624"/>
        <v/>
      </c>
      <c r="CN121" s="6" t="str">
        <f t="shared" si="625"/>
        <v/>
      </c>
      <c r="CO121" s="167" t="str">
        <f t="shared" si="757"/>
        <v/>
      </c>
      <c r="CP121" s="4" t="str">
        <f t="shared" si="645"/>
        <v/>
      </c>
      <c r="CQ121" s="5" t="str">
        <f t="shared" si="646"/>
        <v/>
      </c>
      <c r="CR121" s="5" t="str">
        <f t="shared" si="647"/>
        <v/>
      </c>
      <c r="CS121" s="8" t="str">
        <f t="shared" si="648"/>
        <v/>
      </c>
      <c r="CT121" s="9" t="str">
        <f t="shared" si="649"/>
        <v/>
      </c>
      <c r="CU121" s="6" t="str">
        <f t="shared" si="650"/>
        <v/>
      </c>
      <c r="CV121" s="4" t="str">
        <f t="shared" si="651"/>
        <v/>
      </c>
      <c r="CW121" s="5" t="str">
        <f t="shared" si="652"/>
        <v/>
      </c>
      <c r="CX121" s="8" t="str">
        <f t="shared" si="653"/>
        <v/>
      </c>
      <c r="CY121" s="9" t="str">
        <f t="shared" si="654"/>
        <v/>
      </c>
      <c r="CZ121" s="5" t="str">
        <f t="shared" si="655"/>
        <v/>
      </c>
      <c r="DA121" s="6" t="str">
        <f t="shared" si="656"/>
        <v/>
      </c>
      <c r="DB121" s="4" t="str">
        <f t="shared" si="843"/>
        <v/>
      </c>
      <c r="DC121" s="5" t="str">
        <f t="shared" si="843"/>
        <v/>
      </c>
      <c r="DD121" s="10" t="str">
        <f t="shared" si="658"/>
        <v/>
      </c>
      <c r="DE121" s="9" t="str">
        <f t="shared" si="844"/>
        <v/>
      </c>
      <c r="DF121" s="5" t="str">
        <f t="shared" si="844"/>
        <v/>
      </c>
      <c r="DG121" s="10" t="str">
        <f t="shared" si="660"/>
        <v/>
      </c>
      <c r="DH121" s="70" t="str">
        <f t="shared" si="661"/>
        <v/>
      </c>
      <c r="DI121" s="4" t="str">
        <f t="shared" si="662"/>
        <v/>
      </c>
      <c r="DJ121" s="5" t="str">
        <f t="shared" si="663"/>
        <v/>
      </c>
      <c r="DK121" s="10" t="str">
        <f t="shared" si="664"/>
        <v/>
      </c>
      <c r="DL121" s="9" t="str">
        <f t="shared" si="665"/>
        <v/>
      </c>
      <c r="DM121" s="173" t="str">
        <f t="shared" si="666"/>
        <v/>
      </c>
      <c r="DN121" s="178" t="str">
        <f t="shared" si="667"/>
        <v/>
      </c>
      <c r="DO121" s="9" t="str">
        <f t="shared" si="668"/>
        <v/>
      </c>
      <c r="DP121" s="173" t="str">
        <f t="shared" si="669"/>
        <v/>
      </c>
      <c r="DQ121" s="11" t="str">
        <f t="shared" si="670"/>
        <v/>
      </c>
      <c r="DR121" s="173" t="str">
        <f t="shared" si="671"/>
        <v/>
      </c>
      <c r="DS121" s="5" t="str">
        <f t="shared" si="672"/>
        <v/>
      </c>
      <c r="DT121" s="5" t="str">
        <f t="shared" si="673"/>
        <v/>
      </c>
      <c r="DU121" s="5" t="str">
        <f t="shared" si="674"/>
        <v/>
      </c>
      <c r="DV121" s="5" t="str">
        <f t="shared" si="675"/>
        <v/>
      </c>
      <c r="DW121" s="5" t="str">
        <f t="shared" si="676"/>
        <v/>
      </c>
      <c r="DX121" s="167" t="str">
        <f t="shared" si="677"/>
        <v/>
      </c>
      <c r="DY121" s="9" t="str">
        <f t="shared" si="678"/>
        <v/>
      </c>
      <c r="DZ121" s="5" t="str">
        <f t="shared" si="679"/>
        <v/>
      </c>
      <c r="EA121" s="10" t="str">
        <f t="shared" si="680"/>
        <v/>
      </c>
      <c r="EB121" s="6" t="str">
        <f t="shared" si="681"/>
        <v/>
      </c>
      <c r="EC121" s="173" t="str">
        <f t="shared" si="682"/>
        <v/>
      </c>
      <c r="ED121" s="5" t="str">
        <f t="shared" si="683"/>
        <v/>
      </c>
      <c r="EE121" s="4" t="str">
        <f t="shared" si="684"/>
        <v/>
      </c>
      <c r="EF121" s="5" t="str">
        <f t="shared" si="685"/>
        <v/>
      </c>
      <c r="EG121" s="10" t="str">
        <f t="shared" si="686"/>
        <v/>
      </c>
      <c r="EH121" s="9" t="str">
        <f t="shared" si="687"/>
        <v/>
      </c>
      <c r="EI121" s="5" t="str">
        <f t="shared" si="688"/>
        <v/>
      </c>
      <c r="EJ121" s="6" t="str">
        <f t="shared" si="689"/>
        <v/>
      </c>
      <c r="EK121" s="236" t="str">
        <f t="shared" si="690"/>
        <v/>
      </c>
      <c r="EL121" s="238" t="str">
        <f t="shared" si="691"/>
        <v/>
      </c>
      <c r="EM121" s="4" t="str">
        <f t="shared" si="692"/>
        <v/>
      </c>
      <c r="EN121" s="5" t="str">
        <f t="shared" si="693"/>
        <v/>
      </c>
      <c r="EO121" s="10" t="str">
        <f t="shared" si="694"/>
        <v/>
      </c>
      <c r="EP121" s="9" t="str">
        <f t="shared" si="695"/>
        <v/>
      </c>
      <c r="EQ121" s="5" t="str">
        <f t="shared" si="696"/>
        <v/>
      </c>
      <c r="ER121" s="7" t="str">
        <f t="shared" si="697"/>
        <v/>
      </c>
      <c r="ES121" s="21" t="str">
        <f t="shared" si="758"/>
        <v/>
      </c>
      <c r="ET121" s="5" t="str">
        <f t="shared" si="759"/>
        <v/>
      </c>
      <c r="EU121" s="10" t="str">
        <f t="shared" si="760"/>
        <v/>
      </c>
      <c r="EV121" s="174" t="str">
        <f t="shared" si="761"/>
        <v/>
      </c>
      <c r="EW121" s="9" t="str">
        <f t="shared" si="762"/>
        <v/>
      </c>
      <c r="EX121" s="5" t="str">
        <f t="shared" si="763"/>
        <v/>
      </c>
      <c r="EY121" s="6" t="str">
        <f t="shared" si="698"/>
        <v/>
      </c>
      <c r="EZ121" s="51" t="str">
        <f t="shared" si="699"/>
        <v/>
      </c>
      <c r="FA121" s="173" t="str">
        <f t="shared" si="764"/>
        <v/>
      </c>
      <c r="FB121" s="5" t="str">
        <f t="shared" si="765"/>
        <v/>
      </c>
      <c r="FC121" s="6" t="str">
        <f t="shared" si="766"/>
        <v/>
      </c>
      <c r="FD121" s="4" t="str">
        <f t="shared" si="767"/>
        <v/>
      </c>
      <c r="FE121" s="5" t="str">
        <f t="shared" si="768"/>
        <v/>
      </c>
      <c r="FF121" s="7" t="str">
        <f t="shared" si="700"/>
        <v/>
      </c>
      <c r="FG121" s="173" t="str">
        <f t="shared" si="769"/>
        <v/>
      </c>
      <c r="FH121" s="5" t="str">
        <f t="shared" si="770"/>
        <v/>
      </c>
      <c r="FI121" s="10" t="str">
        <f t="shared" si="771"/>
        <v/>
      </c>
      <c r="FJ121" s="279" t="str">
        <f t="shared" si="701"/>
        <v/>
      </c>
      <c r="FK121" s="4" t="str">
        <f t="shared" si="772"/>
        <v/>
      </c>
      <c r="FL121" s="5" t="str">
        <f t="shared" si="626"/>
        <v/>
      </c>
      <c r="FM121" s="8" t="str">
        <f t="shared" si="627"/>
        <v/>
      </c>
      <c r="FN121" s="9" t="str">
        <f t="shared" si="628"/>
        <v/>
      </c>
      <c r="FO121" s="10" t="str">
        <f t="shared" si="773"/>
        <v/>
      </c>
      <c r="FP121" s="277" t="str">
        <f t="shared" si="629"/>
        <v/>
      </c>
      <c r="FQ121" s="173" t="str">
        <f t="shared" si="702"/>
        <v/>
      </c>
      <c r="FR121" s="10" t="str">
        <f t="shared" si="703"/>
        <v/>
      </c>
      <c r="FS121" s="9" t="str">
        <f t="shared" si="704"/>
        <v/>
      </c>
      <c r="FT121" s="6" t="str">
        <f t="shared" si="705"/>
        <v/>
      </c>
      <c r="FU121" s="4" t="str">
        <f t="shared" si="706"/>
        <v/>
      </c>
      <c r="FV121" s="5" t="str">
        <f t="shared" si="707"/>
        <v/>
      </c>
      <c r="FW121" s="8" t="str">
        <f t="shared" si="708"/>
        <v/>
      </c>
      <c r="FX121" s="9" t="str">
        <f t="shared" si="709"/>
        <v/>
      </c>
      <c r="FY121" s="10" t="str">
        <f t="shared" si="774"/>
        <v/>
      </c>
      <c r="FZ121" s="277" t="str">
        <f t="shared" si="710"/>
        <v/>
      </c>
      <c r="GA121" s="177" t="str">
        <f t="shared" si="711"/>
        <v/>
      </c>
      <c r="GB121" s="4" t="str">
        <f t="shared" si="712"/>
        <v/>
      </c>
      <c r="GC121" s="5" t="str">
        <f t="shared" si="713"/>
        <v/>
      </c>
      <c r="GD121" s="10" t="str">
        <f t="shared" si="714"/>
        <v/>
      </c>
      <c r="GE121" s="311" t="str">
        <f t="shared" si="715"/>
        <v/>
      </c>
      <c r="GF121" s="341" t="str">
        <f t="shared" si="716"/>
        <v/>
      </c>
      <c r="GG121" s="285" t="str">
        <f t="shared" si="775"/>
        <v/>
      </c>
      <c r="GH121" s="286" t="str">
        <f t="shared" si="776"/>
        <v/>
      </c>
      <c r="GI121" s="281" t="str">
        <f t="shared" si="777"/>
        <v/>
      </c>
      <c r="GJ121" s="167" t="str">
        <f t="shared" si="717"/>
        <v/>
      </c>
      <c r="GK121" s="174" t="str">
        <f t="shared" si="778"/>
        <v/>
      </c>
      <c r="GL121" s="174" t="str">
        <f t="shared" si="718"/>
        <v/>
      </c>
      <c r="GM121" s="177" t="str">
        <f t="shared" si="719"/>
        <v/>
      </c>
      <c r="GN121" s="280" t="str">
        <f t="shared" si="720"/>
        <v/>
      </c>
      <c r="GO121" s="4" t="str">
        <f t="shared" si="721"/>
        <v/>
      </c>
      <c r="GP121" s="8" t="str">
        <f t="shared" si="722"/>
        <v/>
      </c>
      <c r="GQ121" s="177" t="str">
        <f t="shared" si="723"/>
        <v/>
      </c>
      <c r="GR121" s="371" t="str">
        <f t="shared" si="724"/>
        <v/>
      </c>
      <c r="GS121" s="342" t="str">
        <f t="shared" si="779"/>
        <v/>
      </c>
      <c r="GT121" s="343" t="str">
        <f t="shared" si="780"/>
        <v/>
      </c>
      <c r="GU121" s="344" t="str">
        <f t="shared" si="781"/>
        <v/>
      </c>
      <c r="GV121" s="343" t="str">
        <f t="shared" si="725"/>
        <v/>
      </c>
      <c r="GW121" s="345" t="str">
        <f t="shared" si="782"/>
        <v/>
      </c>
      <c r="GX121" s="346" t="str">
        <f t="shared" si="783"/>
        <v/>
      </c>
      <c r="GY121" s="344" t="str">
        <f t="shared" si="784"/>
        <v/>
      </c>
      <c r="GZ121" s="345" t="str">
        <f t="shared" si="785"/>
        <v/>
      </c>
      <c r="HA121" s="342" t="str">
        <f t="shared" si="786"/>
        <v/>
      </c>
      <c r="HB121" s="5" t="str">
        <f t="shared" si="726"/>
        <v/>
      </c>
      <c r="HC121" s="343" t="str">
        <f t="shared" si="727"/>
        <v/>
      </c>
      <c r="HD121" s="363" t="str">
        <f t="shared" si="728"/>
        <v/>
      </c>
      <c r="HE121" s="344" t="str">
        <f t="shared" si="787"/>
        <v/>
      </c>
      <c r="HF121" s="5" t="str">
        <f t="shared" si="788"/>
        <v/>
      </c>
      <c r="HG121" s="343" t="str">
        <f t="shared" si="729"/>
        <v/>
      </c>
      <c r="HH121" s="349" t="str">
        <f t="shared" si="730"/>
        <v/>
      </c>
      <c r="HI121" s="317" t="str">
        <f t="shared" si="789"/>
        <v/>
      </c>
      <c r="HK121" s="310" t="str">
        <f t="shared" si="840"/>
        <v/>
      </c>
      <c r="HL121" s="348" t="str">
        <f t="shared" si="790"/>
        <v/>
      </c>
      <c r="HM121" s="909" t="str">
        <f t="shared" si="791"/>
        <v/>
      </c>
      <c r="HN121" s="910" t="str">
        <f t="shared" si="792"/>
        <v/>
      </c>
      <c r="HO121" s="911"/>
      <c r="HP121" s="912"/>
      <c r="HQ121" s="910" t="str">
        <f t="shared" si="793"/>
        <v/>
      </c>
      <c r="HR121" s="913" t="str">
        <f t="shared" si="794"/>
        <v/>
      </c>
      <c r="HS121" s="865" t="str">
        <f t="shared" si="841"/>
        <v/>
      </c>
      <c r="HT121" s="875" t="str">
        <f t="shared" si="795"/>
        <v/>
      </c>
      <c r="HU121" s="876" t="str">
        <f t="shared" si="796"/>
        <v/>
      </c>
      <c r="HV121" s="872" t="str">
        <f t="shared" si="797"/>
        <v/>
      </c>
      <c r="HW121" s="866" t="str">
        <f t="shared" si="798"/>
        <v/>
      </c>
      <c r="HX121" s="867" t="str">
        <f t="shared" si="799"/>
        <v/>
      </c>
      <c r="HY121" s="866" t="str">
        <f t="shared" si="800"/>
        <v/>
      </c>
      <c r="HZ121" s="868" t="str">
        <f t="shared" si="801"/>
        <v/>
      </c>
      <c r="IA121" s="869" t="str">
        <f t="shared" si="802"/>
        <v/>
      </c>
      <c r="IB121" s="870" t="str">
        <f t="shared" si="803"/>
        <v/>
      </c>
      <c r="IC121" s="841" t="str">
        <f t="shared" si="804"/>
        <v/>
      </c>
      <c r="ID121" s="351" t="str">
        <f t="shared" si="805"/>
        <v/>
      </c>
      <c r="IE121" s="843" t="str">
        <f t="shared" si="806"/>
        <v/>
      </c>
      <c r="IF121" s="844"/>
      <c r="IG121" s="790" t="str">
        <f>IFERROR(IF($IW121="","",IF($IW121&lt;(((Settings!$C$19/2)*-1)*$IG$8),"Taper","Nose")),"")</f>
        <v/>
      </c>
      <c r="IH121" s="482" t="str">
        <f>IFERROR(IF((((($IY121*COS(RADIANS(180-$JA121)))*COS(RADIANS($JA121)))-(($IZ121*SIN(RADIANS(180-$JA121)))*SIN(RADIANS($JA121))))+$IW121)&lt;(((Settings!$C$19+$IH$8)/2)*-1),"Gage",""),"")</f>
        <v/>
      </c>
      <c r="II121" s="788" t="str">
        <f t="shared" si="731"/>
        <v/>
      </c>
      <c r="IJ121" s="674" t="str" cm="1">
        <f t="array" ref="IJ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K121" s="677" t="str" cm="1">
        <f t="array" ref="IK121">IFERROR(ROUND(VALUE(IF($IJ121&lt;1,$IJ121+LARGE((IF($M$9:$M$150="",0,$M$9:$M$150)-MOD(IF($M$9:$M$150="",0,$M$9:$M$150),1)),1),$IJ121)),4),"")</f>
        <v/>
      </c>
      <c r="IL121" s="482" t="str">
        <f t="shared" si="807"/>
        <v/>
      </c>
      <c r="IM121" s="482" t="str">
        <f t="shared" si="732"/>
        <v/>
      </c>
      <c r="IN121" s="670" t="str">
        <f t="shared" si="808"/>
        <v/>
      </c>
      <c r="IO121" s="702"/>
      <c r="IP121" s="5" t="str">
        <f t="shared" si="809"/>
        <v/>
      </c>
      <c r="IQ121" s="714"/>
      <c r="IR121" s="9" t="str">
        <f t="shared" si="810"/>
        <v/>
      </c>
      <c r="IS121" s="5" t="str">
        <f t="shared" si="811"/>
        <v/>
      </c>
      <c r="IT121" s="5" t="str">
        <f t="shared" si="812"/>
        <v/>
      </c>
      <c r="IU121" s="5" t="str">
        <f t="shared" si="813"/>
        <v/>
      </c>
      <c r="IV121" s="670" t="str">
        <f t="shared" si="814"/>
        <v/>
      </c>
      <c r="IW121" s="9" t="str">
        <f t="shared" si="815"/>
        <v/>
      </c>
      <c r="IX121" s="5" t="str">
        <f t="shared" si="816"/>
        <v/>
      </c>
      <c r="IY121" s="5" t="str">
        <f t="shared" si="817"/>
        <v/>
      </c>
      <c r="IZ121" s="5" t="str">
        <f t="shared" si="818"/>
        <v/>
      </c>
      <c r="JA121" s="705" t="str">
        <f t="shared" si="819"/>
        <v/>
      </c>
    </row>
    <row r="122" spans="1:261" ht="15" customHeight="1" x14ac:dyDescent="0.25">
      <c r="A122" s="75" t="str">
        <f t="shared" si="736"/>
        <v/>
      </c>
      <c r="B122" s="578" t="str">
        <f t="shared" si="845"/>
        <v/>
      </c>
      <c r="C122" s="572" t="str">
        <f t="shared" si="846"/>
        <v/>
      </c>
      <c r="D122" s="576" t="str">
        <f t="shared" si="847"/>
        <v/>
      </c>
      <c r="E122" s="580" t="str">
        <f t="shared" si="848"/>
        <v/>
      </c>
      <c r="F122" s="572" t="str">
        <f t="shared" si="849"/>
        <v/>
      </c>
      <c r="G122" s="579" t="str">
        <f t="shared" si="850"/>
        <v/>
      </c>
      <c r="H122" s="580" t="str">
        <f t="shared" si="851"/>
        <v/>
      </c>
      <c r="I122" s="572" t="str">
        <f t="shared" si="852"/>
        <v/>
      </c>
      <c r="J122" s="483" t="str">
        <f t="shared" si="853"/>
        <v/>
      </c>
      <c r="K122" s="806" t="str">
        <f t="shared" si="854"/>
        <v/>
      </c>
      <c r="L122" s="309"/>
      <c r="M122" s="164" t="str">
        <f t="shared" si="737"/>
        <v/>
      </c>
      <c r="N122" s="575" t="str">
        <f t="shared" si="738"/>
        <v/>
      </c>
      <c r="O122" s="572" t="str">
        <f t="shared" si="739"/>
        <v/>
      </c>
      <c r="P122" s="576" t="str">
        <f t="shared" si="740"/>
        <v/>
      </c>
      <c r="Q122" s="528" t="str">
        <f t="shared" si="609"/>
        <v/>
      </c>
      <c r="R122" s="572" t="str">
        <f t="shared" si="820"/>
        <v/>
      </c>
      <c r="S122" s="577" t="str">
        <f t="shared" si="821"/>
        <v/>
      </c>
      <c r="T122" s="578" t="str">
        <f t="shared" si="822"/>
        <v/>
      </c>
      <c r="U122" s="572" t="str">
        <f t="shared" si="823"/>
        <v/>
      </c>
      <c r="V122" s="579" t="str">
        <f t="shared" si="824"/>
        <v/>
      </c>
      <c r="W122" s="528" t="str">
        <f t="shared" si="735"/>
        <v/>
      </c>
      <c r="X122" s="572" t="str">
        <f t="shared" si="825"/>
        <v/>
      </c>
      <c r="Y122" s="573" t="str">
        <f t="shared" si="733"/>
        <v/>
      </c>
      <c r="Z122" s="575" t="str">
        <f t="shared" si="741"/>
        <v/>
      </c>
      <c r="AA122" s="572" t="str">
        <f t="shared" si="742"/>
        <v/>
      </c>
      <c r="AB122" s="572" t="str">
        <f t="shared" si="743"/>
        <v/>
      </c>
      <c r="AC122" s="579" t="str">
        <f t="shared" si="826"/>
        <v/>
      </c>
      <c r="AD122" s="580" t="str">
        <f t="shared" si="827"/>
        <v/>
      </c>
      <c r="AE122" s="572" t="str">
        <f t="shared" si="828"/>
        <v/>
      </c>
      <c r="AF122" s="576" t="str">
        <f t="shared" si="829"/>
        <v/>
      </c>
      <c r="AG122" s="545" t="str">
        <f t="shared" si="830"/>
        <v/>
      </c>
      <c r="AH122" s="546" t="str">
        <f t="shared" si="831"/>
        <v/>
      </c>
      <c r="AI122" s="528" t="str">
        <f t="shared" si="832"/>
        <v/>
      </c>
      <c r="AJ122" s="529" t="str">
        <f t="shared" si="833"/>
        <v/>
      </c>
      <c r="AK122" s="578" t="str">
        <f t="shared" si="834"/>
        <v/>
      </c>
      <c r="AL122" s="572" t="str">
        <f t="shared" si="835"/>
        <v/>
      </c>
      <c r="AM122" s="577" t="str">
        <f t="shared" si="836"/>
        <v/>
      </c>
      <c r="AN122" s="524" t="str">
        <f t="shared" si="837"/>
        <v/>
      </c>
      <c r="AO122" s="525" t="str">
        <f t="shared" si="855"/>
        <v/>
      </c>
      <c r="AP122" s="528" t="str">
        <f t="shared" si="838"/>
        <v/>
      </c>
      <c r="AQ122" s="529" t="str">
        <f t="shared" si="744"/>
        <v/>
      </c>
      <c r="AS122" s="932" t="str">
        <f t="shared" si="842"/>
        <v/>
      </c>
      <c r="AT122" s="928" t="str">
        <f t="shared" si="745"/>
        <v/>
      </c>
      <c r="AU122" s="418"/>
      <c r="AV122" s="164" t="str">
        <f t="shared" si="746"/>
        <v/>
      </c>
      <c r="AW122" s="797" t="str">
        <f>IFERROR(INDEX(MassProp!C$9:C$150,MATCH($M122,MassProp!$B$9:$B$150,0)),"")</f>
        <v/>
      </c>
      <c r="AX122" s="744" t="str">
        <f>IFERROR(INDEX(MassProp!D$9:D$150,MATCH($M122,MassProp!$B$9:$B$150,0)),"")</f>
        <v/>
      </c>
      <c r="AY122" s="731" t="str">
        <f>IFERROR(INDEX(MassProp!E$9:E$150,MATCH($M122,MassProp!$B$9:$B$150,0)),"")</f>
        <v/>
      </c>
      <c r="AZ122" s="297" t="str">
        <f t="shared" si="633"/>
        <v/>
      </c>
      <c r="BA122" s="296" t="str">
        <f t="shared" si="747"/>
        <v/>
      </c>
      <c r="BB122" s="177" t="str">
        <f t="shared" si="610"/>
        <v/>
      </c>
      <c r="BC122" s="9"/>
      <c r="BD122" s="5" t="str">
        <f t="shared" si="611"/>
        <v/>
      </c>
      <c r="BE122" s="6" t="str">
        <f t="shared" si="748"/>
        <v/>
      </c>
      <c r="BF122" s="4" t="str">
        <f t="shared" si="749"/>
        <v/>
      </c>
      <c r="BG122" s="5" t="str">
        <f t="shared" si="750"/>
        <v/>
      </c>
      <c r="BH122" s="10" t="str">
        <f t="shared" si="751"/>
        <v/>
      </c>
      <c r="BI122" s="9" t="str">
        <f t="shared" si="634"/>
        <v/>
      </c>
      <c r="BJ122" s="5" t="str">
        <f t="shared" si="752"/>
        <v/>
      </c>
      <c r="BK122" s="8" t="str">
        <f t="shared" si="753"/>
        <v/>
      </c>
      <c r="BL122" s="173" t="str">
        <f t="shared" si="754"/>
        <v/>
      </c>
      <c r="BM122" s="5" t="str">
        <f t="shared" si="755"/>
        <v/>
      </c>
      <c r="BN122" s="6" t="str">
        <f t="shared" si="756"/>
        <v/>
      </c>
      <c r="BO122" s="4" t="str">
        <f t="shared" si="635"/>
        <v/>
      </c>
      <c r="BP122" s="5" t="str">
        <f t="shared" si="734"/>
        <v/>
      </c>
      <c r="BQ122" s="5" t="str">
        <f t="shared" si="636"/>
        <v/>
      </c>
      <c r="BR122" s="6" t="str">
        <f t="shared" si="637"/>
        <v/>
      </c>
      <c r="BS122" s="4" t="str">
        <f t="shared" si="839"/>
        <v/>
      </c>
      <c r="BT122" s="5" t="str">
        <f t="shared" si="839"/>
        <v/>
      </c>
      <c r="BU122" s="10" t="str">
        <f t="shared" si="613"/>
        <v/>
      </c>
      <c r="BV122" s="9" t="str">
        <f t="shared" si="614"/>
        <v/>
      </c>
      <c r="BW122" s="5" t="str">
        <f t="shared" si="615"/>
        <v/>
      </c>
      <c r="BX122" s="8" t="str">
        <f t="shared" si="616"/>
        <v/>
      </c>
      <c r="BY122" s="173" t="str">
        <f t="shared" si="617"/>
        <v/>
      </c>
      <c r="BZ122" s="5" t="str">
        <f t="shared" si="618"/>
        <v/>
      </c>
      <c r="CA122" s="6" t="str">
        <f t="shared" si="619"/>
        <v/>
      </c>
      <c r="CB122" s="4" t="str">
        <f t="shared" si="638"/>
        <v/>
      </c>
      <c r="CC122" s="5" t="str">
        <f t="shared" si="639"/>
        <v/>
      </c>
      <c r="CD122" s="5" t="str">
        <f t="shared" si="640"/>
        <v/>
      </c>
      <c r="CE122" s="6" t="str">
        <f t="shared" si="641"/>
        <v/>
      </c>
      <c r="CF122" s="4" t="str">
        <f t="shared" si="642"/>
        <v/>
      </c>
      <c r="CG122" s="5" t="str">
        <f t="shared" si="643"/>
        <v/>
      </c>
      <c r="CH122" s="5" t="str">
        <f t="shared" si="644"/>
        <v/>
      </c>
      <c r="CI122" s="4" t="str">
        <f t="shared" si="620"/>
        <v/>
      </c>
      <c r="CJ122" s="5" t="str">
        <f t="shared" si="621"/>
        <v/>
      </c>
      <c r="CK122" s="8" t="str">
        <f t="shared" si="622"/>
        <v/>
      </c>
      <c r="CL122" s="173" t="str">
        <f t="shared" si="623"/>
        <v/>
      </c>
      <c r="CM122" s="5" t="str">
        <f t="shared" si="624"/>
        <v/>
      </c>
      <c r="CN122" s="6" t="str">
        <f t="shared" si="625"/>
        <v/>
      </c>
      <c r="CO122" s="167" t="str">
        <f t="shared" si="757"/>
        <v/>
      </c>
      <c r="CP122" s="4" t="str">
        <f t="shared" si="645"/>
        <v/>
      </c>
      <c r="CQ122" s="5" t="str">
        <f t="shared" si="646"/>
        <v/>
      </c>
      <c r="CR122" s="5" t="str">
        <f t="shared" si="647"/>
        <v/>
      </c>
      <c r="CS122" s="8" t="str">
        <f t="shared" si="648"/>
        <v/>
      </c>
      <c r="CT122" s="9" t="str">
        <f t="shared" si="649"/>
        <v/>
      </c>
      <c r="CU122" s="6" t="str">
        <f t="shared" si="650"/>
        <v/>
      </c>
      <c r="CV122" s="4" t="str">
        <f t="shared" si="651"/>
        <v/>
      </c>
      <c r="CW122" s="5" t="str">
        <f t="shared" si="652"/>
        <v/>
      </c>
      <c r="CX122" s="8" t="str">
        <f t="shared" si="653"/>
        <v/>
      </c>
      <c r="CY122" s="9" t="str">
        <f t="shared" si="654"/>
        <v/>
      </c>
      <c r="CZ122" s="5" t="str">
        <f t="shared" si="655"/>
        <v/>
      </c>
      <c r="DA122" s="6" t="str">
        <f t="shared" si="656"/>
        <v/>
      </c>
      <c r="DB122" s="4" t="str">
        <f t="shared" si="843"/>
        <v/>
      </c>
      <c r="DC122" s="5" t="str">
        <f t="shared" si="843"/>
        <v/>
      </c>
      <c r="DD122" s="10" t="str">
        <f t="shared" si="658"/>
        <v/>
      </c>
      <c r="DE122" s="9" t="str">
        <f t="shared" si="844"/>
        <v/>
      </c>
      <c r="DF122" s="5" t="str">
        <f t="shared" si="844"/>
        <v/>
      </c>
      <c r="DG122" s="10" t="str">
        <f t="shared" si="660"/>
        <v/>
      </c>
      <c r="DH122" s="70" t="str">
        <f t="shared" si="661"/>
        <v/>
      </c>
      <c r="DI122" s="4" t="str">
        <f t="shared" si="662"/>
        <v/>
      </c>
      <c r="DJ122" s="5" t="str">
        <f t="shared" si="663"/>
        <v/>
      </c>
      <c r="DK122" s="10" t="str">
        <f t="shared" si="664"/>
        <v/>
      </c>
      <c r="DL122" s="9" t="str">
        <f t="shared" si="665"/>
        <v/>
      </c>
      <c r="DM122" s="173" t="str">
        <f t="shared" si="666"/>
        <v/>
      </c>
      <c r="DN122" s="178" t="str">
        <f t="shared" si="667"/>
        <v/>
      </c>
      <c r="DO122" s="9" t="str">
        <f t="shared" si="668"/>
        <v/>
      </c>
      <c r="DP122" s="173" t="str">
        <f t="shared" si="669"/>
        <v/>
      </c>
      <c r="DQ122" s="11" t="str">
        <f t="shared" si="670"/>
        <v/>
      </c>
      <c r="DR122" s="173" t="str">
        <f t="shared" si="671"/>
        <v/>
      </c>
      <c r="DS122" s="5" t="str">
        <f t="shared" si="672"/>
        <v/>
      </c>
      <c r="DT122" s="5" t="str">
        <f t="shared" si="673"/>
        <v/>
      </c>
      <c r="DU122" s="5" t="str">
        <f t="shared" si="674"/>
        <v/>
      </c>
      <c r="DV122" s="5" t="str">
        <f t="shared" si="675"/>
        <v/>
      </c>
      <c r="DW122" s="5" t="str">
        <f t="shared" si="676"/>
        <v/>
      </c>
      <c r="DX122" s="167" t="str">
        <f t="shared" si="677"/>
        <v/>
      </c>
      <c r="DY122" s="9" t="str">
        <f t="shared" si="678"/>
        <v/>
      </c>
      <c r="DZ122" s="5" t="str">
        <f t="shared" si="679"/>
        <v/>
      </c>
      <c r="EA122" s="10" t="str">
        <f t="shared" si="680"/>
        <v/>
      </c>
      <c r="EB122" s="6" t="str">
        <f t="shared" si="681"/>
        <v/>
      </c>
      <c r="EC122" s="173" t="str">
        <f t="shared" si="682"/>
        <v/>
      </c>
      <c r="ED122" s="5" t="str">
        <f t="shared" si="683"/>
        <v/>
      </c>
      <c r="EE122" s="4" t="str">
        <f t="shared" si="684"/>
        <v/>
      </c>
      <c r="EF122" s="5" t="str">
        <f t="shared" si="685"/>
        <v/>
      </c>
      <c r="EG122" s="10" t="str">
        <f t="shared" si="686"/>
        <v/>
      </c>
      <c r="EH122" s="9" t="str">
        <f t="shared" si="687"/>
        <v/>
      </c>
      <c r="EI122" s="5" t="str">
        <f t="shared" si="688"/>
        <v/>
      </c>
      <c r="EJ122" s="6" t="str">
        <f t="shared" si="689"/>
        <v/>
      </c>
      <c r="EK122" s="236" t="str">
        <f t="shared" si="690"/>
        <v/>
      </c>
      <c r="EL122" s="238" t="str">
        <f t="shared" si="691"/>
        <v/>
      </c>
      <c r="EM122" s="4" t="str">
        <f t="shared" si="692"/>
        <v/>
      </c>
      <c r="EN122" s="5" t="str">
        <f t="shared" si="693"/>
        <v/>
      </c>
      <c r="EO122" s="10" t="str">
        <f t="shared" si="694"/>
        <v/>
      </c>
      <c r="EP122" s="9" t="str">
        <f t="shared" si="695"/>
        <v/>
      </c>
      <c r="EQ122" s="5" t="str">
        <f t="shared" si="696"/>
        <v/>
      </c>
      <c r="ER122" s="7" t="str">
        <f t="shared" si="697"/>
        <v/>
      </c>
      <c r="ES122" s="21" t="str">
        <f t="shared" si="758"/>
        <v/>
      </c>
      <c r="ET122" s="5" t="str">
        <f t="shared" si="759"/>
        <v/>
      </c>
      <c r="EU122" s="10" t="str">
        <f t="shared" si="760"/>
        <v/>
      </c>
      <c r="EV122" s="174" t="str">
        <f t="shared" si="761"/>
        <v/>
      </c>
      <c r="EW122" s="9" t="str">
        <f t="shared" si="762"/>
        <v/>
      </c>
      <c r="EX122" s="5" t="str">
        <f t="shared" si="763"/>
        <v/>
      </c>
      <c r="EY122" s="6" t="str">
        <f t="shared" si="698"/>
        <v/>
      </c>
      <c r="EZ122" s="51" t="str">
        <f t="shared" si="699"/>
        <v/>
      </c>
      <c r="FA122" s="173" t="str">
        <f t="shared" si="764"/>
        <v/>
      </c>
      <c r="FB122" s="5" t="str">
        <f t="shared" si="765"/>
        <v/>
      </c>
      <c r="FC122" s="6" t="str">
        <f t="shared" si="766"/>
        <v/>
      </c>
      <c r="FD122" s="4" t="str">
        <f t="shared" si="767"/>
        <v/>
      </c>
      <c r="FE122" s="5" t="str">
        <f t="shared" si="768"/>
        <v/>
      </c>
      <c r="FF122" s="7" t="str">
        <f t="shared" si="700"/>
        <v/>
      </c>
      <c r="FG122" s="173" t="str">
        <f t="shared" si="769"/>
        <v/>
      </c>
      <c r="FH122" s="5" t="str">
        <f t="shared" si="770"/>
        <v/>
      </c>
      <c r="FI122" s="10" t="str">
        <f t="shared" si="771"/>
        <v/>
      </c>
      <c r="FJ122" s="279" t="str">
        <f t="shared" si="701"/>
        <v/>
      </c>
      <c r="FK122" s="4" t="str">
        <f t="shared" si="772"/>
        <v/>
      </c>
      <c r="FL122" s="5" t="str">
        <f t="shared" si="626"/>
        <v/>
      </c>
      <c r="FM122" s="8" t="str">
        <f t="shared" si="627"/>
        <v/>
      </c>
      <c r="FN122" s="9" t="str">
        <f t="shared" si="628"/>
        <v/>
      </c>
      <c r="FO122" s="10" t="str">
        <f t="shared" si="773"/>
        <v/>
      </c>
      <c r="FP122" s="277" t="str">
        <f t="shared" si="629"/>
        <v/>
      </c>
      <c r="FQ122" s="173" t="str">
        <f t="shared" si="702"/>
        <v/>
      </c>
      <c r="FR122" s="10" t="str">
        <f t="shared" si="703"/>
        <v/>
      </c>
      <c r="FS122" s="9" t="str">
        <f t="shared" si="704"/>
        <v/>
      </c>
      <c r="FT122" s="6" t="str">
        <f t="shared" si="705"/>
        <v/>
      </c>
      <c r="FU122" s="4" t="str">
        <f t="shared" si="706"/>
        <v/>
      </c>
      <c r="FV122" s="5" t="str">
        <f t="shared" si="707"/>
        <v/>
      </c>
      <c r="FW122" s="8" t="str">
        <f t="shared" si="708"/>
        <v/>
      </c>
      <c r="FX122" s="9" t="str">
        <f t="shared" si="709"/>
        <v/>
      </c>
      <c r="FY122" s="10" t="str">
        <f t="shared" si="774"/>
        <v/>
      </c>
      <c r="FZ122" s="277" t="str">
        <f t="shared" si="710"/>
        <v/>
      </c>
      <c r="GA122" s="177" t="str">
        <f t="shared" si="711"/>
        <v/>
      </c>
      <c r="GB122" s="4" t="str">
        <f t="shared" si="712"/>
        <v/>
      </c>
      <c r="GC122" s="5" t="str">
        <f t="shared" si="713"/>
        <v/>
      </c>
      <c r="GD122" s="10" t="str">
        <f t="shared" si="714"/>
        <v/>
      </c>
      <c r="GE122" s="311" t="str">
        <f t="shared" si="715"/>
        <v/>
      </c>
      <c r="GF122" s="341" t="str">
        <f t="shared" si="716"/>
        <v/>
      </c>
      <c r="GG122" s="285" t="str">
        <f t="shared" si="775"/>
        <v/>
      </c>
      <c r="GH122" s="286" t="str">
        <f t="shared" si="776"/>
        <v/>
      </c>
      <c r="GI122" s="281" t="str">
        <f t="shared" si="777"/>
        <v/>
      </c>
      <c r="GJ122" s="167" t="str">
        <f t="shared" si="717"/>
        <v/>
      </c>
      <c r="GK122" s="174" t="str">
        <f t="shared" si="778"/>
        <v/>
      </c>
      <c r="GL122" s="174" t="str">
        <f t="shared" si="718"/>
        <v/>
      </c>
      <c r="GM122" s="177" t="str">
        <f t="shared" si="719"/>
        <v/>
      </c>
      <c r="GN122" s="280" t="str">
        <f t="shared" si="720"/>
        <v/>
      </c>
      <c r="GO122" s="4" t="str">
        <f t="shared" si="721"/>
        <v/>
      </c>
      <c r="GP122" s="8" t="str">
        <f t="shared" si="722"/>
        <v/>
      </c>
      <c r="GQ122" s="177" t="str">
        <f t="shared" si="723"/>
        <v/>
      </c>
      <c r="GR122" s="371" t="str">
        <f t="shared" si="724"/>
        <v/>
      </c>
      <c r="GS122" s="342" t="str">
        <f t="shared" si="779"/>
        <v/>
      </c>
      <c r="GT122" s="343" t="str">
        <f t="shared" si="780"/>
        <v/>
      </c>
      <c r="GU122" s="344" t="str">
        <f t="shared" si="781"/>
        <v/>
      </c>
      <c r="GV122" s="343" t="str">
        <f t="shared" si="725"/>
        <v/>
      </c>
      <c r="GW122" s="345" t="str">
        <f t="shared" si="782"/>
        <v/>
      </c>
      <c r="GX122" s="346" t="str">
        <f t="shared" si="783"/>
        <v/>
      </c>
      <c r="GY122" s="344" t="str">
        <f t="shared" si="784"/>
        <v/>
      </c>
      <c r="GZ122" s="345" t="str">
        <f t="shared" si="785"/>
        <v/>
      </c>
      <c r="HA122" s="342" t="str">
        <f t="shared" si="786"/>
        <v/>
      </c>
      <c r="HB122" s="5" t="str">
        <f t="shared" si="726"/>
        <v/>
      </c>
      <c r="HC122" s="343" t="str">
        <f t="shared" si="727"/>
        <v/>
      </c>
      <c r="HD122" s="363" t="str">
        <f t="shared" si="728"/>
        <v/>
      </c>
      <c r="HE122" s="344" t="str">
        <f t="shared" si="787"/>
        <v/>
      </c>
      <c r="HF122" s="5" t="str">
        <f t="shared" si="788"/>
        <v/>
      </c>
      <c r="HG122" s="343" t="str">
        <f t="shared" si="729"/>
        <v/>
      </c>
      <c r="HH122" s="349" t="str">
        <f t="shared" si="730"/>
        <v/>
      </c>
      <c r="HI122" s="317" t="str">
        <f t="shared" si="789"/>
        <v/>
      </c>
      <c r="HK122" s="310" t="str">
        <f t="shared" si="840"/>
        <v/>
      </c>
      <c r="HL122" s="348" t="str">
        <f t="shared" si="790"/>
        <v/>
      </c>
      <c r="HM122" s="909" t="str">
        <f t="shared" si="791"/>
        <v/>
      </c>
      <c r="HN122" s="910" t="str">
        <f t="shared" si="792"/>
        <v/>
      </c>
      <c r="HO122" s="911"/>
      <c r="HP122" s="912"/>
      <c r="HQ122" s="910" t="str">
        <f t="shared" si="793"/>
        <v/>
      </c>
      <c r="HR122" s="913" t="str">
        <f t="shared" si="794"/>
        <v/>
      </c>
      <c r="HS122" s="865" t="str">
        <f t="shared" si="841"/>
        <v/>
      </c>
      <c r="HT122" s="875" t="str">
        <f t="shared" si="795"/>
        <v/>
      </c>
      <c r="HU122" s="876" t="str">
        <f t="shared" si="796"/>
        <v/>
      </c>
      <c r="HV122" s="872" t="str">
        <f t="shared" si="797"/>
        <v/>
      </c>
      <c r="HW122" s="866" t="str">
        <f t="shared" si="798"/>
        <v/>
      </c>
      <c r="HX122" s="867" t="str">
        <f t="shared" si="799"/>
        <v/>
      </c>
      <c r="HY122" s="866" t="str">
        <f t="shared" si="800"/>
        <v/>
      </c>
      <c r="HZ122" s="868" t="str">
        <f t="shared" si="801"/>
        <v/>
      </c>
      <c r="IA122" s="869" t="str">
        <f t="shared" si="802"/>
        <v/>
      </c>
      <c r="IB122" s="870" t="str">
        <f t="shared" si="803"/>
        <v/>
      </c>
      <c r="IC122" s="841" t="str">
        <f t="shared" si="804"/>
        <v/>
      </c>
      <c r="ID122" s="351" t="str">
        <f t="shared" si="805"/>
        <v/>
      </c>
      <c r="IE122" s="843" t="str">
        <f t="shared" si="806"/>
        <v/>
      </c>
      <c r="IF122" s="844"/>
      <c r="IG122" s="790" t="str">
        <f>IFERROR(IF($IW122="","",IF($IW122&lt;(((Settings!$C$19/2)*-1)*$IG$8),"Taper","Nose")),"")</f>
        <v/>
      </c>
      <c r="IH122" s="482" t="str">
        <f>IFERROR(IF((((($IY122*COS(RADIANS(180-$JA122)))*COS(RADIANS($JA122)))-(($IZ122*SIN(RADIANS(180-$JA122)))*SIN(RADIANS($JA122))))+$IW122)&lt;(((Settings!$C$19+$IH$8)/2)*-1),"Gage",""),"")</f>
        <v/>
      </c>
      <c r="II122" s="788" t="str">
        <f t="shared" si="731"/>
        <v/>
      </c>
      <c r="IJ122" s="674" t="str" cm="1">
        <f t="array" ref="IJ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K122" s="677" t="str" cm="1">
        <f t="array" ref="IK122">IFERROR(ROUND(VALUE(IF($IJ122&lt;1,$IJ122+LARGE((IF($M$9:$M$150="",0,$M$9:$M$150)-MOD(IF($M$9:$M$150="",0,$M$9:$M$150),1)),1),$IJ122)),4),"")</f>
        <v/>
      </c>
      <c r="IL122" s="482" t="str">
        <f t="shared" si="807"/>
        <v/>
      </c>
      <c r="IM122" s="482" t="str">
        <f t="shared" si="732"/>
        <v/>
      </c>
      <c r="IN122" s="670" t="str">
        <f t="shared" si="808"/>
        <v/>
      </c>
      <c r="IO122" s="702"/>
      <c r="IP122" s="5" t="str">
        <f t="shared" si="809"/>
        <v/>
      </c>
      <c r="IQ122" s="714"/>
      <c r="IR122" s="9" t="str">
        <f t="shared" si="810"/>
        <v/>
      </c>
      <c r="IS122" s="5" t="str">
        <f t="shared" si="811"/>
        <v/>
      </c>
      <c r="IT122" s="5" t="str">
        <f t="shared" si="812"/>
        <v/>
      </c>
      <c r="IU122" s="5" t="str">
        <f t="shared" si="813"/>
        <v/>
      </c>
      <c r="IV122" s="670" t="str">
        <f t="shared" si="814"/>
        <v/>
      </c>
      <c r="IW122" s="9" t="str">
        <f t="shared" si="815"/>
        <v/>
      </c>
      <c r="IX122" s="5" t="str">
        <f t="shared" si="816"/>
        <v/>
      </c>
      <c r="IY122" s="5" t="str">
        <f t="shared" si="817"/>
        <v/>
      </c>
      <c r="IZ122" s="5" t="str">
        <f t="shared" si="818"/>
        <v/>
      </c>
      <c r="JA122" s="705" t="str">
        <f t="shared" si="819"/>
        <v/>
      </c>
    </row>
    <row r="123" spans="1:261" ht="15" customHeight="1" x14ac:dyDescent="0.25">
      <c r="A123" s="75" t="str">
        <f t="shared" si="736"/>
        <v/>
      </c>
      <c r="B123" s="578" t="str">
        <f t="shared" si="845"/>
        <v/>
      </c>
      <c r="C123" s="572" t="str">
        <f t="shared" si="846"/>
        <v/>
      </c>
      <c r="D123" s="576" t="str">
        <f t="shared" si="847"/>
        <v/>
      </c>
      <c r="E123" s="580" t="str">
        <f t="shared" si="848"/>
        <v/>
      </c>
      <c r="F123" s="572" t="str">
        <f t="shared" si="849"/>
        <v/>
      </c>
      <c r="G123" s="579" t="str">
        <f t="shared" si="850"/>
        <v/>
      </c>
      <c r="H123" s="580" t="str">
        <f t="shared" si="851"/>
        <v/>
      </c>
      <c r="I123" s="572" t="str">
        <f t="shared" si="852"/>
        <v/>
      </c>
      <c r="J123" s="483" t="str">
        <f t="shared" si="853"/>
        <v/>
      </c>
      <c r="K123" s="806" t="str">
        <f t="shared" si="854"/>
        <v/>
      </c>
      <c r="L123" s="309"/>
      <c r="M123" s="164" t="str">
        <f t="shared" si="737"/>
        <v/>
      </c>
      <c r="N123" s="575" t="str">
        <f t="shared" si="738"/>
        <v/>
      </c>
      <c r="O123" s="572" t="str">
        <f t="shared" si="739"/>
        <v/>
      </c>
      <c r="P123" s="576" t="str">
        <f t="shared" si="740"/>
        <v/>
      </c>
      <c r="Q123" s="528" t="str">
        <f t="shared" si="609"/>
        <v/>
      </c>
      <c r="R123" s="572" t="str">
        <f t="shared" si="820"/>
        <v/>
      </c>
      <c r="S123" s="577" t="str">
        <f t="shared" si="821"/>
        <v/>
      </c>
      <c r="T123" s="578" t="str">
        <f t="shared" si="822"/>
        <v/>
      </c>
      <c r="U123" s="572" t="str">
        <f t="shared" si="823"/>
        <v/>
      </c>
      <c r="V123" s="579" t="str">
        <f t="shared" si="824"/>
        <v/>
      </c>
      <c r="W123" s="528" t="str">
        <f t="shared" si="735"/>
        <v/>
      </c>
      <c r="X123" s="572" t="str">
        <f t="shared" si="825"/>
        <v/>
      </c>
      <c r="Y123" s="573" t="str">
        <f t="shared" si="733"/>
        <v/>
      </c>
      <c r="Z123" s="575" t="str">
        <f t="shared" si="741"/>
        <v/>
      </c>
      <c r="AA123" s="572" t="str">
        <f t="shared" si="742"/>
        <v/>
      </c>
      <c r="AB123" s="572" t="str">
        <f t="shared" si="743"/>
        <v/>
      </c>
      <c r="AC123" s="579" t="str">
        <f t="shared" si="826"/>
        <v/>
      </c>
      <c r="AD123" s="580" t="str">
        <f t="shared" si="827"/>
        <v/>
      </c>
      <c r="AE123" s="572" t="str">
        <f t="shared" si="828"/>
        <v/>
      </c>
      <c r="AF123" s="576" t="str">
        <f t="shared" si="829"/>
        <v/>
      </c>
      <c r="AG123" s="545" t="str">
        <f t="shared" si="830"/>
        <v/>
      </c>
      <c r="AH123" s="546" t="str">
        <f t="shared" si="831"/>
        <v/>
      </c>
      <c r="AI123" s="528" t="str">
        <f t="shared" si="832"/>
        <v/>
      </c>
      <c r="AJ123" s="529" t="str">
        <f t="shared" si="833"/>
        <v/>
      </c>
      <c r="AK123" s="578" t="str">
        <f t="shared" si="834"/>
        <v/>
      </c>
      <c r="AL123" s="572" t="str">
        <f t="shared" si="835"/>
        <v/>
      </c>
      <c r="AM123" s="577" t="str">
        <f t="shared" si="836"/>
        <v/>
      </c>
      <c r="AN123" s="524" t="str">
        <f t="shared" si="837"/>
        <v/>
      </c>
      <c r="AO123" s="525" t="str">
        <f t="shared" si="855"/>
        <v/>
      </c>
      <c r="AP123" s="528" t="str">
        <f t="shared" si="838"/>
        <v/>
      </c>
      <c r="AQ123" s="529" t="str">
        <f t="shared" si="744"/>
        <v/>
      </c>
      <c r="AS123" s="932" t="str">
        <f t="shared" si="842"/>
        <v/>
      </c>
      <c r="AT123" s="928" t="str">
        <f t="shared" si="745"/>
        <v/>
      </c>
      <c r="AU123" s="418"/>
      <c r="AV123" s="164" t="str">
        <f t="shared" si="746"/>
        <v/>
      </c>
      <c r="AW123" s="797" t="str">
        <f>IFERROR(INDEX(MassProp!C$9:C$150,MATCH($M123,MassProp!$B$9:$B$150,0)),"")</f>
        <v/>
      </c>
      <c r="AX123" s="744" t="str">
        <f>IFERROR(INDEX(MassProp!D$9:D$150,MATCH($M123,MassProp!$B$9:$B$150,0)),"")</f>
        <v/>
      </c>
      <c r="AY123" s="731" t="str">
        <f>IFERROR(INDEX(MassProp!E$9:E$150,MATCH($M123,MassProp!$B$9:$B$150,0)),"")</f>
        <v/>
      </c>
      <c r="AZ123" s="297" t="str">
        <f t="shared" si="633"/>
        <v/>
      </c>
      <c r="BA123" s="296" t="str">
        <f t="shared" si="747"/>
        <v/>
      </c>
      <c r="BB123" s="177" t="str">
        <f t="shared" si="610"/>
        <v/>
      </c>
      <c r="BC123" s="9"/>
      <c r="BD123" s="5" t="str">
        <f t="shared" si="611"/>
        <v/>
      </c>
      <c r="BE123" s="6" t="str">
        <f t="shared" si="748"/>
        <v/>
      </c>
      <c r="BF123" s="4" t="str">
        <f t="shared" si="749"/>
        <v/>
      </c>
      <c r="BG123" s="5" t="str">
        <f t="shared" si="750"/>
        <v/>
      </c>
      <c r="BH123" s="10" t="str">
        <f t="shared" si="751"/>
        <v/>
      </c>
      <c r="BI123" s="9" t="str">
        <f t="shared" si="634"/>
        <v/>
      </c>
      <c r="BJ123" s="5" t="str">
        <f t="shared" si="752"/>
        <v/>
      </c>
      <c r="BK123" s="8" t="str">
        <f t="shared" si="753"/>
        <v/>
      </c>
      <c r="BL123" s="173" t="str">
        <f t="shared" si="754"/>
        <v/>
      </c>
      <c r="BM123" s="5" t="str">
        <f t="shared" si="755"/>
        <v/>
      </c>
      <c r="BN123" s="6" t="str">
        <f t="shared" si="756"/>
        <v/>
      </c>
      <c r="BO123" s="4" t="str">
        <f t="shared" si="635"/>
        <v/>
      </c>
      <c r="BP123" s="5" t="str">
        <f t="shared" si="734"/>
        <v/>
      </c>
      <c r="BQ123" s="5" t="str">
        <f t="shared" si="636"/>
        <v/>
      </c>
      <c r="BR123" s="6" t="str">
        <f t="shared" si="637"/>
        <v/>
      </c>
      <c r="BS123" s="4" t="str">
        <f t="shared" si="839"/>
        <v/>
      </c>
      <c r="BT123" s="5" t="str">
        <f t="shared" si="839"/>
        <v/>
      </c>
      <c r="BU123" s="10" t="str">
        <f t="shared" si="613"/>
        <v/>
      </c>
      <c r="BV123" s="9" t="str">
        <f t="shared" si="614"/>
        <v/>
      </c>
      <c r="BW123" s="5" t="str">
        <f t="shared" si="615"/>
        <v/>
      </c>
      <c r="BX123" s="8" t="str">
        <f t="shared" si="616"/>
        <v/>
      </c>
      <c r="BY123" s="173" t="str">
        <f t="shared" si="617"/>
        <v/>
      </c>
      <c r="BZ123" s="5" t="str">
        <f t="shared" si="618"/>
        <v/>
      </c>
      <c r="CA123" s="6" t="str">
        <f t="shared" si="619"/>
        <v/>
      </c>
      <c r="CB123" s="4" t="str">
        <f t="shared" si="638"/>
        <v/>
      </c>
      <c r="CC123" s="5" t="str">
        <f t="shared" si="639"/>
        <v/>
      </c>
      <c r="CD123" s="5" t="str">
        <f t="shared" si="640"/>
        <v/>
      </c>
      <c r="CE123" s="6" t="str">
        <f t="shared" si="641"/>
        <v/>
      </c>
      <c r="CF123" s="4" t="str">
        <f t="shared" si="642"/>
        <v/>
      </c>
      <c r="CG123" s="5" t="str">
        <f t="shared" si="643"/>
        <v/>
      </c>
      <c r="CH123" s="5" t="str">
        <f t="shared" si="644"/>
        <v/>
      </c>
      <c r="CI123" s="4" t="str">
        <f t="shared" si="620"/>
        <v/>
      </c>
      <c r="CJ123" s="5" t="str">
        <f t="shared" si="621"/>
        <v/>
      </c>
      <c r="CK123" s="8" t="str">
        <f t="shared" si="622"/>
        <v/>
      </c>
      <c r="CL123" s="173" t="str">
        <f t="shared" si="623"/>
        <v/>
      </c>
      <c r="CM123" s="5" t="str">
        <f t="shared" si="624"/>
        <v/>
      </c>
      <c r="CN123" s="6" t="str">
        <f t="shared" si="625"/>
        <v/>
      </c>
      <c r="CO123" s="167" t="str">
        <f t="shared" si="757"/>
        <v/>
      </c>
      <c r="CP123" s="4" t="str">
        <f t="shared" si="645"/>
        <v/>
      </c>
      <c r="CQ123" s="5" t="str">
        <f t="shared" si="646"/>
        <v/>
      </c>
      <c r="CR123" s="5" t="str">
        <f t="shared" si="647"/>
        <v/>
      </c>
      <c r="CS123" s="8" t="str">
        <f t="shared" si="648"/>
        <v/>
      </c>
      <c r="CT123" s="9" t="str">
        <f t="shared" si="649"/>
        <v/>
      </c>
      <c r="CU123" s="6" t="str">
        <f t="shared" si="650"/>
        <v/>
      </c>
      <c r="CV123" s="4" t="str">
        <f t="shared" si="651"/>
        <v/>
      </c>
      <c r="CW123" s="5" t="str">
        <f t="shared" si="652"/>
        <v/>
      </c>
      <c r="CX123" s="8" t="str">
        <f t="shared" si="653"/>
        <v/>
      </c>
      <c r="CY123" s="9" t="str">
        <f t="shared" si="654"/>
        <v/>
      </c>
      <c r="CZ123" s="5" t="str">
        <f t="shared" si="655"/>
        <v/>
      </c>
      <c r="DA123" s="6" t="str">
        <f t="shared" si="656"/>
        <v/>
      </c>
      <c r="DB123" s="4" t="str">
        <f t="shared" si="843"/>
        <v/>
      </c>
      <c r="DC123" s="5" t="str">
        <f t="shared" si="843"/>
        <v/>
      </c>
      <c r="DD123" s="10" t="str">
        <f t="shared" si="658"/>
        <v/>
      </c>
      <c r="DE123" s="9" t="str">
        <f t="shared" si="844"/>
        <v/>
      </c>
      <c r="DF123" s="5" t="str">
        <f t="shared" si="844"/>
        <v/>
      </c>
      <c r="DG123" s="10" t="str">
        <f t="shared" si="660"/>
        <v/>
      </c>
      <c r="DH123" s="70" t="str">
        <f t="shared" si="661"/>
        <v/>
      </c>
      <c r="DI123" s="4" t="str">
        <f t="shared" si="662"/>
        <v/>
      </c>
      <c r="DJ123" s="5" t="str">
        <f t="shared" si="663"/>
        <v/>
      </c>
      <c r="DK123" s="10" t="str">
        <f t="shared" si="664"/>
        <v/>
      </c>
      <c r="DL123" s="9" t="str">
        <f t="shared" si="665"/>
        <v/>
      </c>
      <c r="DM123" s="173" t="str">
        <f t="shared" si="666"/>
        <v/>
      </c>
      <c r="DN123" s="178" t="str">
        <f t="shared" si="667"/>
        <v/>
      </c>
      <c r="DO123" s="9" t="str">
        <f t="shared" si="668"/>
        <v/>
      </c>
      <c r="DP123" s="173" t="str">
        <f t="shared" si="669"/>
        <v/>
      </c>
      <c r="DQ123" s="11" t="str">
        <f t="shared" si="670"/>
        <v/>
      </c>
      <c r="DR123" s="173" t="str">
        <f t="shared" si="671"/>
        <v/>
      </c>
      <c r="DS123" s="5" t="str">
        <f t="shared" si="672"/>
        <v/>
      </c>
      <c r="DT123" s="5" t="str">
        <f t="shared" si="673"/>
        <v/>
      </c>
      <c r="DU123" s="5" t="str">
        <f t="shared" si="674"/>
        <v/>
      </c>
      <c r="DV123" s="5" t="str">
        <f t="shared" si="675"/>
        <v/>
      </c>
      <c r="DW123" s="5" t="str">
        <f t="shared" si="676"/>
        <v/>
      </c>
      <c r="DX123" s="167" t="str">
        <f t="shared" si="677"/>
        <v/>
      </c>
      <c r="DY123" s="9" t="str">
        <f t="shared" si="678"/>
        <v/>
      </c>
      <c r="DZ123" s="5" t="str">
        <f t="shared" si="679"/>
        <v/>
      </c>
      <c r="EA123" s="10" t="str">
        <f t="shared" si="680"/>
        <v/>
      </c>
      <c r="EB123" s="6" t="str">
        <f t="shared" si="681"/>
        <v/>
      </c>
      <c r="EC123" s="173" t="str">
        <f t="shared" si="682"/>
        <v/>
      </c>
      <c r="ED123" s="5" t="str">
        <f t="shared" si="683"/>
        <v/>
      </c>
      <c r="EE123" s="4" t="str">
        <f t="shared" si="684"/>
        <v/>
      </c>
      <c r="EF123" s="5" t="str">
        <f t="shared" si="685"/>
        <v/>
      </c>
      <c r="EG123" s="10" t="str">
        <f t="shared" si="686"/>
        <v/>
      </c>
      <c r="EH123" s="9" t="str">
        <f t="shared" si="687"/>
        <v/>
      </c>
      <c r="EI123" s="5" t="str">
        <f t="shared" si="688"/>
        <v/>
      </c>
      <c r="EJ123" s="6" t="str">
        <f t="shared" si="689"/>
        <v/>
      </c>
      <c r="EK123" s="236" t="str">
        <f t="shared" si="690"/>
        <v/>
      </c>
      <c r="EL123" s="238" t="str">
        <f t="shared" si="691"/>
        <v/>
      </c>
      <c r="EM123" s="4" t="str">
        <f t="shared" si="692"/>
        <v/>
      </c>
      <c r="EN123" s="5" t="str">
        <f t="shared" si="693"/>
        <v/>
      </c>
      <c r="EO123" s="10" t="str">
        <f t="shared" si="694"/>
        <v/>
      </c>
      <c r="EP123" s="9" t="str">
        <f t="shared" si="695"/>
        <v/>
      </c>
      <c r="EQ123" s="5" t="str">
        <f t="shared" si="696"/>
        <v/>
      </c>
      <c r="ER123" s="7" t="str">
        <f t="shared" si="697"/>
        <v/>
      </c>
      <c r="ES123" s="21" t="str">
        <f t="shared" si="758"/>
        <v/>
      </c>
      <c r="ET123" s="5" t="str">
        <f t="shared" si="759"/>
        <v/>
      </c>
      <c r="EU123" s="10" t="str">
        <f t="shared" si="760"/>
        <v/>
      </c>
      <c r="EV123" s="174" t="str">
        <f t="shared" si="761"/>
        <v/>
      </c>
      <c r="EW123" s="9" t="str">
        <f t="shared" si="762"/>
        <v/>
      </c>
      <c r="EX123" s="5" t="str">
        <f t="shared" si="763"/>
        <v/>
      </c>
      <c r="EY123" s="6" t="str">
        <f t="shared" si="698"/>
        <v/>
      </c>
      <c r="EZ123" s="51" t="str">
        <f t="shared" si="699"/>
        <v/>
      </c>
      <c r="FA123" s="173" t="str">
        <f t="shared" si="764"/>
        <v/>
      </c>
      <c r="FB123" s="5" t="str">
        <f t="shared" si="765"/>
        <v/>
      </c>
      <c r="FC123" s="6" t="str">
        <f t="shared" si="766"/>
        <v/>
      </c>
      <c r="FD123" s="4" t="str">
        <f t="shared" si="767"/>
        <v/>
      </c>
      <c r="FE123" s="5" t="str">
        <f t="shared" si="768"/>
        <v/>
      </c>
      <c r="FF123" s="7" t="str">
        <f t="shared" si="700"/>
        <v/>
      </c>
      <c r="FG123" s="173" t="str">
        <f t="shared" si="769"/>
        <v/>
      </c>
      <c r="FH123" s="5" t="str">
        <f t="shared" si="770"/>
        <v/>
      </c>
      <c r="FI123" s="10" t="str">
        <f t="shared" si="771"/>
        <v/>
      </c>
      <c r="FJ123" s="279" t="str">
        <f t="shared" si="701"/>
        <v/>
      </c>
      <c r="FK123" s="4" t="str">
        <f t="shared" si="772"/>
        <v/>
      </c>
      <c r="FL123" s="5" t="str">
        <f t="shared" si="626"/>
        <v/>
      </c>
      <c r="FM123" s="8" t="str">
        <f t="shared" si="627"/>
        <v/>
      </c>
      <c r="FN123" s="9" t="str">
        <f t="shared" si="628"/>
        <v/>
      </c>
      <c r="FO123" s="10" t="str">
        <f t="shared" si="773"/>
        <v/>
      </c>
      <c r="FP123" s="277" t="str">
        <f t="shared" si="629"/>
        <v/>
      </c>
      <c r="FQ123" s="173" t="str">
        <f t="shared" si="702"/>
        <v/>
      </c>
      <c r="FR123" s="10" t="str">
        <f t="shared" si="703"/>
        <v/>
      </c>
      <c r="FS123" s="9" t="str">
        <f t="shared" si="704"/>
        <v/>
      </c>
      <c r="FT123" s="6" t="str">
        <f t="shared" si="705"/>
        <v/>
      </c>
      <c r="FU123" s="4" t="str">
        <f t="shared" si="706"/>
        <v/>
      </c>
      <c r="FV123" s="5" t="str">
        <f t="shared" si="707"/>
        <v/>
      </c>
      <c r="FW123" s="8" t="str">
        <f t="shared" si="708"/>
        <v/>
      </c>
      <c r="FX123" s="9" t="str">
        <f t="shared" si="709"/>
        <v/>
      </c>
      <c r="FY123" s="10" t="str">
        <f t="shared" si="774"/>
        <v/>
      </c>
      <c r="FZ123" s="277" t="str">
        <f t="shared" si="710"/>
        <v/>
      </c>
      <c r="GA123" s="177" t="str">
        <f t="shared" si="711"/>
        <v/>
      </c>
      <c r="GB123" s="4" t="str">
        <f t="shared" si="712"/>
        <v/>
      </c>
      <c r="GC123" s="5" t="str">
        <f t="shared" si="713"/>
        <v/>
      </c>
      <c r="GD123" s="10" t="str">
        <f t="shared" si="714"/>
        <v/>
      </c>
      <c r="GE123" s="311" t="str">
        <f t="shared" si="715"/>
        <v/>
      </c>
      <c r="GF123" s="341" t="str">
        <f t="shared" si="716"/>
        <v/>
      </c>
      <c r="GG123" s="285" t="str">
        <f t="shared" si="775"/>
        <v/>
      </c>
      <c r="GH123" s="286" t="str">
        <f t="shared" si="776"/>
        <v/>
      </c>
      <c r="GI123" s="281" t="str">
        <f t="shared" si="777"/>
        <v/>
      </c>
      <c r="GJ123" s="167" t="str">
        <f t="shared" si="717"/>
        <v/>
      </c>
      <c r="GK123" s="174" t="str">
        <f t="shared" si="778"/>
        <v/>
      </c>
      <c r="GL123" s="174" t="str">
        <f t="shared" si="718"/>
        <v/>
      </c>
      <c r="GM123" s="177" t="str">
        <f t="shared" si="719"/>
        <v/>
      </c>
      <c r="GN123" s="280" t="str">
        <f t="shared" si="720"/>
        <v/>
      </c>
      <c r="GO123" s="4" t="str">
        <f t="shared" si="721"/>
        <v/>
      </c>
      <c r="GP123" s="8" t="str">
        <f t="shared" si="722"/>
        <v/>
      </c>
      <c r="GQ123" s="177" t="str">
        <f t="shared" si="723"/>
        <v/>
      </c>
      <c r="GR123" s="371" t="str">
        <f t="shared" si="724"/>
        <v/>
      </c>
      <c r="GS123" s="342" t="str">
        <f t="shared" si="779"/>
        <v/>
      </c>
      <c r="GT123" s="343" t="str">
        <f t="shared" si="780"/>
        <v/>
      </c>
      <c r="GU123" s="344" t="str">
        <f t="shared" si="781"/>
        <v/>
      </c>
      <c r="GV123" s="343" t="str">
        <f t="shared" si="725"/>
        <v/>
      </c>
      <c r="GW123" s="345" t="str">
        <f t="shared" si="782"/>
        <v/>
      </c>
      <c r="GX123" s="346" t="str">
        <f t="shared" si="783"/>
        <v/>
      </c>
      <c r="GY123" s="344" t="str">
        <f t="shared" si="784"/>
        <v/>
      </c>
      <c r="GZ123" s="345" t="str">
        <f t="shared" si="785"/>
        <v/>
      </c>
      <c r="HA123" s="342" t="str">
        <f t="shared" si="786"/>
        <v/>
      </c>
      <c r="HB123" s="5" t="str">
        <f t="shared" si="726"/>
        <v/>
      </c>
      <c r="HC123" s="343" t="str">
        <f t="shared" si="727"/>
        <v/>
      </c>
      <c r="HD123" s="363" t="str">
        <f t="shared" si="728"/>
        <v/>
      </c>
      <c r="HE123" s="344" t="str">
        <f t="shared" si="787"/>
        <v/>
      </c>
      <c r="HF123" s="5" t="str">
        <f t="shared" si="788"/>
        <v/>
      </c>
      <c r="HG123" s="343" t="str">
        <f t="shared" si="729"/>
        <v/>
      </c>
      <c r="HH123" s="349" t="str">
        <f t="shared" si="730"/>
        <v/>
      </c>
      <c r="HI123" s="317" t="str">
        <f t="shared" si="789"/>
        <v/>
      </c>
      <c r="HK123" s="310" t="str">
        <f t="shared" si="840"/>
        <v/>
      </c>
      <c r="HL123" s="348" t="str">
        <f t="shared" si="790"/>
        <v/>
      </c>
      <c r="HM123" s="909" t="str">
        <f t="shared" si="791"/>
        <v/>
      </c>
      <c r="HN123" s="910" t="str">
        <f t="shared" si="792"/>
        <v/>
      </c>
      <c r="HO123" s="911"/>
      <c r="HP123" s="912"/>
      <c r="HQ123" s="910" t="str">
        <f t="shared" si="793"/>
        <v/>
      </c>
      <c r="HR123" s="913" t="str">
        <f t="shared" si="794"/>
        <v/>
      </c>
      <c r="HS123" s="865" t="str">
        <f t="shared" si="841"/>
        <v/>
      </c>
      <c r="HT123" s="875" t="str">
        <f t="shared" si="795"/>
        <v/>
      </c>
      <c r="HU123" s="876" t="str">
        <f t="shared" si="796"/>
        <v/>
      </c>
      <c r="HV123" s="872" t="str">
        <f t="shared" si="797"/>
        <v/>
      </c>
      <c r="HW123" s="866" t="str">
        <f t="shared" si="798"/>
        <v/>
      </c>
      <c r="HX123" s="867" t="str">
        <f t="shared" si="799"/>
        <v/>
      </c>
      <c r="HY123" s="866" t="str">
        <f t="shared" si="800"/>
        <v/>
      </c>
      <c r="HZ123" s="868" t="str">
        <f t="shared" si="801"/>
        <v/>
      </c>
      <c r="IA123" s="869" t="str">
        <f t="shared" si="802"/>
        <v/>
      </c>
      <c r="IB123" s="870" t="str">
        <f t="shared" si="803"/>
        <v/>
      </c>
      <c r="IC123" s="841" t="str">
        <f t="shared" si="804"/>
        <v/>
      </c>
      <c r="ID123" s="351" t="str">
        <f t="shared" si="805"/>
        <v/>
      </c>
      <c r="IE123" s="843" t="str">
        <f t="shared" si="806"/>
        <v/>
      </c>
      <c r="IF123" s="844"/>
      <c r="IG123" s="790" t="str">
        <f>IFERROR(IF($IW123="","",IF($IW123&lt;(((Settings!$C$19/2)*-1)*$IG$8),"Taper","Nose")),"")</f>
        <v/>
      </c>
      <c r="IH123" s="482" t="str">
        <f>IFERROR(IF((((($IY123*COS(RADIANS(180-$JA123)))*COS(RADIANS($JA123)))-(($IZ123*SIN(RADIANS(180-$JA123)))*SIN(RADIANS($JA123))))+$IW123)&lt;(((Settings!$C$19+$IH$8)/2)*-1),"Gage",""),"")</f>
        <v/>
      </c>
      <c r="II123" s="788" t="str">
        <f t="shared" si="731"/>
        <v/>
      </c>
      <c r="IJ123" s="674" t="str" cm="1">
        <f t="array" ref="IJ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K123" s="677" t="str" cm="1">
        <f t="array" ref="IK123">IFERROR(ROUND(VALUE(IF($IJ123&lt;1,$IJ123+LARGE((IF($M$9:$M$150="",0,$M$9:$M$150)-MOD(IF($M$9:$M$150="",0,$M$9:$M$150),1)),1),$IJ123)),4),"")</f>
        <v/>
      </c>
      <c r="IL123" s="482" t="str">
        <f t="shared" si="807"/>
        <v/>
      </c>
      <c r="IM123" s="482" t="str">
        <f t="shared" si="732"/>
        <v/>
      </c>
      <c r="IN123" s="670" t="str">
        <f t="shared" si="808"/>
        <v/>
      </c>
      <c r="IO123" s="702"/>
      <c r="IP123" s="5" t="str">
        <f t="shared" si="809"/>
        <v/>
      </c>
      <c r="IQ123" s="714"/>
      <c r="IR123" s="9" t="str">
        <f t="shared" si="810"/>
        <v/>
      </c>
      <c r="IS123" s="5" t="str">
        <f t="shared" si="811"/>
        <v/>
      </c>
      <c r="IT123" s="5" t="str">
        <f t="shared" si="812"/>
        <v/>
      </c>
      <c r="IU123" s="5" t="str">
        <f t="shared" si="813"/>
        <v/>
      </c>
      <c r="IV123" s="670" t="str">
        <f t="shared" si="814"/>
        <v/>
      </c>
      <c r="IW123" s="9" t="str">
        <f t="shared" si="815"/>
        <v/>
      </c>
      <c r="IX123" s="5" t="str">
        <f t="shared" si="816"/>
        <v/>
      </c>
      <c r="IY123" s="5" t="str">
        <f t="shared" si="817"/>
        <v/>
      </c>
      <c r="IZ123" s="5" t="str">
        <f t="shared" si="818"/>
        <v/>
      </c>
      <c r="JA123" s="705" t="str">
        <f t="shared" si="819"/>
        <v/>
      </c>
    </row>
    <row r="124" spans="1:261" ht="15" customHeight="1" x14ac:dyDescent="0.25">
      <c r="A124" s="75" t="str">
        <f t="shared" si="736"/>
        <v/>
      </c>
      <c r="B124" s="578" t="str">
        <f t="shared" si="845"/>
        <v/>
      </c>
      <c r="C124" s="572" t="str">
        <f t="shared" si="846"/>
        <v/>
      </c>
      <c r="D124" s="576" t="str">
        <f t="shared" si="847"/>
        <v/>
      </c>
      <c r="E124" s="580" t="str">
        <f t="shared" si="848"/>
        <v/>
      </c>
      <c r="F124" s="572" t="str">
        <f t="shared" si="849"/>
        <v/>
      </c>
      <c r="G124" s="579" t="str">
        <f t="shared" si="850"/>
        <v/>
      </c>
      <c r="H124" s="580" t="str">
        <f t="shared" si="851"/>
        <v/>
      </c>
      <c r="I124" s="572" t="str">
        <f t="shared" si="852"/>
        <v/>
      </c>
      <c r="J124" s="483" t="str">
        <f t="shared" si="853"/>
        <v/>
      </c>
      <c r="K124" s="806" t="str">
        <f t="shared" si="854"/>
        <v/>
      </c>
      <c r="L124" s="309"/>
      <c r="M124" s="164" t="str">
        <f t="shared" si="737"/>
        <v/>
      </c>
      <c r="N124" s="575" t="str">
        <f t="shared" si="738"/>
        <v/>
      </c>
      <c r="O124" s="572" t="str">
        <f t="shared" si="739"/>
        <v/>
      </c>
      <c r="P124" s="576" t="str">
        <f t="shared" si="740"/>
        <v/>
      </c>
      <c r="Q124" s="528" t="str">
        <f t="shared" si="609"/>
        <v/>
      </c>
      <c r="R124" s="572" t="str">
        <f t="shared" si="820"/>
        <v/>
      </c>
      <c r="S124" s="577" t="str">
        <f t="shared" si="821"/>
        <v/>
      </c>
      <c r="T124" s="578" t="str">
        <f t="shared" si="822"/>
        <v/>
      </c>
      <c r="U124" s="572" t="str">
        <f t="shared" si="823"/>
        <v/>
      </c>
      <c r="V124" s="579" t="str">
        <f t="shared" si="824"/>
        <v/>
      </c>
      <c r="W124" s="528" t="str">
        <f t="shared" si="735"/>
        <v/>
      </c>
      <c r="X124" s="572" t="str">
        <f t="shared" si="825"/>
        <v/>
      </c>
      <c r="Y124" s="573" t="str">
        <f t="shared" si="733"/>
        <v/>
      </c>
      <c r="Z124" s="575" t="str">
        <f t="shared" si="741"/>
        <v/>
      </c>
      <c r="AA124" s="572" t="str">
        <f t="shared" si="742"/>
        <v/>
      </c>
      <c r="AB124" s="572" t="str">
        <f t="shared" si="743"/>
        <v/>
      </c>
      <c r="AC124" s="579" t="str">
        <f t="shared" si="826"/>
        <v/>
      </c>
      <c r="AD124" s="580" t="str">
        <f t="shared" si="827"/>
        <v/>
      </c>
      <c r="AE124" s="572" t="str">
        <f t="shared" si="828"/>
        <v/>
      </c>
      <c r="AF124" s="576" t="str">
        <f t="shared" si="829"/>
        <v/>
      </c>
      <c r="AG124" s="545" t="str">
        <f t="shared" si="830"/>
        <v/>
      </c>
      <c r="AH124" s="546" t="str">
        <f t="shared" si="831"/>
        <v/>
      </c>
      <c r="AI124" s="528" t="str">
        <f t="shared" si="832"/>
        <v/>
      </c>
      <c r="AJ124" s="529" t="str">
        <f t="shared" si="833"/>
        <v/>
      </c>
      <c r="AK124" s="578" t="str">
        <f t="shared" si="834"/>
        <v/>
      </c>
      <c r="AL124" s="572" t="str">
        <f t="shared" si="835"/>
        <v/>
      </c>
      <c r="AM124" s="577" t="str">
        <f t="shared" si="836"/>
        <v/>
      </c>
      <c r="AN124" s="524" t="str">
        <f t="shared" si="837"/>
        <v/>
      </c>
      <c r="AO124" s="525" t="str">
        <f t="shared" si="855"/>
        <v/>
      </c>
      <c r="AP124" s="528" t="str">
        <f t="shared" si="838"/>
        <v/>
      </c>
      <c r="AQ124" s="529" t="str">
        <f t="shared" si="744"/>
        <v/>
      </c>
      <c r="AS124" s="932" t="str">
        <f t="shared" si="842"/>
        <v/>
      </c>
      <c r="AT124" s="928" t="str">
        <f t="shared" si="745"/>
        <v/>
      </c>
      <c r="AU124" s="418"/>
      <c r="AV124" s="164" t="str">
        <f t="shared" si="746"/>
        <v/>
      </c>
      <c r="AW124" s="797" t="str">
        <f>IFERROR(INDEX(MassProp!C$9:C$150,MATCH($M124,MassProp!$B$9:$B$150,0)),"")</f>
        <v/>
      </c>
      <c r="AX124" s="744" t="str">
        <f>IFERROR(INDEX(MassProp!D$9:D$150,MATCH($M124,MassProp!$B$9:$B$150,0)),"")</f>
        <v/>
      </c>
      <c r="AY124" s="731" t="str">
        <f>IFERROR(INDEX(MassProp!E$9:E$150,MATCH($M124,MassProp!$B$9:$B$150,0)),"")</f>
        <v/>
      </c>
      <c r="AZ124" s="297" t="str">
        <f t="shared" si="633"/>
        <v/>
      </c>
      <c r="BA124" s="296" t="str">
        <f t="shared" si="747"/>
        <v/>
      </c>
      <c r="BB124" s="177" t="str">
        <f t="shared" si="610"/>
        <v/>
      </c>
      <c r="BC124" s="9"/>
      <c r="BD124" s="5" t="str">
        <f t="shared" si="611"/>
        <v/>
      </c>
      <c r="BE124" s="6" t="str">
        <f t="shared" si="748"/>
        <v/>
      </c>
      <c r="BF124" s="4" t="str">
        <f t="shared" si="749"/>
        <v/>
      </c>
      <c r="BG124" s="5" t="str">
        <f t="shared" si="750"/>
        <v/>
      </c>
      <c r="BH124" s="10" t="str">
        <f t="shared" si="751"/>
        <v/>
      </c>
      <c r="BI124" s="9" t="str">
        <f t="shared" si="634"/>
        <v/>
      </c>
      <c r="BJ124" s="5" t="str">
        <f t="shared" si="752"/>
        <v/>
      </c>
      <c r="BK124" s="8" t="str">
        <f t="shared" si="753"/>
        <v/>
      </c>
      <c r="BL124" s="173" t="str">
        <f t="shared" si="754"/>
        <v/>
      </c>
      <c r="BM124" s="5" t="str">
        <f t="shared" si="755"/>
        <v/>
      </c>
      <c r="BN124" s="6" t="str">
        <f t="shared" si="756"/>
        <v/>
      </c>
      <c r="BO124" s="4" t="str">
        <f t="shared" si="635"/>
        <v/>
      </c>
      <c r="BP124" s="5" t="str">
        <f t="shared" si="734"/>
        <v/>
      </c>
      <c r="BQ124" s="5" t="str">
        <f t="shared" si="636"/>
        <v/>
      </c>
      <c r="BR124" s="6" t="str">
        <f t="shared" si="637"/>
        <v/>
      </c>
      <c r="BS124" s="4" t="str">
        <f t="shared" si="839"/>
        <v/>
      </c>
      <c r="BT124" s="5" t="str">
        <f t="shared" si="839"/>
        <v/>
      </c>
      <c r="BU124" s="10" t="str">
        <f t="shared" si="613"/>
        <v/>
      </c>
      <c r="BV124" s="9" t="str">
        <f t="shared" si="614"/>
        <v/>
      </c>
      <c r="BW124" s="5" t="str">
        <f t="shared" si="615"/>
        <v/>
      </c>
      <c r="BX124" s="8" t="str">
        <f t="shared" si="616"/>
        <v/>
      </c>
      <c r="BY124" s="173" t="str">
        <f t="shared" si="617"/>
        <v/>
      </c>
      <c r="BZ124" s="5" t="str">
        <f t="shared" si="618"/>
        <v/>
      </c>
      <c r="CA124" s="6" t="str">
        <f t="shared" si="619"/>
        <v/>
      </c>
      <c r="CB124" s="4" t="str">
        <f t="shared" si="638"/>
        <v/>
      </c>
      <c r="CC124" s="5" t="str">
        <f t="shared" si="639"/>
        <v/>
      </c>
      <c r="CD124" s="5" t="str">
        <f t="shared" si="640"/>
        <v/>
      </c>
      <c r="CE124" s="6" t="str">
        <f t="shared" si="641"/>
        <v/>
      </c>
      <c r="CF124" s="4" t="str">
        <f t="shared" si="642"/>
        <v/>
      </c>
      <c r="CG124" s="5" t="str">
        <f t="shared" si="643"/>
        <v/>
      </c>
      <c r="CH124" s="5" t="str">
        <f t="shared" si="644"/>
        <v/>
      </c>
      <c r="CI124" s="4" t="str">
        <f t="shared" si="620"/>
        <v/>
      </c>
      <c r="CJ124" s="5" t="str">
        <f t="shared" si="621"/>
        <v/>
      </c>
      <c r="CK124" s="8" t="str">
        <f t="shared" si="622"/>
        <v/>
      </c>
      <c r="CL124" s="173" t="str">
        <f t="shared" si="623"/>
        <v/>
      </c>
      <c r="CM124" s="5" t="str">
        <f t="shared" si="624"/>
        <v/>
      </c>
      <c r="CN124" s="6" t="str">
        <f t="shared" si="625"/>
        <v/>
      </c>
      <c r="CO124" s="167" t="str">
        <f t="shared" si="757"/>
        <v/>
      </c>
      <c r="CP124" s="4" t="str">
        <f t="shared" si="645"/>
        <v/>
      </c>
      <c r="CQ124" s="5" t="str">
        <f t="shared" si="646"/>
        <v/>
      </c>
      <c r="CR124" s="5" t="str">
        <f t="shared" si="647"/>
        <v/>
      </c>
      <c r="CS124" s="8" t="str">
        <f t="shared" si="648"/>
        <v/>
      </c>
      <c r="CT124" s="9" t="str">
        <f t="shared" si="649"/>
        <v/>
      </c>
      <c r="CU124" s="6" t="str">
        <f t="shared" si="650"/>
        <v/>
      </c>
      <c r="CV124" s="4" t="str">
        <f t="shared" si="651"/>
        <v/>
      </c>
      <c r="CW124" s="5" t="str">
        <f t="shared" si="652"/>
        <v/>
      </c>
      <c r="CX124" s="8" t="str">
        <f t="shared" si="653"/>
        <v/>
      </c>
      <c r="CY124" s="9" t="str">
        <f t="shared" si="654"/>
        <v/>
      </c>
      <c r="CZ124" s="5" t="str">
        <f t="shared" si="655"/>
        <v/>
      </c>
      <c r="DA124" s="6" t="str">
        <f t="shared" si="656"/>
        <v/>
      </c>
      <c r="DB124" s="4" t="str">
        <f t="shared" si="843"/>
        <v/>
      </c>
      <c r="DC124" s="5" t="str">
        <f t="shared" si="843"/>
        <v/>
      </c>
      <c r="DD124" s="10" t="str">
        <f t="shared" si="658"/>
        <v/>
      </c>
      <c r="DE124" s="9" t="str">
        <f t="shared" si="844"/>
        <v/>
      </c>
      <c r="DF124" s="5" t="str">
        <f t="shared" si="844"/>
        <v/>
      </c>
      <c r="DG124" s="10" t="str">
        <f t="shared" si="660"/>
        <v/>
      </c>
      <c r="DH124" s="70" t="str">
        <f t="shared" si="661"/>
        <v/>
      </c>
      <c r="DI124" s="4" t="str">
        <f t="shared" si="662"/>
        <v/>
      </c>
      <c r="DJ124" s="5" t="str">
        <f t="shared" si="663"/>
        <v/>
      </c>
      <c r="DK124" s="10" t="str">
        <f t="shared" si="664"/>
        <v/>
      </c>
      <c r="DL124" s="9" t="str">
        <f t="shared" si="665"/>
        <v/>
      </c>
      <c r="DM124" s="173" t="str">
        <f t="shared" si="666"/>
        <v/>
      </c>
      <c r="DN124" s="178" t="str">
        <f t="shared" si="667"/>
        <v/>
      </c>
      <c r="DO124" s="9" t="str">
        <f t="shared" si="668"/>
        <v/>
      </c>
      <c r="DP124" s="173" t="str">
        <f t="shared" si="669"/>
        <v/>
      </c>
      <c r="DQ124" s="11" t="str">
        <f t="shared" si="670"/>
        <v/>
      </c>
      <c r="DR124" s="173" t="str">
        <f t="shared" si="671"/>
        <v/>
      </c>
      <c r="DS124" s="5" t="str">
        <f t="shared" si="672"/>
        <v/>
      </c>
      <c r="DT124" s="5" t="str">
        <f t="shared" si="673"/>
        <v/>
      </c>
      <c r="DU124" s="5" t="str">
        <f t="shared" si="674"/>
        <v/>
      </c>
      <c r="DV124" s="5" t="str">
        <f t="shared" si="675"/>
        <v/>
      </c>
      <c r="DW124" s="5" t="str">
        <f t="shared" si="676"/>
        <v/>
      </c>
      <c r="DX124" s="167" t="str">
        <f t="shared" si="677"/>
        <v/>
      </c>
      <c r="DY124" s="9" t="str">
        <f t="shared" si="678"/>
        <v/>
      </c>
      <c r="DZ124" s="5" t="str">
        <f t="shared" si="679"/>
        <v/>
      </c>
      <c r="EA124" s="10" t="str">
        <f t="shared" si="680"/>
        <v/>
      </c>
      <c r="EB124" s="6" t="str">
        <f t="shared" si="681"/>
        <v/>
      </c>
      <c r="EC124" s="173" t="str">
        <f t="shared" si="682"/>
        <v/>
      </c>
      <c r="ED124" s="5" t="str">
        <f t="shared" si="683"/>
        <v/>
      </c>
      <c r="EE124" s="4" t="str">
        <f t="shared" si="684"/>
        <v/>
      </c>
      <c r="EF124" s="5" t="str">
        <f t="shared" si="685"/>
        <v/>
      </c>
      <c r="EG124" s="10" t="str">
        <f t="shared" si="686"/>
        <v/>
      </c>
      <c r="EH124" s="9" t="str">
        <f t="shared" si="687"/>
        <v/>
      </c>
      <c r="EI124" s="5" t="str">
        <f t="shared" si="688"/>
        <v/>
      </c>
      <c r="EJ124" s="6" t="str">
        <f t="shared" si="689"/>
        <v/>
      </c>
      <c r="EK124" s="236" t="str">
        <f t="shared" si="690"/>
        <v/>
      </c>
      <c r="EL124" s="238" t="str">
        <f t="shared" si="691"/>
        <v/>
      </c>
      <c r="EM124" s="4" t="str">
        <f t="shared" si="692"/>
        <v/>
      </c>
      <c r="EN124" s="5" t="str">
        <f t="shared" si="693"/>
        <v/>
      </c>
      <c r="EO124" s="10" t="str">
        <f t="shared" si="694"/>
        <v/>
      </c>
      <c r="EP124" s="9" t="str">
        <f t="shared" si="695"/>
        <v/>
      </c>
      <c r="EQ124" s="5" t="str">
        <f t="shared" si="696"/>
        <v/>
      </c>
      <c r="ER124" s="7" t="str">
        <f t="shared" si="697"/>
        <v/>
      </c>
      <c r="ES124" s="21" t="str">
        <f t="shared" si="758"/>
        <v/>
      </c>
      <c r="ET124" s="5" t="str">
        <f t="shared" si="759"/>
        <v/>
      </c>
      <c r="EU124" s="10" t="str">
        <f t="shared" si="760"/>
        <v/>
      </c>
      <c r="EV124" s="174" t="str">
        <f t="shared" si="761"/>
        <v/>
      </c>
      <c r="EW124" s="9" t="str">
        <f t="shared" si="762"/>
        <v/>
      </c>
      <c r="EX124" s="5" t="str">
        <f t="shared" si="763"/>
        <v/>
      </c>
      <c r="EY124" s="6" t="str">
        <f t="shared" si="698"/>
        <v/>
      </c>
      <c r="EZ124" s="51" t="str">
        <f t="shared" si="699"/>
        <v/>
      </c>
      <c r="FA124" s="173" t="str">
        <f t="shared" si="764"/>
        <v/>
      </c>
      <c r="FB124" s="5" t="str">
        <f t="shared" si="765"/>
        <v/>
      </c>
      <c r="FC124" s="6" t="str">
        <f t="shared" si="766"/>
        <v/>
      </c>
      <c r="FD124" s="4" t="str">
        <f t="shared" si="767"/>
        <v/>
      </c>
      <c r="FE124" s="5" t="str">
        <f t="shared" si="768"/>
        <v/>
      </c>
      <c r="FF124" s="7" t="str">
        <f t="shared" si="700"/>
        <v/>
      </c>
      <c r="FG124" s="173" t="str">
        <f t="shared" si="769"/>
        <v/>
      </c>
      <c r="FH124" s="5" t="str">
        <f t="shared" si="770"/>
        <v/>
      </c>
      <c r="FI124" s="10" t="str">
        <f t="shared" si="771"/>
        <v/>
      </c>
      <c r="FJ124" s="279" t="str">
        <f t="shared" si="701"/>
        <v/>
      </c>
      <c r="FK124" s="4" t="str">
        <f t="shared" si="772"/>
        <v/>
      </c>
      <c r="FL124" s="5" t="str">
        <f t="shared" si="626"/>
        <v/>
      </c>
      <c r="FM124" s="8" t="str">
        <f t="shared" si="627"/>
        <v/>
      </c>
      <c r="FN124" s="9" t="str">
        <f t="shared" si="628"/>
        <v/>
      </c>
      <c r="FO124" s="10" t="str">
        <f t="shared" si="773"/>
        <v/>
      </c>
      <c r="FP124" s="277" t="str">
        <f t="shared" si="629"/>
        <v/>
      </c>
      <c r="FQ124" s="173" t="str">
        <f t="shared" si="702"/>
        <v/>
      </c>
      <c r="FR124" s="10" t="str">
        <f t="shared" si="703"/>
        <v/>
      </c>
      <c r="FS124" s="9" t="str">
        <f t="shared" si="704"/>
        <v/>
      </c>
      <c r="FT124" s="6" t="str">
        <f t="shared" si="705"/>
        <v/>
      </c>
      <c r="FU124" s="4" t="str">
        <f t="shared" si="706"/>
        <v/>
      </c>
      <c r="FV124" s="5" t="str">
        <f t="shared" si="707"/>
        <v/>
      </c>
      <c r="FW124" s="8" t="str">
        <f t="shared" si="708"/>
        <v/>
      </c>
      <c r="FX124" s="9" t="str">
        <f t="shared" si="709"/>
        <v/>
      </c>
      <c r="FY124" s="10" t="str">
        <f t="shared" si="774"/>
        <v/>
      </c>
      <c r="FZ124" s="277" t="str">
        <f t="shared" si="710"/>
        <v/>
      </c>
      <c r="GA124" s="177" t="str">
        <f t="shared" si="711"/>
        <v/>
      </c>
      <c r="GB124" s="4" t="str">
        <f t="shared" si="712"/>
        <v/>
      </c>
      <c r="GC124" s="5" t="str">
        <f t="shared" si="713"/>
        <v/>
      </c>
      <c r="GD124" s="10" t="str">
        <f t="shared" si="714"/>
        <v/>
      </c>
      <c r="GE124" s="311" t="str">
        <f t="shared" si="715"/>
        <v/>
      </c>
      <c r="GF124" s="341" t="str">
        <f t="shared" si="716"/>
        <v/>
      </c>
      <c r="GG124" s="285" t="str">
        <f t="shared" si="775"/>
        <v/>
      </c>
      <c r="GH124" s="286" t="str">
        <f t="shared" si="776"/>
        <v/>
      </c>
      <c r="GI124" s="281" t="str">
        <f t="shared" si="777"/>
        <v/>
      </c>
      <c r="GJ124" s="167" t="str">
        <f t="shared" si="717"/>
        <v/>
      </c>
      <c r="GK124" s="174" t="str">
        <f t="shared" si="778"/>
        <v/>
      </c>
      <c r="GL124" s="174" t="str">
        <f t="shared" si="718"/>
        <v/>
      </c>
      <c r="GM124" s="177" t="str">
        <f t="shared" si="719"/>
        <v/>
      </c>
      <c r="GN124" s="280" t="str">
        <f t="shared" si="720"/>
        <v/>
      </c>
      <c r="GO124" s="4" t="str">
        <f t="shared" si="721"/>
        <v/>
      </c>
      <c r="GP124" s="8" t="str">
        <f t="shared" si="722"/>
        <v/>
      </c>
      <c r="GQ124" s="177" t="str">
        <f t="shared" si="723"/>
        <v/>
      </c>
      <c r="GR124" s="371" t="str">
        <f t="shared" si="724"/>
        <v/>
      </c>
      <c r="GS124" s="342" t="str">
        <f t="shared" si="779"/>
        <v/>
      </c>
      <c r="GT124" s="343" t="str">
        <f t="shared" si="780"/>
        <v/>
      </c>
      <c r="GU124" s="344" t="str">
        <f t="shared" si="781"/>
        <v/>
      </c>
      <c r="GV124" s="343" t="str">
        <f t="shared" si="725"/>
        <v/>
      </c>
      <c r="GW124" s="345" t="str">
        <f t="shared" si="782"/>
        <v/>
      </c>
      <c r="GX124" s="346" t="str">
        <f t="shared" si="783"/>
        <v/>
      </c>
      <c r="GY124" s="344" t="str">
        <f t="shared" si="784"/>
        <v/>
      </c>
      <c r="GZ124" s="345" t="str">
        <f t="shared" si="785"/>
        <v/>
      </c>
      <c r="HA124" s="342" t="str">
        <f t="shared" si="786"/>
        <v/>
      </c>
      <c r="HB124" s="5" t="str">
        <f t="shared" si="726"/>
        <v/>
      </c>
      <c r="HC124" s="343" t="str">
        <f t="shared" si="727"/>
        <v/>
      </c>
      <c r="HD124" s="363" t="str">
        <f t="shared" si="728"/>
        <v/>
      </c>
      <c r="HE124" s="344" t="str">
        <f t="shared" si="787"/>
        <v/>
      </c>
      <c r="HF124" s="5" t="str">
        <f t="shared" si="788"/>
        <v/>
      </c>
      <c r="HG124" s="343" t="str">
        <f t="shared" si="729"/>
        <v/>
      </c>
      <c r="HH124" s="349" t="str">
        <f t="shared" si="730"/>
        <v/>
      </c>
      <c r="HI124" s="317" t="str">
        <f t="shared" si="789"/>
        <v/>
      </c>
      <c r="HK124" s="310" t="str">
        <f t="shared" si="840"/>
        <v/>
      </c>
      <c r="HL124" s="348" t="str">
        <f t="shared" si="790"/>
        <v/>
      </c>
      <c r="HM124" s="909" t="str">
        <f t="shared" si="791"/>
        <v/>
      </c>
      <c r="HN124" s="910" t="str">
        <f t="shared" si="792"/>
        <v/>
      </c>
      <c r="HO124" s="911"/>
      <c r="HP124" s="912"/>
      <c r="HQ124" s="910" t="str">
        <f t="shared" si="793"/>
        <v/>
      </c>
      <c r="HR124" s="913" t="str">
        <f t="shared" si="794"/>
        <v/>
      </c>
      <c r="HS124" s="865" t="str">
        <f t="shared" si="841"/>
        <v/>
      </c>
      <c r="HT124" s="875" t="str">
        <f t="shared" si="795"/>
        <v/>
      </c>
      <c r="HU124" s="876" t="str">
        <f t="shared" si="796"/>
        <v/>
      </c>
      <c r="HV124" s="872" t="str">
        <f t="shared" si="797"/>
        <v/>
      </c>
      <c r="HW124" s="866" t="str">
        <f t="shared" si="798"/>
        <v/>
      </c>
      <c r="HX124" s="867" t="str">
        <f t="shared" si="799"/>
        <v/>
      </c>
      <c r="HY124" s="866" t="str">
        <f t="shared" si="800"/>
        <v/>
      </c>
      <c r="HZ124" s="868" t="str">
        <f t="shared" si="801"/>
        <v/>
      </c>
      <c r="IA124" s="869" t="str">
        <f t="shared" si="802"/>
        <v/>
      </c>
      <c r="IB124" s="870" t="str">
        <f t="shared" si="803"/>
        <v/>
      </c>
      <c r="IC124" s="841" t="str">
        <f t="shared" si="804"/>
        <v/>
      </c>
      <c r="ID124" s="351" t="str">
        <f t="shared" si="805"/>
        <v/>
      </c>
      <c r="IE124" s="843" t="str">
        <f t="shared" si="806"/>
        <v/>
      </c>
      <c r="IF124" s="844"/>
      <c r="IG124" s="790" t="str">
        <f>IFERROR(IF($IW124="","",IF($IW124&lt;(((Settings!$C$19/2)*-1)*$IG$8),"Taper","Nose")),"")</f>
        <v/>
      </c>
      <c r="IH124" s="482" t="str">
        <f>IFERROR(IF((((($IY124*COS(RADIANS(180-$JA124)))*COS(RADIANS($JA124)))-(($IZ124*SIN(RADIANS(180-$JA124)))*SIN(RADIANS($JA124))))+$IW124)&lt;(((Settings!$C$19+$IH$8)/2)*-1),"Gage",""),"")</f>
        <v/>
      </c>
      <c r="II124" s="788" t="str">
        <f t="shared" si="731"/>
        <v/>
      </c>
      <c r="IJ124" s="674" t="str" cm="1">
        <f t="array" ref="IJ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K124" s="677" t="str" cm="1">
        <f t="array" ref="IK124">IFERROR(ROUND(VALUE(IF($IJ124&lt;1,$IJ124+LARGE((IF($M$9:$M$150="",0,$M$9:$M$150)-MOD(IF($M$9:$M$150="",0,$M$9:$M$150),1)),1),$IJ124)),4),"")</f>
        <v/>
      </c>
      <c r="IL124" s="482" t="str">
        <f t="shared" si="807"/>
        <v/>
      </c>
      <c r="IM124" s="482" t="str">
        <f t="shared" si="732"/>
        <v/>
      </c>
      <c r="IN124" s="670" t="str">
        <f t="shared" si="808"/>
        <v/>
      </c>
      <c r="IO124" s="702"/>
      <c r="IP124" s="5" t="str">
        <f t="shared" si="809"/>
        <v/>
      </c>
      <c r="IQ124" s="714"/>
      <c r="IR124" s="9" t="str">
        <f t="shared" si="810"/>
        <v/>
      </c>
      <c r="IS124" s="5" t="str">
        <f t="shared" si="811"/>
        <v/>
      </c>
      <c r="IT124" s="5" t="str">
        <f t="shared" si="812"/>
        <v/>
      </c>
      <c r="IU124" s="5" t="str">
        <f t="shared" si="813"/>
        <v/>
      </c>
      <c r="IV124" s="670" t="str">
        <f t="shared" si="814"/>
        <v/>
      </c>
      <c r="IW124" s="9" t="str">
        <f t="shared" si="815"/>
        <v/>
      </c>
      <c r="IX124" s="5" t="str">
        <f t="shared" si="816"/>
        <v/>
      </c>
      <c r="IY124" s="5" t="str">
        <f t="shared" si="817"/>
        <v/>
      </c>
      <c r="IZ124" s="5" t="str">
        <f t="shared" si="818"/>
        <v/>
      </c>
      <c r="JA124" s="705" t="str">
        <f t="shared" si="819"/>
        <v/>
      </c>
    </row>
    <row r="125" spans="1:261" ht="15" customHeight="1" x14ac:dyDescent="0.25">
      <c r="A125" s="75" t="str">
        <f t="shared" si="736"/>
        <v/>
      </c>
      <c r="B125" s="578" t="str">
        <f t="shared" si="845"/>
        <v/>
      </c>
      <c r="C125" s="572" t="str">
        <f t="shared" si="846"/>
        <v/>
      </c>
      <c r="D125" s="576" t="str">
        <f t="shared" si="847"/>
        <v/>
      </c>
      <c r="E125" s="580" t="str">
        <f t="shared" si="848"/>
        <v/>
      </c>
      <c r="F125" s="572" t="str">
        <f t="shared" si="849"/>
        <v/>
      </c>
      <c r="G125" s="579" t="str">
        <f t="shared" si="850"/>
        <v/>
      </c>
      <c r="H125" s="580" t="str">
        <f t="shared" si="851"/>
        <v/>
      </c>
      <c r="I125" s="572" t="str">
        <f t="shared" si="852"/>
        <v/>
      </c>
      <c r="J125" s="483" t="str">
        <f t="shared" si="853"/>
        <v/>
      </c>
      <c r="K125" s="806" t="str">
        <f t="shared" si="854"/>
        <v/>
      </c>
      <c r="L125" s="309"/>
      <c r="M125" s="164" t="str">
        <f t="shared" si="737"/>
        <v/>
      </c>
      <c r="N125" s="575" t="str">
        <f t="shared" si="738"/>
        <v/>
      </c>
      <c r="O125" s="572" t="str">
        <f t="shared" si="739"/>
        <v/>
      </c>
      <c r="P125" s="576" t="str">
        <f t="shared" si="740"/>
        <v/>
      </c>
      <c r="Q125" s="528" t="str">
        <f t="shared" si="609"/>
        <v/>
      </c>
      <c r="R125" s="572" t="str">
        <f t="shared" si="820"/>
        <v/>
      </c>
      <c r="S125" s="577" t="str">
        <f t="shared" si="821"/>
        <v/>
      </c>
      <c r="T125" s="578" t="str">
        <f t="shared" si="822"/>
        <v/>
      </c>
      <c r="U125" s="572" t="str">
        <f t="shared" si="823"/>
        <v/>
      </c>
      <c r="V125" s="579" t="str">
        <f t="shared" si="824"/>
        <v/>
      </c>
      <c r="W125" s="528" t="str">
        <f t="shared" si="735"/>
        <v/>
      </c>
      <c r="X125" s="572" t="str">
        <f t="shared" si="825"/>
        <v/>
      </c>
      <c r="Y125" s="573" t="str">
        <f t="shared" si="733"/>
        <v/>
      </c>
      <c r="Z125" s="575" t="str">
        <f t="shared" si="741"/>
        <v/>
      </c>
      <c r="AA125" s="572" t="str">
        <f t="shared" si="742"/>
        <v/>
      </c>
      <c r="AB125" s="572" t="str">
        <f t="shared" si="743"/>
        <v/>
      </c>
      <c r="AC125" s="579" t="str">
        <f t="shared" si="826"/>
        <v/>
      </c>
      <c r="AD125" s="580" t="str">
        <f t="shared" si="827"/>
        <v/>
      </c>
      <c r="AE125" s="572" t="str">
        <f t="shared" si="828"/>
        <v/>
      </c>
      <c r="AF125" s="576" t="str">
        <f t="shared" si="829"/>
        <v/>
      </c>
      <c r="AG125" s="545" t="str">
        <f t="shared" si="830"/>
        <v/>
      </c>
      <c r="AH125" s="546" t="str">
        <f t="shared" si="831"/>
        <v/>
      </c>
      <c r="AI125" s="528" t="str">
        <f t="shared" si="832"/>
        <v/>
      </c>
      <c r="AJ125" s="529" t="str">
        <f t="shared" si="833"/>
        <v/>
      </c>
      <c r="AK125" s="578" t="str">
        <f t="shared" si="834"/>
        <v/>
      </c>
      <c r="AL125" s="572" t="str">
        <f t="shared" si="835"/>
        <v/>
      </c>
      <c r="AM125" s="577" t="str">
        <f t="shared" si="836"/>
        <v/>
      </c>
      <c r="AN125" s="524" t="str">
        <f t="shared" si="837"/>
        <v/>
      </c>
      <c r="AO125" s="525" t="str">
        <f t="shared" si="855"/>
        <v/>
      </c>
      <c r="AP125" s="528" t="str">
        <f t="shared" si="838"/>
        <v/>
      </c>
      <c r="AQ125" s="529" t="str">
        <f t="shared" si="744"/>
        <v/>
      </c>
      <c r="AS125" s="932" t="str">
        <f t="shared" si="842"/>
        <v/>
      </c>
      <c r="AT125" s="928" t="str">
        <f t="shared" si="745"/>
        <v/>
      </c>
      <c r="AU125" s="418"/>
      <c r="AV125" s="164" t="str">
        <f t="shared" si="746"/>
        <v/>
      </c>
      <c r="AW125" s="797" t="str">
        <f>IFERROR(INDEX(MassProp!C$9:C$150,MATCH($M125,MassProp!$B$9:$B$150,0)),"")</f>
        <v/>
      </c>
      <c r="AX125" s="744" t="str">
        <f>IFERROR(INDEX(MassProp!D$9:D$150,MATCH($M125,MassProp!$B$9:$B$150,0)),"")</f>
        <v/>
      </c>
      <c r="AY125" s="731" t="str">
        <f>IFERROR(INDEX(MassProp!E$9:E$150,MATCH($M125,MassProp!$B$9:$B$150,0)),"")</f>
        <v/>
      </c>
      <c r="AZ125" s="297" t="str">
        <f t="shared" si="633"/>
        <v/>
      </c>
      <c r="BA125" s="296" t="str">
        <f t="shared" si="747"/>
        <v/>
      </c>
      <c r="BB125" s="177" t="str">
        <f t="shared" si="610"/>
        <v/>
      </c>
      <c r="BC125" s="9"/>
      <c r="BD125" s="5" t="str">
        <f t="shared" si="611"/>
        <v/>
      </c>
      <c r="BE125" s="6" t="str">
        <f t="shared" si="748"/>
        <v/>
      </c>
      <c r="BF125" s="4" t="str">
        <f t="shared" si="749"/>
        <v/>
      </c>
      <c r="BG125" s="5" t="str">
        <f t="shared" si="750"/>
        <v/>
      </c>
      <c r="BH125" s="10" t="str">
        <f t="shared" si="751"/>
        <v/>
      </c>
      <c r="BI125" s="9" t="str">
        <f t="shared" si="634"/>
        <v/>
      </c>
      <c r="BJ125" s="5" t="str">
        <f t="shared" si="752"/>
        <v/>
      </c>
      <c r="BK125" s="8" t="str">
        <f t="shared" si="753"/>
        <v/>
      </c>
      <c r="BL125" s="173" t="str">
        <f t="shared" si="754"/>
        <v/>
      </c>
      <c r="BM125" s="5" t="str">
        <f t="shared" si="755"/>
        <v/>
      </c>
      <c r="BN125" s="6" t="str">
        <f t="shared" si="756"/>
        <v/>
      </c>
      <c r="BO125" s="4" t="str">
        <f t="shared" si="635"/>
        <v/>
      </c>
      <c r="BP125" s="5" t="str">
        <f t="shared" si="734"/>
        <v/>
      </c>
      <c r="BQ125" s="5" t="str">
        <f t="shared" si="636"/>
        <v/>
      </c>
      <c r="BR125" s="6" t="str">
        <f t="shared" si="637"/>
        <v/>
      </c>
      <c r="BS125" s="4" t="str">
        <f t="shared" si="839"/>
        <v/>
      </c>
      <c r="BT125" s="5" t="str">
        <f t="shared" si="839"/>
        <v/>
      </c>
      <c r="BU125" s="10" t="str">
        <f t="shared" si="613"/>
        <v/>
      </c>
      <c r="BV125" s="9" t="str">
        <f t="shared" si="614"/>
        <v/>
      </c>
      <c r="BW125" s="5" t="str">
        <f t="shared" si="615"/>
        <v/>
      </c>
      <c r="BX125" s="8" t="str">
        <f t="shared" si="616"/>
        <v/>
      </c>
      <c r="BY125" s="173" t="str">
        <f t="shared" si="617"/>
        <v/>
      </c>
      <c r="BZ125" s="5" t="str">
        <f t="shared" si="618"/>
        <v/>
      </c>
      <c r="CA125" s="6" t="str">
        <f t="shared" si="619"/>
        <v/>
      </c>
      <c r="CB125" s="4" t="str">
        <f t="shared" si="638"/>
        <v/>
      </c>
      <c r="CC125" s="5" t="str">
        <f t="shared" si="639"/>
        <v/>
      </c>
      <c r="CD125" s="5" t="str">
        <f t="shared" si="640"/>
        <v/>
      </c>
      <c r="CE125" s="6" t="str">
        <f t="shared" si="641"/>
        <v/>
      </c>
      <c r="CF125" s="4" t="str">
        <f t="shared" si="642"/>
        <v/>
      </c>
      <c r="CG125" s="5" t="str">
        <f t="shared" si="643"/>
        <v/>
      </c>
      <c r="CH125" s="5" t="str">
        <f t="shared" si="644"/>
        <v/>
      </c>
      <c r="CI125" s="4" t="str">
        <f t="shared" si="620"/>
        <v/>
      </c>
      <c r="CJ125" s="5" t="str">
        <f t="shared" si="621"/>
        <v/>
      </c>
      <c r="CK125" s="8" t="str">
        <f t="shared" si="622"/>
        <v/>
      </c>
      <c r="CL125" s="173" t="str">
        <f t="shared" si="623"/>
        <v/>
      </c>
      <c r="CM125" s="5" t="str">
        <f t="shared" si="624"/>
        <v/>
      </c>
      <c r="CN125" s="6" t="str">
        <f t="shared" si="625"/>
        <v/>
      </c>
      <c r="CO125" s="167" t="str">
        <f t="shared" si="757"/>
        <v/>
      </c>
      <c r="CP125" s="4" t="str">
        <f t="shared" si="645"/>
        <v/>
      </c>
      <c r="CQ125" s="5" t="str">
        <f t="shared" si="646"/>
        <v/>
      </c>
      <c r="CR125" s="5" t="str">
        <f t="shared" si="647"/>
        <v/>
      </c>
      <c r="CS125" s="8" t="str">
        <f t="shared" si="648"/>
        <v/>
      </c>
      <c r="CT125" s="9" t="str">
        <f t="shared" si="649"/>
        <v/>
      </c>
      <c r="CU125" s="6" t="str">
        <f t="shared" si="650"/>
        <v/>
      </c>
      <c r="CV125" s="4" t="str">
        <f t="shared" si="651"/>
        <v/>
      </c>
      <c r="CW125" s="5" t="str">
        <f t="shared" si="652"/>
        <v/>
      </c>
      <c r="CX125" s="8" t="str">
        <f t="shared" si="653"/>
        <v/>
      </c>
      <c r="CY125" s="9" t="str">
        <f t="shared" si="654"/>
        <v/>
      </c>
      <c r="CZ125" s="5" t="str">
        <f t="shared" si="655"/>
        <v/>
      </c>
      <c r="DA125" s="6" t="str">
        <f t="shared" si="656"/>
        <v/>
      </c>
      <c r="DB125" s="4" t="str">
        <f t="shared" si="843"/>
        <v/>
      </c>
      <c r="DC125" s="5" t="str">
        <f t="shared" si="843"/>
        <v/>
      </c>
      <c r="DD125" s="10" t="str">
        <f t="shared" si="658"/>
        <v/>
      </c>
      <c r="DE125" s="9" t="str">
        <f t="shared" si="844"/>
        <v/>
      </c>
      <c r="DF125" s="5" t="str">
        <f t="shared" si="844"/>
        <v/>
      </c>
      <c r="DG125" s="10" t="str">
        <f t="shared" si="660"/>
        <v/>
      </c>
      <c r="DH125" s="70" t="str">
        <f t="shared" si="661"/>
        <v/>
      </c>
      <c r="DI125" s="4" t="str">
        <f t="shared" si="662"/>
        <v/>
      </c>
      <c r="DJ125" s="5" t="str">
        <f t="shared" si="663"/>
        <v/>
      </c>
      <c r="DK125" s="10" t="str">
        <f t="shared" si="664"/>
        <v/>
      </c>
      <c r="DL125" s="9" t="str">
        <f t="shared" si="665"/>
        <v/>
      </c>
      <c r="DM125" s="173" t="str">
        <f t="shared" si="666"/>
        <v/>
      </c>
      <c r="DN125" s="178" t="str">
        <f t="shared" si="667"/>
        <v/>
      </c>
      <c r="DO125" s="9" t="str">
        <f t="shared" si="668"/>
        <v/>
      </c>
      <c r="DP125" s="173" t="str">
        <f t="shared" si="669"/>
        <v/>
      </c>
      <c r="DQ125" s="11" t="str">
        <f t="shared" si="670"/>
        <v/>
      </c>
      <c r="DR125" s="173" t="str">
        <f t="shared" si="671"/>
        <v/>
      </c>
      <c r="DS125" s="5" t="str">
        <f t="shared" si="672"/>
        <v/>
      </c>
      <c r="DT125" s="5" t="str">
        <f t="shared" si="673"/>
        <v/>
      </c>
      <c r="DU125" s="5" t="str">
        <f t="shared" si="674"/>
        <v/>
      </c>
      <c r="DV125" s="5" t="str">
        <f t="shared" si="675"/>
        <v/>
      </c>
      <c r="DW125" s="5" t="str">
        <f t="shared" si="676"/>
        <v/>
      </c>
      <c r="DX125" s="167" t="str">
        <f t="shared" si="677"/>
        <v/>
      </c>
      <c r="DY125" s="9" t="str">
        <f t="shared" si="678"/>
        <v/>
      </c>
      <c r="DZ125" s="5" t="str">
        <f t="shared" si="679"/>
        <v/>
      </c>
      <c r="EA125" s="10" t="str">
        <f t="shared" si="680"/>
        <v/>
      </c>
      <c r="EB125" s="6" t="str">
        <f t="shared" si="681"/>
        <v/>
      </c>
      <c r="EC125" s="173" t="str">
        <f t="shared" si="682"/>
        <v/>
      </c>
      <c r="ED125" s="5" t="str">
        <f t="shared" si="683"/>
        <v/>
      </c>
      <c r="EE125" s="4" t="str">
        <f t="shared" si="684"/>
        <v/>
      </c>
      <c r="EF125" s="5" t="str">
        <f t="shared" si="685"/>
        <v/>
      </c>
      <c r="EG125" s="10" t="str">
        <f t="shared" si="686"/>
        <v/>
      </c>
      <c r="EH125" s="9" t="str">
        <f t="shared" si="687"/>
        <v/>
      </c>
      <c r="EI125" s="5" t="str">
        <f t="shared" si="688"/>
        <v/>
      </c>
      <c r="EJ125" s="6" t="str">
        <f t="shared" si="689"/>
        <v/>
      </c>
      <c r="EK125" s="236" t="str">
        <f t="shared" si="690"/>
        <v/>
      </c>
      <c r="EL125" s="238" t="str">
        <f t="shared" si="691"/>
        <v/>
      </c>
      <c r="EM125" s="4" t="str">
        <f t="shared" si="692"/>
        <v/>
      </c>
      <c r="EN125" s="5" t="str">
        <f t="shared" si="693"/>
        <v/>
      </c>
      <c r="EO125" s="10" t="str">
        <f t="shared" si="694"/>
        <v/>
      </c>
      <c r="EP125" s="9" t="str">
        <f t="shared" si="695"/>
        <v/>
      </c>
      <c r="EQ125" s="5" t="str">
        <f t="shared" si="696"/>
        <v/>
      </c>
      <c r="ER125" s="7" t="str">
        <f t="shared" si="697"/>
        <v/>
      </c>
      <c r="ES125" s="21" t="str">
        <f t="shared" si="758"/>
        <v/>
      </c>
      <c r="ET125" s="5" t="str">
        <f t="shared" si="759"/>
        <v/>
      </c>
      <c r="EU125" s="10" t="str">
        <f t="shared" si="760"/>
        <v/>
      </c>
      <c r="EV125" s="174" t="str">
        <f t="shared" si="761"/>
        <v/>
      </c>
      <c r="EW125" s="9" t="str">
        <f t="shared" si="762"/>
        <v/>
      </c>
      <c r="EX125" s="5" t="str">
        <f t="shared" si="763"/>
        <v/>
      </c>
      <c r="EY125" s="6" t="str">
        <f t="shared" si="698"/>
        <v/>
      </c>
      <c r="EZ125" s="51" t="str">
        <f t="shared" si="699"/>
        <v/>
      </c>
      <c r="FA125" s="173" t="str">
        <f t="shared" si="764"/>
        <v/>
      </c>
      <c r="FB125" s="5" t="str">
        <f t="shared" si="765"/>
        <v/>
      </c>
      <c r="FC125" s="6" t="str">
        <f t="shared" si="766"/>
        <v/>
      </c>
      <c r="FD125" s="4" t="str">
        <f t="shared" si="767"/>
        <v/>
      </c>
      <c r="FE125" s="5" t="str">
        <f t="shared" si="768"/>
        <v/>
      </c>
      <c r="FF125" s="7" t="str">
        <f t="shared" si="700"/>
        <v/>
      </c>
      <c r="FG125" s="173" t="str">
        <f t="shared" si="769"/>
        <v/>
      </c>
      <c r="FH125" s="5" t="str">
        <f t="shared" si="770"/>
        <v/>
      </c>
      <c r="FI125" s="10" t="str">
        <f t="shared" si="771"/>
        <v/>
      </c>
      <c r="FJ125" s="279" t="str">
        <f t="shared" si="701"/>
        <v/>
      </c>
      <c r="FK125" s="4" t="str">
        <f t="shared" si="772"/>
        <v/>
      </c>
      <c r="FL125" s="5" t="str">
        <f t="shared" si="626"/>
        <v/>
      </c>
      <c r="FM125" s="8" t="str">
        <f t="shared" si="627"/>
        <v/>
      </c>
      <c r="FN125" s="9" t="str">
        <f t="shared" si="628"/>
        <v/>
      </c>
      <c r="FO125" s="10" t="str">
        <f t="shared" si="773"/>
        <v/>
      </c>
      <c r="FP125" s="277" t="str">
        <f t="shared" si="629"/>
        <v/>
      </c>
      <c r="FQ125" s="173" t="str">
        <f t="shared" si="702"/>
        <v/>
      </c>
      <c r="FR125" s="10" t="str">
        <f t="shared" si="703"/>
        <v/>
      </c>
      <c r="FS125" s="9" t="str">
        <f t="shared" si="704"/>
        <v/>
      </c>
      <c r="FT125" s="6" t="str">
        <f t="shared" si="705"/>
        <v/>
      </c>
      <c r="FU125" s="4" t="str">
        <f t="shared" si="706"/>
        <v/>
      </c>
      <c r="FV125" s="5" t="str">
        <f t="shared" si="707"/>
        <v/>
      </c>
      <c r="FW125" s="8" t="str">
        <f t="shared" si="708"/>
        <v/>
      </c>
      <c r="FX125" s="9" t="str">
        <f t="shared" si="709"/>
        <v/>
      </c>
      <c r="FY125" s="10" t="str">
        <f t="shared" si="774"/>
        <v/>
      </c>
      <c r="FZ125" s="277" t="str">
        <f t="shared" si="710"/>
        <v/>
      </c>
      <c r="GA125" s="177" t="str">
        <f t="shared" si="711"/>
        <v/>
      </c>
      <c r="GB125" s="4" t="str">
        <f t="shared" si="712"/>
        <v/>
      </c>
      <c r="GC125" s="5" t="str">
        <f t="shared" si="713"/>
        <v/>
      </c>
      <c r="GD125" s="10" t="str">
        <f t="shared" si="714"/>
        <v/>
      </c>
      <c r="GE125" s="311" t="str">
        <f t="shared" si="715"/>
        <v/>
      </c>
      <c r="GF125" s="341" t="str">
        <f t="shared" si="716"/>
        <v/>
      </c>
      <c r="GG125" s="285" t="str">
        <f t="shared" si="775"/>
        <v/>
      </c>
      <c r="GH125" s="286" t="str">
        <f t="shared" si="776"/>
        <v/>
      </c>
      <c r="GI125" s="281" t="str">
        <f t="shared" si="777"/>
        <v/>
      </c>
      <c r="GJ125" s="167" t="str">
        <f t="shared" si="717"/>
        <v/>
      </c>
      <c r="GK125" s="174" t="str">
        <f t="shared" si="778"/>
        <v/>
      </c>
      <c r="GL125" s="174" t="str">
        <f t="shared" si="718"/>
        <v/>
      </c>
      <c r="GM125" s="177" t="str">
        <f t="shared" si="719"/>
        <v/>
      </c>
      <c r="GN125" s="280" t="str">
        <f t="shared" si="720"/>
        <v/>
      </c>
      <c r="GO125" s="4" t="str">
        <f t="shared" si="721"/>
        <v/>
      </c>
      <c r="GP125" s="8" t="str">
        <f t="shared" si="722"/>
        <v/>
      </c>
      <c r="GQ125" s="177" t="str">
        <f t="shared" si="723"/>
        <v/>
      </c>
      <c r="GR125" s="371" t="str">
        <f t="shared" si="724"/>
        <v/>
      </c>
      <c r="GS125" s="342" t="str">
        <f t="shared" si="779"/>
        <v/>
      </c>
      <c r="GT125" s="343" t="str">
        <f t="shared" si="780"/>
        <v/>
      </c>
      <c r="GU125" s="344" t="str">
        <f t="shared" si="781"/>
        <v/>
      </c>
      <c r="GV125" s="343" t="str">
        <f t="shared" si="725"/>
        <v/>
      </c>
      <c r="GW125" s="345" t="str">
        <f t="shared" si="782"/>
        <v/>
      </c>
      <c r="GX125" s="346" t="str">
        <f t="shared" si="783"/>
        <v/>
      </c>
      <c r="GY125" s="344" t="str">
        <f t="shared" si="784"/>
        <v/>
      </c>
      <c r="GZ125" s="345" t="str">
        <f t="shared" si="785"/>
        <v/>
      </c>
      <c r="HA125" s="342" t="str">
        <f t="shared" si="786"/>
        <v/>
      </c>
      <c r="HB125" s="5" t="str">
        <f t="shared" si="726"/>
        <v/>
      </c>
      <c r="HC125" s="343" t="str">
        <f t="shared" si="727"/>
        <v/>
      </c>
      <c r="HD125" s="363" t="str">
        <f t="shared" si="728"/>
        <v/>
      </c>
      <c r="HE125" s="344" t="str">
        <f t="shared" si="787"/>
        <v/>
      </c>
      <c r="HF125" s="5" t="str">
        <f t="shared" si="788"/>
        <v/>
      </c>
      <c r="HG125" s="343" t="str">
        <f t="shared" si="729"/>
        <v/>
      </c>
      <c r="HH125" s="349" t="str">
        <f t="shared" si="730"/>
        <v/>
      </c>
      <c r="HI125" s="317" t="str">
        <f t="shared" si="789"/>
        <v/>
      </c>
      <c r="HK125" s="310" t="str">
        <f t="shared" si="840"/>
        <v/>
      </c>
      <c r="HL125" s="348" t="str">
        <f t="shared" si="790"/>
        <v/>
      </c>
      <c r="HM125" s="909" t="str">
        <f t="shared" si="791"/>
        <v/>
      </c>
      <c r="HN125" s="910" t="str">
        <f t="shared" si="792"/>
        <v/>
      </c>
      <c r="HO125" s="911"/>
      <c r="HP125" s="912"/>
      <c r="HQ125" s="910" t="str">
        <f t="shared" si="793"/>
        <v/>
      </c>
      <c r="HR125" s="913" t="str">
        <f t="shared" si="794"/>
        <v/>
      </c>
      <c r="HS125" s="865" t="str">
        <f t="shared" si="841"/>
        <v/>
      </c>
      <c r="HT125" s="875" t="str">
        <f t="shared" si="795"/>
        <v/>
      </c>
      <c r="HU125" s="876" t="str">
        <f t="shared" si="796"/>
        <v/>
      </c>
      <c r="HV125" s="872" t="str">
        <f t="shared" si="797"/>
        <v/>
      </c>
      <c r="HW125" s="866" t="str">
        <f t="shared" si="798"/>
        <v/>
      </c>
      <c r="HX125" s="867" t="str">
        <f t="shared" si="799"/>
        <v/>
      </c>
      <c r="HY125" s="866" t="str">
        <f t="shared" si="800"/>
        <v/>
      </c>
      <c r="HZ125" s="868" t="str">
        <f t="shared" si="801"/>
        <v/>
      </c>
      <c r="IA125" s="869" t="str">
        <f t="shared" si="802"/>
        <v/>
      </c>
      <c r="IB125" s="870" t="str">
        <f t="shared" si="803"/>
        <v/>
      </c>
      <c r="IC125" s="841" t="str">
        <f t="shared" si="804"/>
        <v/>
      </c>
      <c r="ID125" s="351" t="str">
        <f t="shared" si="805"/>
        <v/>
      </c>
      <c r="IE125" s="843" t="str">
        <f t="shared" si="806"/>
        <v/>
      </c>
      <c r="IF125" s="844"/>
      <c r="IG125" s="790" t="str">
        <f>IFERROR(IF($IW125="","",IF($IW125&lt;(((Settings!$C$19/2)*-1)*$IG$8),"Taper","Nose")),"")</f>
        <v/>
      </c>
      <c r="IH125" s="482" t="str">
        <f>IFERROR(IF((((($IY125*COS(RADIANS(180-$JA125)))*COS(RADIANS($JA125)))-(($IZ125*SIN(RADIANS(180-$JA125)))*SIN(RADIANS($JA125))))+$IW125)&lt;(((Settings!$C$19+$IH$8)/2)*-1),"Gage",""),"")</f>
        <v/>
      </c>
      <c r="II125" s="788" t="str">
        <f t="shared" si="731"/>
        <v/>
      </c>
      <c r="IJ125" s="674" t="str" cm="1">
        <f t="array" ref="IJ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K125" s="677" t="str" cm="1">
        <f t="array" ref="IK125">IFERROR(ROUND(VALUE(IF($IJ125&lt;1,$IJ125+LARGE((IF($M$9:$M$150="",0,$M$9:$M$150)-MOD(IF($M$9:$M$150="",0,$M$9:$M$150),1)),1),$IJ125)),4),"")</f>
        <v/>
      </c>
      <c r="IL125" s="482" t="str">
        <f t="shared" si="807"/>
        <v/>
      </c>
      <c r="IM125" s="482" t="str">
        <f t="shared" si="732"/>
        <v/>
      </c>
      <c r="IN125" s="670" t="str">
        <f t="shared" si="808"/>
        <v/>
      </c>
      <c r="IO125" s="702"/>
      <c r="IP125" s="5" t="str">
        <f t="shared" si="809"/>
        <v/>
      </c>
      <c r="IQ125" s="714"/>
      <c r="IR125" s="9" t="str">
        <f t="shared" si="810"/>
        <v/>
      </c>
      <c r="IS125" s="5" t="str">
        <f t="shared" si="811"/>
        <v/>
      </c>
      <c r="IT125" s="5" t="str">
        <f t="shared" si="812"/>
        <v/>
      </c>
      <c r="IU125" s="5" t="str">
        <f t="shared" si="813"/>
        <v/>
      </c>
      <c r="IV125" s="670" t="str">
        <f t="shared" si="814"/>
        <v/>
      </c>
      <c r="IW125" s="9" t="str">
        <f t="shared" si="815"/>
        <v/>
      </c>
      <c r="IX125" s="5" t="str">
        <f t="shared" si="816"/>
        <v/>
      </c>
      <c r="IY125" s="5" t="str">
        <f t="shared" si="817"/>
        <v/>
      </c>
      <c r="IZ125" s="5" t="str">
        <f t="shared" si="818"/>
        <v/>
      </c>
      <c r="JA125" s="705" t="str">
        <f t="shared" si="819"/>
        <v/>
      </c>
    </row>
    <row r="126" spans="1:261" ht="15" customHeight="1" x14ac:dyDescent="0.25">
      <c r="A126" s="75" t="str">
        <f t="shared" si="736"/>
        <v/>
      </c>
      <c r="B126" s="578" t="str">
        <f t="shared" si="845"/>
        <v/>
      </c>
      <c r="C126" s="572" t="str">
        <f t="shared" si="846"/>
        <v/>
      </c>
      <c r="D126" s="576" t="str">
        <f t="shared" si="847"/>
        <v/>
      </c>
      <c r="E126" s="580" t="str">
        <f t="shared" si="848"/>
        <v/>
      </c>
      <c r="F126" s="572" t="str">
        <f t="shared" si="849"/>
        <v/>
      </c>
      <c r="G126" s="579" t="str">
        <f t="shared" si="850"/>
        <v/>
      </c>
      <c r="H126" s="580" t="str">
        <f t="shared" si="851"/>
        <v/>
      </c>
      <c r="I126" s="572" t="str">
        <f t="shared" si="852"/>
        <v/>
      </c>
      <c r="J126" s="483" t="str">
        <f t="shared" si="853"/>
        <v/>
      </c>
      <c r="K126" s="806" t="str">
        <f t="shared" si="854"/>
        <v/>
      </c>
      <c r="L126" s="309"/>
      <c r="M126" s="164" t="str">
        <f t="shared" si="737"/>
        <v/>
      </c>
      <c r="N126" s="575" t="str">
        <f t="shared" si="738"/>
        <v/>
      </c>
      <c r="O126" s="572" t="str">
        <f t="shared" si="739"/>
        <v/>
      </c>
      <c r="P126" s="576" t="str">
        <f t="shared" si="740"/>
        <v/>
      </c>
      <c r="Q126" s="528" t="str">
        <f t="shared" si="609"/>
        <v/>
      </c>
      <c r="R126" s="572" t="str">
        <f t="shared" si="820"/>
        <v/>
      </c>
      <c r="S126" s="577" t="str">
        <f t="shared" si="821"/>
        <v/>
      </c>
      <c r="T126" s="578" t="str">
        <f t="shared" si="822"/>
        <v/>
      </c>
      <c r="U126" s="572" t="str">
        <f t="shared" si="823"/>
        <v/>
      </c>
      <c r="V126" s="579" t="str">
        <f t="shared" si="824"/>
        <v/>
      </c>
      <c r="W126" s="528" t="str">
        <f t="shared" si="735"/>
        <v/>
      </c>
      <c r="X126" s="572" t="str">
        <f t="shared" si="825"/>
        <v/>
      </c>
      <c r="Y126" s="573" t="str">
        <f t="shared" si="733"/>
        <v/>
      </c>
      <c r="Z126" s="575" t="str">
        <f t="shared" si="741"/>
        <v/>
      </c>
      <c r="AA126" s="572" t="str">
        <f t="shared" si="742"/>
        <v/>
      </c>
      <c r="AB126" s="572" t="str">
        <f t="shared" si="743"/>
        <v/>
      </c>
      <c r="AC126" s="579" t="str">
        <f t="shared" si="826"/>
        <v/>
      </c>
      <c r="AD126" s="580" t="str">
        <f t="shared" si="827"/>
        <v/>
      </c>
      <c r="AE126" s="572" t="str">
        <f t="shared" si="828"/>
        <v/>
      </c>
      <c r="AF126" s="576" t="str">
        <f t="shared" si="829"/>
        <v/>
      </c>
      <c r="AG126" s="545" t="str">
        <f t="shared" si="830"/>
        <v/>
      </c>
      <c r="AH126" s="546" t="str">
        <f t="shared" si="831"/>
        <v/>
      </c>
      <c r="AI126" s="528" t="str">
        <f t="shared" si="832"/>
        <v/>
      </c>
      <c r="AJ126" s="529" t="str">
        <f t="shared" si="833"/>
        <v/>
      </c>
      <c r="AK126" s="578" t="str">
        <f t="shared" si="834"/>
        <v/>
      </c>
      <c r="AL126" s="572" t="str">
        <f t="shared" si="835"/>
        <v/>
      </c>
      <c r="AM126" s="577" t="str">
        <f t="shared" si="836"/>
        <v/>
      </c>
      <c r="AN126" s="524" t="str">
        <f t="shared" si="837"/>
        <v/>
      </c>
      <c r="AO126" s="525" t="str">
        <f t="shared" si="855"/>
        <v/>
      </c>
      <c r="AP126" s="528" t="str">
        <f t="shared" si="838"/>
        <v/>
      </c>
      <c r="AQ126" s="529" t="str">
        <f t="shared" si="744"/>
        <v/>
      </c>
      <c r="AS126" s="932" t="str">
        <f t="shared" si="842"/>
        <v/>
      </c>
      <c r="AT126" s="928" t="str">
        <f t="shared" si="745"/>
        <v/>
      </c>
      <c r="AU126" s="418"/>
      <c r="AV126" s="164" t="str">
        <f t="shared" si="746"/>
        <v/>
      </c>
      <c r="AW126" s="797" t="str">
        <f>IFERROR(INDEX(MassProp!C$9:C$150,MATCH($M126,MassProp!$B$9:$B$150,0)),"")</f>
        <v/>
      </c>
      <c r="AX126" s="744" t="str">
        <f>IFERROR(INDEX(MassProp!D$9:D$150,MATCH($M126,MassProp!$B$9:$B$150,0)),"")</f>
        <v/>
      </c>
      <c r="AY126" s="731" t="str">
        <f>IFERROR(INDEX(MassProp!E$9:E$150,MATCH($M126,MassProp!$B$9:$B$150,0)),"")</f>
        <v/>
      </c>
      <c r="AZ126" s="297" t="str">
        <f t="shared" si="633"/>
        <v/>
      </c>
      <c r="BA126" s="296" t="str">
        <f t="shared" si="747"/>
        <v/>
      </c>
      <c r="BB126" s="177" t="str">
        <f t="shared" si="610"/>
        <v/>
      </c>
      <c r="BC126" s="9"/>
      <c r="BD126" s="5" t="str">
        <f t="shared" si="611"/>
        <v/>
      </c>
      <c r="BE126" s="6" t="str">
        <f t="shared" si="748"/>
        <v/>
      </c>
      <c r="BF126" s="4" t="str">
        <f t="shared" si="749"/>
        <v/>
      </c>
      <c r="BG126" s="5" t="str">
        <f t="shared" si="750"/>
        <v/>
      </c>
      <c r="BH126" s="10" t="str">
        <f t="shared" si="751"/>
        <v/>
      </c>
      <c r="BI126" s="9" t="str">
        <f t="shared" si="634"/>
        <v/>
      </c>
      <c r="BJ126" s="5" t="str">
        <f t="shared" si="752"/>
        <v/>
      </c>
      <c r="BK126" s="8" t="str">
        <f t="shared" si="753"/>
        <v/>
      </c>
      <c r="BL126" s="173" t="str">
        <f t="shared" si="754"/>
        <v/>
      </c>
      <c r="BM126" s="5" t="str">
        <f t="shared" si="755"/>
        <v/>
      </c>
      <c r="BN126" s="6" t="str">
        <f t="shared" si="756"/>
        <v/>
      </c>
      <c r="BO126" s="4" t="str">
        <f t="shared" si="635"/>
        <v/>
      </c>
      <c r="BP126" s="5" t="str">
        <f t="shared" si="734"/>
        <v/>
      </c>
      <c r="BQ126" s="5" t="str">
        <f t="shared" si="636"/>
        <v/>
      </c>
      <c r="BR126" s="6" t="str">
        <f t="shared" si="637"/>
        <v/>
      </c>
      <c r="BS126" s="4" t="str">
        <f t="shared" si="839"/>
        <v/>
      </c>
      <c r="BT126" s="5" t="str">
        <f t="shared" si="839"/>
        <v/>
      </c>
      <c r="BU126" s="10" t="str">
        <f t="shared" si="613"/>
        <v/>
      </c>
      <c r="BV126" s="9" t="str">
        <f t="shared" si="614"/>
        <v/>
      </c>
      <c r="BW126" s="5" t="str">
        <f t="shared" si="615"/>
        <v/>
      </c>
      <c r="BX126" s="8" t="str">
        <f t="shared" si="616"/>
        <v/>
      </c>
      <c r="BY126" s="173" t="str">
        <f t="shared" si="617"/>
        <v/>
      </c>
      <c r="BZ126" s="5" t="str">
        <f t="shared" si="618"/>
        <v/>
      </c>
      <c r="CA126" s="6" t="str">
        <f t="shared" si="619"/>
        <v/>
      </c>
      <c r="CB126" s="4" t="str">
        <f t="shared" si="638"/>
        <v/>
      </c>
      <c r="CC126" s="5" t="str">
        <f t="shared" si="639"/>
        <v/>
      </c>
      <c r="CD126" s="5" t="str">
        <f t="shared" si="640"/>
        <v/>
      </c>
      <c r="CE126" s="6" t="str">
        <f t="shared" si="641"/>
        <v/>
      </c>
      <c r="CF126" s="4" t="str">
        <f t="shared" si="642"/>
        <v/>
      </c>
      <c r="CG126" s="5" t="str">
        <f t="shared" si="643"/>
        <v/>
      </c>
      <c r="CH126" s="5" t="str">
        <f t="shared" si="644"/>
        <v/>
      </c>
      <c r="CI126" s="4" t="str">
        <f t="shared" si="620"/>
        <v/>
      </c>
      <c r="CJ126" s="5" t="str">
        <f t="shared" si="621"/>
        <v/>
      </c>
      <c r="CK126" s="8" t="str">
        <f t="shared" si="622"/>
        <v/>
      </c>
      <c r="CL126" s="173" t="str">
        <f t="shared" si="623"/>
        <v/>
      </c>
      <c r="CM126" s="5" t="str">
        <f t="shared" si="624"/>
        <v/>
      </c>
      <c r="CN126" s="6" t="str">
        <f t="shared" si="625"/>
        <v/>
      </c>
      <c r="CO126" s="167" t="str">
        <f t="shared" si="757"/>
        <v/>
      </c>
      <c r="CP126" s="4" t="str">
        <f t="shared" si="645"/>
        <v/>
      </c>
      <c r="CQ126" s="5" t="str">
        <f t="shared" si="646"/>
        <v/>
      </c>
      <c r="CR126" s="5" t="str">
        <f t="shared" si="647"/>
        <v/>
      </c>
      <c r="CS126" s="8" t="str">
        <f t="shared" si="648"/>
        <v/>
      </c>
      <c r="CT126" s="9" t="str">
        <f t="shared" si="649"/>
        <v/>
      </c>
      <c r="CU126" s="6" t="str">
        <f t="shared" si="650"/>
        <v/>
      </c>
      <c r="CV126" s="4" t="str">
        <f t="shared" si="651"/>
        <v/>
      </c>
      <c r="CW126" s="5" t="str">
        <f t="shared" si="652"/>
        <v/>
      </c>
      <c r="CX126" s="8" t="str">
        <f t="shared" si="653"/>
        <v/>
      </c>
      <c r="CY126" s="9" t="str">
        <f t="shared" si="654"/>
        <v/>
      </c>
      <c r="CZ126" s="5" t="str">
        <f t="shared" si="655"/>
        <v/>
      </c>
      <c r="DA126" s="6" t="str">
        <f t="shared" si="656"/>
        <v/>
      </c>
      <c r="DB126" s="4" t="str">
        <f t="shared" si="843"/>
        <v/>
      </c>
      <c r="DC126" s="5" t="str">
        <f t="shared" si="843"/>
        <v/>
      </c>
      <c r="DD126" s="10" t="str">
        <f t="shared" si="658"/>
        <v/>
      </c>
      <c r="DE126" s="9" t="str">
        <f t="shared" si="844"/>
        <v/>
      </c>
      <c r="DF126" s="5" t="str">
        <f t="shared" si="844"/>
        <v/>
      </c>
      <c r="DG126" s="10" t="str">
        <f t="shared" si="660"/>
        <v/>
      </c>
      <c r="DH126" s="70" t="str">
        <f t="shared" si="661"/>
        <v/>
      </c>
      <c r="DI126" s="4" t="str">
        <f t="shared" si="662"/>
        <v/>
      </c>
      <c r="DJ126" s="5" t="str">
        <f t="shared" si="663"/>
        <v/>
      </c>
      <c r="DK126" s="10" t="str">
        <f t="shared" si="664"/>
        <v/>
      </c>
      <c r="DL126" s="9" t="str">
        <f t="shared" si="665"/>
        <v/>
      </c>
      <c r="DM126" s="173" t="str">
        <f t="shared" si="666"/>
        <v/>
      </c>
      <c r="DN126" s="178" t="str">
        <f t="shared" si="667"/>
        <v/>
      </c>
      <c r="DO126" s="9" t="str">
        <f t="shared" si="668"/>
        <v/>
      </c>
      <c r="DP126" s="173" t="str">
        <f t="shared" si="669"/>
        <v/>
      </c>
      <c r="DQ126" s="11" t="str">
        <f t="shared" si="670"/>
        <v/>
      </c>
      <c r="DR126" s="173" t="str">
        <f t="shared" si="671"/>
        <v/>
      </c>
      <c r="DS126" s="5" t="str">
        <f t="shared" si="672"/>
        <v/>
      </c>
      <c r="DT126" s="5" t="str">
        <f t="shared" si="673"/>
        <v/>
      </c>
      <c r="DU126" s="5" t="str">
        <f t="shared" si="674"/>
        <v/>
      </c>
      <c r="DV126" s="5" t="str">
        <f t="shared" si="675"/>
        <v/>
      </c>
      <c r="DW126" s="5" t="str">
        <f t="shared" si="676"/>
        <v/>
      </c>
      <c r="DX126" s="167" t="str">
        <f t="shared" si="677"/>
        <v/>
      </c>
      <c r="DY126" s="9" t="str">
        <f t="shared" si="678"/>
        <v/>
      </c>
      <c r="DZ126" s="5" t="str">
        <f t="shared" si="679"/>
        <v/>
      </c>
      <c r="EA126" s="10" t="str">
        <f t="shared" si="680"/>
        <v/>
      </c>
      <c r="EB126" s="6" t="str">
        <f t="shared" si="681"/>
        <v/>
      </c>
      <c r="EC126" s="173" t="str">
        <f t="shared" si="682"/>
        <v/>
      </c>
      <c r="ED126" s="5" t="str">
        <f t="shared" si="683"/>
        <v/>
      </c>
      <c r="EE126" s="4" t="str">
        <f t="shared" si="684"/>
        <v/>
      </c>
      <c r="EF126" s="5" t="str">
        <f t="shared" si="685"/>
        <v/>
      </c>
      <c r="EG126" s="10" t="str">
        <f t="shared" si="686"/>
        <v/>
      </c>
      <c r="EH126" s="9" t="str">
        <f t="shared" si="687"/>
        <v/>
      </c>
      <c r="EI126" s="5" t="str">
        <f t="shared" si="688"/>
        <v/>
      </c>
      <c r="EJ126" s="6" t="str">
        <f t="shared" si="689"/>
        <v/>
      </c>
      <c r="EK126" s="236" t="str">
        <f t="shared" si="690"/>
        <v/>
      </c>
      <c r="EL126" s="238" t="str">
        <f t="shared" si="691"/>
        <v/>
      </c>
      <c r="EM126" s="4" t="str">
        <f t="shared" si="692"/>
        <v/>
      </c>
      <c r="EN126" s="5" t="str">
        <f t="shared" si="693"/>
        <v/>
      </c>
      <c r="EO126" s="10" t="str">
        <f t="shared" si="694"/>
        <v/>
      </c>
      <c r="EP126" s="9" t="str">
        <f t="shared" si="695"/>
        <v/>
      </c>
      <c r="EQ126" s="5" t="str">
        <f t="shared" si="696"/>
        <v/>
      </c>
      <c r="ER126" s="7" t="str">
        <f t="shared" si="697"/>
        <v/>
      </c>
      <c r="ES126" s="21" t="str">
        <f t="shared" si="758"/>
        <v/>
      </c>
      <c r="ET126" s="5" t="str">
        <f t="shared" si="759"/>
        <v/>
      </c>
      <c r="EU126" s="10" t="str">
        <f t="shared" si="760"/>
        <v/>
      </c>
      <c r="EV126" s="174" t="str">
        <f t="shared" si="761"/>
        <v/>
      </c>
      <c r="EW126" s="9" t="str">
        <f t="shared" si="762"/>
        <v/>
      </c>
      <c r="EX126" s="5" t="str">
        <f t="shared" si="763"/>
        <v/>
      </c>
      <c r="EY126" s="6" t="str">
        <f t="shared" si="698"/>
        <v/>
      </c>
      <c r="EZ126" s="51" t="str">
        <f t="shared" si="699"/>
        <v/>
      </c>
      <c r="FA126" s="173" t="str">
        <f t="shared" si="764"/>
        <v/>
      </c>
      <c r="FB126" s="5" t="str">
        <f t="shared" si="765"/>
        <v/>
      </c>
      <c r="FC126" s="6" t="str">
        <f t="shared" si="766"/>
        <v/>
      </c>
      <c r="FD126" s="4" t="str">
        <f t="shared" si="767"/>
        <v/>
      </c>
      <c r="FE126" s="5" t="str">
        <f t="shared" si="768"/>
        <v/>
      </c>
      <c r="FF126" s="7" t="str">
        <f t="shared" si="700"/>
        <v/>
      </c>
      <c r="FG126" s="173" t="str">
        <f t="shared" si="769"/>
        <v/>
      </c>
      <c r="FH126" s="5" t="str">
        <f t="shared" si="770"/>
        <v/>
      </c>
      <c r="FI126" s="10" t="str">
        <f t="shared" si="771"/>
        <v/>
      </c>
      <c r="FJ126" s="279" t="str">
        <f t="shared" si="701"/>
        <v/>
      </c>
      <c r="FK126" s="4" t="str">
        <f t="shared" si="772"/>
        <v/>
      </c>
      <c r="FL126" s="5" t="str">
        <f t="shared" si="626"/>
        <v/>
      </c>
      <c r="FM126" s="8" t="str">
        <f t="shared" si="627"/>
        <v/>
      </c>
      <c r="FN126" s="9" t="str">
        <f t="shared" si="628"/>
        <v/>
      </c>
      <c r="FO126" s="10" t="str">
        <f t="shared" si="773"/>
        <v/>
      </c>
      <c r="FP126" s="277" t="str">
        <f t="shared" si="629"/>
        <v/>
      </c>
      <c r="FQ126" s="173" t="str">
        <f t="shared" si="702"/>
        <v/>
      </c>
      <c r="FR126" s="10" t="str">
        <f t="shared" si="703"/>
        <v/>
      </c>
      <c r="FS126" s="9" t="str">
        <f t="shared" si="704"/>
        <v/>
      </c>
      <c r="FT126" s="6" t="str">
        <f t="shared" si="705"/>
        <v/>
      </c>
      <c r="FU126" s="4" t="str">
        <f t="shared" si="706"/>
        <v/>
      </c>
      <c r="FV126" s="5" t="str">
        <f t="shared" si="707"/>
        <v/>
      </c>
      <c r="FW126" s="8" t="str">
        <f t="shared" si="708"/>
        <v/>
      </c>
      <c r="FX126" s="9" t="str">
        <f t="shared" si="709"/>
        <v/>
      </c>
      <c r="FY126" s="10" t="str">
        <f t="shared" si="774"/>
        <v/>
      </c>
      <c r="FZ126" s="277" t="str">
        <f t="shared" si="710"/>
        <v/>
      </c>
      <c r="GA126" s="177" t="str">
        <f t="shared" si="711"/>
        <v/>
      </c>
      <c r="GB126" s="4" t="str">
        <f t="shared" si="712"/>
        <v/>
      </c>
      <c r="GC126" s="5" t="str">
        <f t="shared" si="713"/>
        <v/>
      </c>
      <c r="GD126" s="10" t="str">
        <f t="shared" si="714"/>
        <v/>
      </c>
      <c r="GE126" s="311" t="str">
        <f t="shared" si="715"/>
        <v/>
      </c>
      <c r="GF126" s="341" t="str">
        <f t="shared" si="716"/>
        <v/>
      </c>
      <c r="GG126" s="285" t="str">
        <f t="shared" si="775"/>
        <v/>
      </c>
      <c r="GH126" s="286" t="str">
        <f t="shared" si="776"/>
        <v/>
      </c>
      <c r="GI126" s="281" t="str">
        <f t="shared" si="777"/>
        <v/>
      </c>
      <c r="GJ126" s="167" t="str">
        <f t="shared" si="717"/>
        <v/>
      </c>
      <c r="GK126" s="174" t="str">
        <f t="shared" si="778"/>
        <v/>
      </c>
      <c r="GL126" s="174" t="str">
        <f t="shared" si="718"/>
        <v/>
      </c>
      <c r="GM126" s="177" t="str">
        <f t="shared" si="719"/>
        <v/>
      </c>
      <c r="GN126" s="280" t="str">
        <f t="shared" si="720"/>
        <v/>
      </c>
      <c r="GO126" s="4" t="str">
        <f t="shared" si="721"/>
        <v/>
      </c>
      <c r="GP126" s="8" t="str">
        <f t="shared" si="722"/>
        <v/>
      </c>
      <c r="GQ126" s="177" t="str">
        <f t="shared" si="723"/>
        <v/>
      </c>
      <c r="GR126" s="371" t="str">
        <f t="shared" si="724"/>
        <v/>
      </c>
      <c r="GS126" s="342" t="str">
        <f t="shared" si="779"/>
        <v/>
      </c>
      <c r="GT126" s="343" t="str">
        <f t="shared" si="780"/>
        <v/>
      </c>
      <c r="GU126" s="344" t="str">
        <f t="shared" si="781"/>
        <v/>
      </c>
      <c r="GV126" s="343" t="str">
        <f t="shared" si="725"/>
        <v/>
      </c>
      <c r="GW126" s="345" t="str">
        <f t="shared" si="782"/>
        <v/>
      </c>
      <c r="GX126" s="346" t="str">
        <f t="shared" si="783"/>
        <v/>
      </c>
      <c r="GY126" s="344" t="str">
        <f t="shared" si="784"/>
        <v/>
      </c>
      <c r="GZ126" s="345" t="str">
        <f t="shared" si="785"/>
        <v/>
      </c>
      <c r="HA126" s="342" t="str">
        <f t="shared" si="786"/>
        <v/>
      </c>
      <c r="HB126" s="5" t="str">
        <f t="shared" si="726"/>
        <v/>
      </c>
      <c r="HC126" s="343" t="str">
        <f t="shared" si="727"/>
        <v/>
      </c>
      <c r="HD126" s="363" t="str">
        <f t="shared" si="728"/>
        <v/>
      </c>
      <c r="HE126" s="344" t="str">
        <f t="shared" si="787"/>
        <v/>
      </c>
      <c r="HF126" s="5" t="str">
        <f t="shared" si="788"/>
        <v/>
      </c>
      <c r="HG126" s="343" t="str">
        <f t="shared" si="729"/>
        <v/>
      </c>
      <c r="HH126" s="349" t="str">
        <f t="shared" si="730"/>
        <v/>
      </c>
      <c r="HI126" s="317" t="str">
        <f t="shared" si="789"/>
        <v/>
      </c>
      <c r="HK126" s="310" t="str">
        <f t="shared" si="840"/>
        <v/>
      </c>
      <c r="HL126" s="348" t="str">
        <f t="shared" si="790"/>
        <v/>
      </c>
      <c r="HM126" s="909" t="str">
        <f t="shared" si="791"/>
        <v/>
      </c>
      <c r="HN126" s="910" t="str">
        <f t="shared" si="792"/>
        <v/>
      </c>
      <c r="HO126" s="911"/>
      <c r="HP126" s="912"/>
      <c r="HQ126" s="910" t="str">
        <f t="shared" si="793"/>
        <v/>
      </c>
      <c r="HR126" s="913" t="str">
        <f t="shared" si="794"/>
        <v/>
      </c>
      <c r="HS126" s="865" t="str">
        <f t="shared" si="841"/>
        <v/>
      </c>
      <c r="HT126" s="875" t="str">
        <f t="shared" si="795"/>
        <v/>
      </c>
      <c r="HU126" s="876" t="str">
        <f t="shared" si="796"/>
        <v/>
      </c>
      <c r="HV126" s="872" t="str">
        <f t="shared" si="797"/>
        <v/>
      </c>
      <c r="HW126" s="866" t="str">
        <f t="shared" si="798"/>
        <v/>
      </c>
      <c r="HX126" s="867" t="str">
        <f t="shared" si="799"/>
        <v/>
      </c>
      <c r="HY126" s="866" t="str">
        <f t="shared" si="800"/>
        <v/>
      </c>
      <c r="HZ126" s="868" t="str">
        <f t="shared" si="801"/>
        <v/>
      </c>
      <c r="IA126" s="869" t="str">
        <f t="shared" si="802"/>
        <v/>
      </c>
      <c r="IB126" s="870" t="str">
        <f t="shared" si="803"/>
        <v/>
      </c>
      <c r="IC126" s="841" t="str">
        <f t="shared" si="804"/>
        <v/>
      </c>
      <c r="ID126" s="351" t="str">
        <f t="shared" si="805"/>
        <v/>
      </c>
      <c r="IE126" s="843" t="str">
        <f t="shared" si="806"/>
        <v/>
      </c>
      <c r="IF126" s="844"/>
      <c r="IG126" s="790" t="str">
        <f>IFERROR(IF($IW126="","",IF($IW126&lt;(((Settings!$C$19/2)*-1)*$IG$8),"Taper","Nose")),"")</f>
        <v/>
      </c>
      <c r="IH126" s="482" t="str">
        <f>IFERROR(IF((((($IY126*COS(RADIANS(180-$JA126)))*COS(RADIANS($JA126)))-(($IZ126*SIN(RADIANS(180-$JA126)))*SIN(RADIANS($JA126))))+$IW126)&lt;(((Settings!$C$19+$IH$8)/2)*-1),"Gage",""),"")</f>
        <v/>
      </c>
      <c r="II126" s="788" t="str">
        <f t="shared" si="731"/>
        <v/>
      </c>
      <c r="IJ126" s="674" t="str" cm="1">
        <f t="array" ref="IJ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K126" s="677" t="str" cm="1">
        <f t="array" ref="IK126">IFERROR(ROUND(VALUE(IF($IJ126&lt;1,$IJ126+LARGE((IF($M$9:$M$150="",0,$M$9:$M$150)-MOD(IF($M$9:$M$150="",0,$M$9:$M$150),1)),1),$IJ126)),4),"")</f>
        <v/>
      </c>
      <c r="IL126" s="482" t="str">
        <f t="shared" si="807"/>
        <v/>
      </c>
      <c r="IM126" s="482" t="str">
        <f t="shared" si="732"/>
        <v/>
      </c>
      <c r="IN126" s="670" t="str">
        <f t="shared" si="808"/>
        <v/>
      </c>
      <c r="IO126" s="702"/>
      <c r="IP126" s="5" t="str">
        <f t="shared" si="809"/>
        <v/>
      </c>
      <c r="IQ126" s="714"/>
      <c r="IR126" s="9" t="str">
        <f t="shared" si="810"/>
        <v/>
      </c>
      <c r="IS126" s="5" t="str">
        <f t="shared" si="811"/>
        <v/>
      </c>
      <c r="IT126" s="5" t="str">
        <f t="shared" si="812"/>
        <v/>
      </c>
      <c r="IU126" s="5" t="str">
        <f t="shared" si="813"/>
        <v/>
      </c>
      <c r="IV126" s="670" t="str">
        <f t="shared" si="814"/>
        <v/>
      </c>
      <c r="IW126" s="9" t="str">
        <f t="shared" si="815"/>
        <v/>
      </c>
      <c r="IX126" s="5" t="str">
        <f t="shared" si="816"/>
        <v/>
      </c>
      <c r="IY126" s="5" t="str">
        <f t="shared" si="817"/>
        <v/>
      </c>
      <c r="IZ126" s="5" t="str">
        <f t="shared" si="818"/>
        <v/>
      </c>
      <c r="JA126" s="705" t="str">
        <f t="shared" si="819"/>
        <v/>
      </c>
    </row>
    <row r="127" spans="1:261" ht="15" customHeight="1" x14ac:dyDescent="0.25">
      <c r="A127" s="75" t="str">
        <f t="shared" si="736"/>
        <v/>
      </c>
      <c r="B127" s="578" t="str">
        <f t="shared" si="845"/>
        <v/>
      </c>
      <c r="C127" s="572" t="str">
        <f t="shared" si="846"/>
        <v/>
      </c>
      <c r="D127" s="576" t="str">
        <f t="shared" si="847"/>
        <v/>
      </c>
      <c r="E127" s="580" t="str">
        <f t="shared" si="848"/>
        <v/>
      </c>
      <c r="F127" s="572" t="str">
        <f t="shared" si="849"/>
        <v/>
      </c>
      <c r="G127" s="579" t="str">
        <f t="shared" si="850"/>
        <v/>
      </c>
      <c r="H127" s="580" t="str">
        <f t="shared" si="851"/>
        <v/>
      </c>
      <c r="I127" s="572" t="str">
        <f t="shared" si="852"/>
        <v/>
      </c>
      <c r="J127" s="483" t="str">
        <f t="shared" si="853"/>
        <v/>
      </c>
      <c r="K127" s="806" t="str">
        <f t="shared" si="854"/>
        <v/>
      </c>
      <c r="L127" s="309"/>
      <c r="M127" s="164" t="str">
        <f t="shared" si="737"/>
        <v/>
      </c>
      <c r="N127" s="575" t="str">
        <f t="shared" si="738"/>
        <v/>
      </c>
      <c r="O127" s="572" t="str">
        <f t="shared" si="739"/>
        <v/>
      </c>
      <c r="P127" s="576" t="str">
        <f t="shared" si="740"/>
        <v/>
      </c>
      <c r="Q127" s="528" t="str">
        <f t="shared" si="609"/>
        <v/>
      </c>
      <c r="R127" s="572" t="str">
        <f t="shared" si="820"/>
        <v/>
      </c>
      <c r="S127" s="577" t="str">
        <f t="shared" si="821"/>
        <v/>
      </c>
      <c r="T127" s="578" t="str">
        <f t="shared" si="822"/>
        <v/>
      </c>
      <c r="U127" s="572" t="str">
        <f t="shared" si="823"/>
        <v/>
      </c>
      <c r="V127" s="579" t="str">
        <f t="shared" si="824"/>
        <v/>
      </c>
      <c r="W127" s="528" t="str">
        <f t="shared" si="735"/>
        <v/>
      </c>
      <c r="X127" s="572" t="str">
        <f t="shared" si="825"/>
        <v/>
      </c>
      <c r="Y127" s="573" t="str">
        <f t="shared" si="733"/>
        <v/>
      </c>
      <c r="Z127" s="575" t="str">
        <f t="shared" si="741"/>
        <v/>
      </c>
      <c r="AA127" s="572" t="str">
        <f t="shared" si="742"/>
        <v/>
      </c>
      <c r="AB127" s="572" t="str">
        <f t="shared" si="743"/>
        <v/>
      </c>
      <c r="AC127" s="579" t="str">
        <f t="shared" si="826"/>
        <v/>
      </c>
      <c r="AD127" s="580" t="str">
        <f t="shared" si="827"/>
        <v/>
      </c>
      <c r="AE127" s="572" t="str">
        <f t="shared" si="828"/>
        <v/>
      </c>
      <c r="AF127" s="576" t="str">
        <f t="shared" si="829"/>
        <v/>
      </c>
      <c r="AG127" s="545" t="str">
        <f t="shared" si="830"/>
        <v/>
      </c>
      <c r="AH127" s="546" t="str">
        <f t="shared" si="831"/>
        <v/>
      </c>
      <c r="AI127" s="528" t="str">
        <f t="shared" si="832"/>
        <v/>
      </c>
      <c r="AJ127" s="529" t="str">
        <f t="shared" si="833"/>
        <v/>
      </c>
      <c r="AK127" s="578" t="str">
        <f t="shared" si="834"/>
        <v/>
      </c>
      <c r="AL127" s="572" t="str">
        <f t="shared" si="835"/>
        <v/>
      </c>
      <c r="AM127" s="577" t="str">
        <f t="shared" si="836"/>
        <v/>
      </c>
      <c r="AN127" s="524" t="str">
        <f t="shared" si="837"/>
        <v/>
      </c>
      <c r="AO127" s="525" t="str">
        <f t="shared" si="855"/>
        <v/>
      </c>
      <c r="AP127" s="528" t="str">
        <f t="shared" si="838"/>
        <v/>
      </c>
      <c r="AQ127" s="529" t="str">
        <f t="shared" si="744"/>
        <v/>
      </c>
      <c r="AS127" s="932" t="str">
        <f t="shared" si="842"/>
        <v/>
      </c>
      <c r="AT127" s="928" t="str">
        <f t="shared" si="745"/>
        <v/>
      </c>
      <c r="AU127" s="418"/>
      <c r="AV127" s="164" t="str">
        <f t="shared" si="746"/>
        <v/>
      </c>
      <c r="AW127" s="797" t="str">
        <f>IFERROR(INDEX(MassProp!C$9:C$150,MATCH($M127,MassProp!$B$9:$B$150,0)),"")</f>
        <v/>
      </c>
      <c r="AX127" s="744" t="str">
        <f>IFERROR(INDEX(MassProp!D$9:D$150,MATCH($M127,MassProp!$B$9:$B$150,0)),"")</f>
        <v/>
      </c>
      <c r="AY127" s="731" t="str">
        <f>IFERROR(INDEX(MassProp!E$9:E$150,MATCH($M127,MassProp!$B$9:$B$150,0)),"")</f>
        <v/>
      </c>
      <c r="AZ127" s="297" t="str">
        <f t="shared" si="633"/>
        <v/>
      </c>
      <c r="BA127" s="296" t="str">
        <f t="shared" si="747"/>
        <v/>
      </c>
      <c r="BB127" s="177" t="str">
        <f t="shared" si="610"/>
        <v/>
      </c>
      <c r="BC127" s="9"/>
      <c r="BD127" s="5" t="str">
        <f t="shared" si="611"/>
        <v/>
      </c>
      <c r="BE127" s="6" t="str">
        <f t="shared" si="748"/>
        <v/>
      </c>
      <c r="BF127" s="4" t="str">
        <f t="shared" si="749"/>
        <v/>
      </c>
      <c r="BG127" s="5" t="str">
        <f t="shared" si="750"/>
        <v/>
      </c>
      <c r="BH127" s="10" t="str">
        <f t="shared" si="751"/>
        <v/>
      </c>
      <c r="BI127" s="9" t="str">
        <f t="shared" si="634"/>
        <v/>
      </c>
      <c r="BJ127" s="5" t="str">
        <f t="shared" si="752"/>
        <v/>
      </c>
      <c r="BK127" s="8" t="str">
        <f t="shared" si="753"/>
        <v/>
      </c>
      <c r="BL127" s="173" t="str">
        <f t="shared" si="754"/>
        <v/>
      </c>
      <c r="BM127" s="5" t="str">
        <f t="shared" si="755"/>
        <v/>
      </c>
      <c r="BN127" s="6" t="str">
        <f t="shared" si="756"/>
        <v/>
      </c>
      <c r="BO127" s="4" t="str">
        <f t="shared" si="635"/>
        <v/>
      </c>
      <c r="BP127" s="5" t="str">
        <f t="shared" si="734"/>
        <v/>
      </c>
      <c r="BQ127" s="5" t="str">
        <f t="shared" si="636"/>
        <v/>
      </c>
      <c r="BR127" s="6" t="str">
        <f t="shared" si="637"/>
        <v/>
      </c>
      <c r="BS127" s="4" t="str">
        <f t="shared" si="839"/>
        <v/>
      </c>
      <c r="BT127" s="5" t="str">
        <f t="shared" si="839"/>
        <v/>
      </c>
      <c r="BU127" s="10" t="str">
        <f t="shared" si="613"/>
        <v/>
      </c>
      <c r="BV127" s="9" t="str">
        <f t="shared" si="614"/>
        <v/>
      </c>
      <c r="BW127" s="5" t="str">
        <f t="shared" si="615"/>
        <v/>
      </c>
      <c r="BX127" s="8" t="str">
        <f t="shared" si="616"/>
        <v/>
      </c>
      <c r="BY127" s="173" t="str">
        <f t="shared" si="617"/>
        <v/>
      </c>
      <c r="BZ127" s="5" t="str">
        <f t="shared" si="618"/>
        <v/>
      </c>
      <c r="CA127" s="6" t="str">
        <f t="shared" si="619"/>
        <v/>
      </c>
      <c r="CB127" s="4" t="str">
        <f t="shared" si="638"/>
        <v/>
      </c>
      <c r="CC127" s="5" t="str">
        <f t="shared" si="639"/>
        <v/>
      </c>
      <c r="CD127" s="5" t="str">
        <f t="shared" si="640"/>
        <v/>
      </c>
      <c r="CE127" s="6" t="str">
        <f t="shared" si="641"/>
        <v/>
      </c>
      <c r="CF127" s="4" t="str">
        <f t="shared" si="642"/>
        <v/>
      </c>
      <c r="CG127" s="5" t="str">
        <f t="shared" si="643"/>
        <v/>
      </c>
      <c r="CH127" s="5" t="str">
        <f t="shared" si="644"/>
        <v/>
      </c>
      <c r="CI127" s="4" t="str">
        <f t="shared" si="620"/>
        <v/>
      </c>
      <c r="CJ127" s="5" t="str">
        <f t="shared" si="621"/>
        <v/>
      </c>
      <c r="CK127" s="8" t="str">
        <f t="shared" si="622"/>
        <v/>
      </c>
      <c r="CL127" s="173" t="str">
        <f t="shared" si="623"/>
        <v/>
      </c>
      <c r="CM127" s="5" t="str">
        <f t="shared" si="624"/>
        <v/>
      </c>
      <c r="CN127" s="6" t="str">
        <f t="shared" si="625"/>
        <v/>
      </c>
      <c r="CO127" s="167" t="str">
        <f t="shared" si="757"/>
        <v/>
      </c>
      <c r="CP127" s="4" t="str">
        <f t="shared" si="645"/>
        <v/>
      </c>
      <c r="CQ127" s="5" t="str">
        <f t="shared" si="646"/>
        <v/>
      </c>
      <c r="CR127" s="5" t="str">
        <f t="shared" si="647"/>
        <v/>
      </c>
      <c r="CS127" s="8" t="str">
        <f t="shared" si="648"/>
        <v/>
      </c>
      <c r="CT127" s="9" t="str">
        <f t="shared" si="649"/>
        <v/>
      </c>
      <c r="CU127" s="6" t="str">
        <f t="shared" si="650"/>
        <v/>
      </c>
      <c r="CV127" s="4" t="str">
        <f t="shared" si="651"/>
        <v/>
      </c>
      <c r="CW127" s="5" t="str">
        <f t="shared" si="652"/>
        <v/>
      </c>
      <c r="CX127" s="8" t="str">
        <f t="shared" si="653"/>
        <v/>
      </c>
      <c r="CY127" s="9" t="str">
        <f t="shared" si="654"/>
        <v/>
      </c>
      <c r="CZ127" s="5" t="str">
        <f t="shared" si="655"/>
        <v/>
      </c>
      <c r="DA127" s="6" t="str">
        <f t="shared" si="656"/>
        <v/>
      </c>
      <c r="DB127" s="4" t="str">
        <f t="shared" si="843"/>
        <v/>
      </c>
      <c r="DC127" s="5" t="str">
        <f t="shared" si="843"/>
        <v/>
      </c>
      <c r="DD127" s="10" t="str">
        <f t="shared" si="658"/>
        <v/>
      </c>
      <c r="DE127" s="9" t="str">
        <f t="shared" si="844"/>
        <v/>
      </c>
      <c r="DF127" s="5" t="str">
        <f t="shared" si="844"/>
        <v/>
      </c>
      <c r="DG127" s="10" t="str">
        <f t="shared" si="660"/>
        <v/>
      </c>
      <c r="DH127" s="70" t="str">
        <f t="shared" si="661"/>
        <v/>
      </c>
      <c r="DI127" s="4" t="str">
        <f t="shared" si="662"/>
        <v/>
      </c>
      <c r="DJ127" s="5" t="str">
        <f t="shared" si="663"/>
        <v/>
      </c>
      <c r="DK127" s="10" t="str">
        <f t="shared" si="664"/>
        <v/>
      </c>
      <c r="DL127" s="9" t="str">
        <f t="shared" si="665"/>
        <v/>
      </c>
      <c r="DM127" s="173" t="str">
        <f t="shared" si="666"/>
        <v/>
      </c>
      <c r="DN127" s="178" t="str">
        <f t="shared" si="667"/>
        <v/>
      </c>
      <c r="DO127" s="9" t="str">
        <f t="shared" si="668"/>
        <v/>
      </c>
      <c r="DP127" s="173" t="str">
        <f t="shared" si="669"/>
        <v/>
      </c>
      <c r="DQ127" s="11" t="str">
        <f t="shared" si="670"/>
        <v/>
      </c>
      <c r="DR127" s="173" t="str">
        <f t="shared" si="671"/>
        <v/>
      </c>
      <c r="DS127" s="5" t="str">
        <f t="shared" si="672"/>
        <v/>
      </c>
      <c r="DT127" s="5" t="str">
        <f t="shared" si="673"/>
        <v/>
      </c>
      <c r="DU127" s="5" t="str">
        <f t="shared" si="674"/>
        <v/>
      </c>
      <c r="DV127" s="5" t="str">
        <f t="shared" si="675"/>
        <v/>
      </c>
      <c r="DW127" s="5" t="str">
        <f t="shared" si="676"/>
        <v/>
      </c>
      <c r="DX127" s="167" t="str">
        <f t="shared" si="677"/>
        <v/>
      </c>
      <c r="DY127" s="9" t="str">
        <f t="shared" si="678"/>
        <v/>
      </c>
      <c r="DZ127" s="5" t="str">
        <f t="shared" si="679"/>
        <v/>
      </c>
      <c r="EA127" s="10" t="str">
        <f t="shared" si="680"/>
        <v/>
      </c>
      <c r="EB127" s="6" t="str">
        <f t="shared" si="681"/>
        <v/>
      </c>
      <c r="EC127" s="173" t="str">
        <f t="shared" si="682"/>
        <v/>
      </c>
      <c r="ED127" s="5" t="str">
        <f t="shared" si="683"/>
        <v/>
      </c>
      <c r="EE127" s="4" t="str">
        <f t="shared" si="684"/>
        <v/>
      </c>
      <c r="EF127" s="5" t="str">
        <f t="shared" si="685"/>
        <v/>
      </c>
      <c r="EG127" s="10" t="str">
        <f t="shared" si="686"/>
        <v/>
      </c>
      <c r="EH127" s="9" t="str">
        <f t="shared" si="687"/>
        <v/>
      </c>
      <c r="EI127" s="5" t="str">
        <f t="shared" si="688"/>
        <v/>
      </c>
      <c r="EJ127" s="6" t="str">
        <f t="shared" si="689"/>
        <v/>
      </c>
      <c r="EK127" s="236" t="str">
        <f t="shared" si="690"/>
        <v/>
      </c>
      <c r="EL127" s="238" t="str">
        <f t="shared" si="691"/>
        <v/>
      </c>
      <c r="EM127" s="4" t="str">
        <f t="shared" si="692"/>
        <v/>
      </c>
      <c r="EN127" s="5" t="str">
        <f t="shared" si="693"/>
        <v/>
      </c>
      <c r="EO127" s="10" t="str">
        <f t="shared" si="694"/>
        <v/>
      </c>
      <c r="EP127" s="9" t="str">
        <f t="shared" si="695"/>
        <v/>
      </c>
      <c r="EQ127" s="5" t="str">
        <f t="shared" si="696"/>
        <v/>
      </c>
      <c r="ER127" s="7" t="str">
        <f t="shared" si="697"/>
        <v/>
      </c>
      <c r="ES127" s="21" t="str">
        <f t="shared" si="758"/>
        <v/>
      </c>
      <c r="ET127" s="5" t="str">
        <f t="shared" si="759"/>
        <v/>
      </c>
      <c r="EU127" s="10" t="str">
        <f t="shared" si="760"/>
        <v/>
      </c>
      <c r="EV127" s="174" t="str">
        <f t="shared" si="761"/>
        <v/>
      </c>
      <c r="EW127" s="9" t="str">
        <f t="shared" si="762"/>
        <v/>
      </c>
      <c r="EX127" s="5" t="str">
        <f t="shared" si="763"/>
        <v/>
      </c>
      <c r="EY127" s="6" t="str">
        <f t="shared" si="698"/>
        <v/>
      </c>
      <c r="EZ127" s="51" t="str">
        <f t="shared" si="699"/>
        <v/>
      </c>
      <c r="FA127" s="173" t="str">
        <f t="shared" si="764"/>
        <v/>
      </c>
      <c r="FB127" s="5" t="str">
        <f t="shared" si="765"/>
        <v/>
      </c>
      <c r="FC127" s="6" t="str">
        <f t="shared" si="766"/>
        <v/>
      </c>
      <c r="FD127" s="4" t="str">
        <f t="shared" si="767"/>
        <v/>
      </c>
      <c r="FE127" s="5" t="str">
        <f t="shared" si="768"/>
        <v/>
      </c>
      <c r="FF127" s="7" t="str">
        <f t="shared" si="700"/>
        <v/>
      </c>
      <c r="FG127" s="173" t="str">
        <f t="shared" si="769"/>
        <v/>
      </c>
      <c r="FH127" s="5" t="str">
        <f t="shared" si="770"/>
        <v/>
      </c>
      <c r="FI127" s="10" t="str">
        <f t="shared" si="771"/>
        <v/>
      </c>
      <c r="FJ127" s="279" t="str">
        <f t="shared" si="701"/>
        <v/>
      </c>
      <c r="FK127" s="4" t="str">
        <f t="shared" si="772"/>
        <v/>
      </c>
      <c r="FL127" s="5" t="str">
        <f t="shared" si="626"/>
        <v/>
      </c>
      <c r="FM127" s="8" t="str">
        <f t="shared" si="627"/>
        <v/>
      </c>
      <c r="FN127" s="9" t="str">
        <f t="shared" si="628"/>
        <v/>
      </c>
      <c r="FO127" s="10" t="str">
        <f t="shared" si="773"/>
        <v/>
      </c>
      <c r="FP127" s="277" t="str">
        <f t="shared" si="629"/>
        <v/>
      </c>
      <c r="FQ127" s="173" t="str">
        <f t="shared" si="702"/>
        <v/>
      </c>
      <c r="FR127" s="10" t="str">
        <f t="shared" si="703"/>
        <v/>
      </c>
      <c r="FS127" s="9" t="str">
        <f t="shared" si="704"/>
        <v/>
      </c>
      <c r="FT127" s="6" t="str">
        <f t="shared" si="705"/>
        <v/>
      </c>
      <c r="FU127" s="4" t="str">
        <f t="shared" si="706"/>
        <v/>
      </c>
      <c r="FV127" s="5" t="str">
        <f t="shared" si="707"/>
        <v/>
      </c>
      <c r="FW127" s="8" t="str">
        <f t="shared" si="708"/>
        <v/>
      </c>
      <c r="FX127" s="9" t="str">
        <f t="shared" si="709"/>
        <v/>
      </c>
      <c r="FY127" s="10" t="str">
        <f t="shared" si="774"/>
        <v/>
      </c>
      <c r="FZ127" s="277" t="str">
        <f t="shared" si="710"/>
        <v/>
      </c>
      <c r="GA127" s="177" t="str">
        <f t="shared" si="711"/>
        <v/>
      </c>
      <c r="GB127" s="4" t="str">
        <f t="shared" si="712"/>
        <v/>
      </c>
      <c r="GC127" s="5" t="str">
        <f t="shared" si="713"/>
        <v/>
      </c>
      <c r="GD127" s="10" t="str">
        <f t="shared" si="714"/>
        <v/>
      </c>
      <c r="GE127" s="311" t="str">
        <f t="shared" si="715"/>
        <v/>
      </c>
      <c r="GF127" s="341" t="str">
        <f t="shared" si="716"/>
        <v/>
      </c>
      <c r="GG127" s="285" t="str">
        <f t="shared" si="775"/>
        <v/>
      </c>
      <c r="GH127" s="286" t="str">
        <f t="shared" si="776"/>
        <v/>
      </c>
      <c r="GI127" s="281" t="str">
        <f t="shared" si="777"/>
        <v/>
      </c>
      <c r="GJ127" s="167" t="str">
        <f t="shared" si="717"/>
        <v/>
      </c>
      <c r="GK127" s="174" t="str">
        <f t="shared" si="778"/>
        <v/>
      </c>
      <c r="GL127" s="174" t="str">
        <f t="shared" si="718"/>
        <v/>
      </c>
      <c r="GM127" s="177" t="str">
        <f t="shared" si="719"/>
        <v/>
      </c>
      <c r="GN127" s="280" t="str">
        <f t="shared" si="720"/>
        <v/>
      </c>
      <c r="GO127" s="4" t="str">
        <f t="shared" si="721"/>
        <v/>
      </c>
      <c r="GP127" s="8" t="str">
        <f t="shared" si="722"/>
        <v/>
      </c>
      <c r="GQ127" s="177" t="str">
        <f t="shared" si="723"/>
        <v/>
      </c>
      <c r="GR127" s="371" t="str">
        <f t="shared" si="724"/>
        <v/>
      </c>
      <c r="GS127" s="342" t="str">
        <f t="shared" si="779"/>
        <v/>
      </c>
      <c r="GT127" s="343" t="str">
        <f t="shared" si="780"/>
        <v/>
      </c>
      <c r="GU127" s="344" t="str">
        <f t="shared" si="781"/>
        <v/>
      </c>
      <c r="GV127" s="343" t="str">
        <f t="shared" si="725"/>
        <v/>
      </c>
      <c r="GW127" s="345" t="str">
        <f t="shared" si="782"/>
        <v/>
      </c>
      <c r="GX127" s="346" t="str">
        <f t="shared" si="783"/>
        <v/>
      </c>
      <c r="GY127" s="344" t="str">
        <f t="shared" si="784"/>
        <v/>
      </c>
      <c r="GZ127" s="345" t="str">
        <f t="shared" si="785"/>
        <v/>
      </c>
      <c r="HA127" s="342" t="str">
        <f t="shared" si="786"/>
        <v/>
      </c>
      <c r="HB127" s="5" t="str">
        <f t="shared" si="726"/>
        <v/>
      </c>
      <c r="HC127" s="343" t="str">
        <f t="shared" si="727"/>
        <v/>
      </c>
      <c r="HD127" s="363" t="str">
        <f t="shared" si="728"/>
        <v/>
      </c>
      <c r="HE127" s="344" t="str">
        <f t="shared" si="787"/>
        <v/>
      </c>
      <c r="HF127" s="5" t="str">
        <f t="shared" si="788"/>
        <v/>
      </c>
      <c r="HG127" s="343" t="str">
        <f t="shared" si="729"/>
        <v/>
      </c>
      <c r="HH127" s="349" t="str">
        <f t="shared" si="730"/>
        <v/>
      </c>
      <c r="HI127" s="317" t="str">
        <f t="shared" si="789"/>
        <v/>
      </c>
      <c r="HK127" s="310" t="str">
        <f t="shared" si="840"/>
        <v/>
      </c>
      <c r="HL127" s="348" t="str">
        <f t="shared" si="790"/>
        <v/>
      </c>
      <c r="HM127" s="909" t="str">
        <f t="shared" si="791"/>
        <v/>
      </c>
      <c r="HN127" s="910" t="str">
        <f t="shared" si="792"/>
        <v/>
      </c>
      <c r="HO127" s="911"/>
      <c r="HP127" s="912"/>
      <c r="HQ127" s="910" t="str">
        <f t="shared" si="793"/>
        <v/>
      </c>
      <c r="HR127" s="913" t="str">
        <f t="shared" si="794"/>
        <v/>
      </c>
      <c r="HS127" s="865" t="str">
        <f t="shared" si="841"/>
        <v/>
      </c>
      <c r="HT127" s="875" t="str">
        <f t="shared" si="795"/>
        <v/>
      </c>
      <c r="HU127" s="876" t="str">
        <f t="shared" si="796"/>
        <v/>
      </c>
      <c r="HV127" s="872" t="str">
        <f t="shared" si="797"/>
        <v/>
      </c>
      <c r="HW127" s="866" t="str">
        <f t="shared" si="798"/>
        <v/>
      </c>
      <c r="HX127" s="867" t="str">
        <f t="shared" si="799"/>
        <v/>
      </c>
      <c r="HY127" s="866" t="str">
        <f t="shared" si="800"/>
        <v/>
      </c>
      <c r="HZ127" s="868" t="str">
        <f t="shared" si="801"/>
        <v/>
      </c>
      <c r="IA127" s="869" t="str">
        <f t="shared" si="802"/>
        <v/>
      </c>
      <c r="IB127" s="870" t="str">
        <f t="shared" si="803"/>
        <v/>
      </c>
      <c r="IC127" s="841" t="str">
        <f t="shared" si="804"/>
        <v/>
      </c>
      <c r="ID127" s="351" t="str">
        <f t="shared" si="805"/>
        <v/>
      </c>
      <c r="IE127" s="843" t="str">
        <f t="shared" si="806"/>
        <v/>
      </c>
      <c r="IF127" s="844"/>
      <c r="IG127" s="790" t="str">
        <f>IFERROR(IF($IW127="","",IF($IW127&lt;(((Settings!$C$19/2)*-1)*$IG$8),"Taper","Nose")),"")</f>
        <v/>
      </c>
      <c r="IH127" s="482" t="str">
        <f>IFERROR(IF((((($IY127*COS(RADIANS(180-$JA127)))*COS(RADIANS($JA127)))-(($IZ127*SIN(RADIANS(180-$JA127)))*SIN(RADIANS($JA127))))+$IW127)&lt;(((Settings!$C$19+$IH$8)/2)*-1),"Gage",""),"")</f>
        <v/>
      </c>
      <c r="II127" s="788" t="str">
        <f t="shared" si="731"/>
        <v/>
      </c>
      <c r="IJ127" s="674" t="str" cm="1">
        <f t="array" ref="IJ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K127" s="677" t="str" cm="1">
        <f t="array" ref="IK127">IFERROR(ROUND(VALUE(IF($IJ127&lt;1,$IJ127+LARGE((IF($M$9:$M$150="",0,$M$9:$M$150)-MOD(IF($M$9:$M$150="",0,$M$9:$M$150),1)),1),$IJ127)),4),"")</f>
        <v/>
      </c>
      <c r="IL127" s="482" t="str">
        <f t="shared" si="807"/>
        <v/>
      </c>
      <c r="IM127" s="482" t="str">
        <f t="shared" si="732"/>
        <v/>
      </c>
      <c r="IN127" s="670" t="str">
        <f t="shared" si="808"/>
        <v/>
      </c>
      <c r="IO127" s="702"/>
      <c r="IP127" s="5" t="str">
        <f t="shared" si="809"/>
        <v/>
      </c>
      <c r="IQ127" s="714"/>
      <c r="IR127" s="9" t="str">
        <f t="shared" si="810"/>
        <v/>
      </c>
      <c r="IS127" s="5" t="str">
        <f t="shared" si="811"/>
        <v/>
      </c>
      <c r="IT127" s="5" t="str">
        <f t="shared" si="812"/>
        <v/>
      </c>
      <c r="IU127" s="5" t="str">
        <f t="shared" si="813"/>
        <v/>
      </c>
      <c r="IV127" s="670" t="str">
        <f t="shared" si="814"/>
        <v/>
      </c>
      <c r="IW127" s="9" t="str">
        <f t="shared" si="815"/>
        <v/>
      </c>
      <c r="IX127" s="5" t="str">
        <f t="shared" si="816"/>
        <v/>
      </c>
      <c r="IY127" s="5" t="str">
        <f t="shared" si="817"/>
        <v/>
      </c>
      <c r="IZ127" s="5" t="str">
        <f t="shared" si="818"/>
        <v/>
      </c>
      <c r="JA127" s="705" t="str">
        <f t="shared" si="819"/>
        <v/>
      </c>
    </row>
    <row r="128" spans="1:261" ht="15" customHeight="1" x14ac:dyDescent="0.25">
      <c r="A128" s="75" t="str">
        <f t="shared" si="736"/>
        <v/>
      </c>
      <c r="B128" s="578" t="str">
        <f t="shared" si="845"/>
        <v/>
      </c>
      <c r="C128" s="572" t="str">
        <f t="shared" si="846"/>
        <v/>
      </c>
      <c r="D128" s="576" t="str">
        <f t="shared" si="847"/>
        <v/>
      </c>
      <c r="E128" s="580" t="str">
        <f t="shared" si="848"/>
        <v/>
      </c>
      <c r="F128" s="572" t="str">
        <f t="shared" si="849"/>
        <v/>
      </c>
      <c r="G128" s="579" t="str">
        <f t="shared" si="850"/>
        <v/>
      </c>
      <c r="H128" s="580" t="str">
        <f t="shared" si="851"/>
        <v/>
      </c>
      <c r="I128" s="572" t="str">
        <f t="shared" si="852"/>
        <v/>
      </c>
      <c r="J128" s="483" t="str">
        <f t="shared" si="853"/>
        <v/>
      </c>
      <c r="K128" s="806" t="str">
        <f t="shared" si="854"/>
        <v/>
      </c>
      <c r="L128" s="309"/>
      <c r="M128" s="164" t="str">
        <f t="shared" si="737"/>
        <v/>
      </c>
      <c r="N128" s="575" t="str">
        <f t="shared" si="738"/>
        <v/>
      </c>
      <c r="O128" s="572" t="str">
        <f t="shared" si="739"/>
        <v/>
      </c>
      <c r="P128" s="576" t="str">
        <f t="shared" si="740"/>
        <v/>
      </c>
      <c r="Q128" s="528" t="str">
        <f t="shared" si="609"/>
        <v/>
      </c>
      <c r="R128" s="572" t="str">
        <f t="shared" si="820"/>
        <v/>
      </c>
      <c r="S128" s="577" t="str">
        <f t="shared" si="821"/>
        <v/>
      </c>
      <c r="T128" s="578" t="str">
        <f t="shared" si="822"/>
        <v/>
      </c>
      <c r="U128" s="572" t="str">
        <f t="shared" si="823"/>
        <v/>
      </c>
      <c r="V128" s="579" t="str">
        <f t="shared" si="824"/>
        <v/>
      </c>
      <c r="W128" s="528" t="str">
        <f t="shared" si="735"/>
        <v/>
      </c>
      <c r="X128" s="572" t="str">
        <f t="shared" si="825"/>
        <v/>
      </c>
      <c r="Y128" s="573" t="str">
        <f t="shared" si="733"/>
        <v/>
      </c>
      <c r="Z128" s="575" t="str">
        <f t="shared" si="741"/>
        <v/>
      </c>
      <c r="AA128" s="572" t="str">
        <f t="shared" si="742"/>
        <v/>
      </c>
      <c r="AB128" s="572" t="str">
        <f t="shared" si="743"/>
        <v/>
      </c>
      <c r="AC128" s="579" t="str">
        <f t="shared" si="826"/>
        <v/>
      </c>
      <c r="AD128" s="580" t="str">
        <f t="shared" si="827"/>
        <v/>
      </c>
      <c r="AE128" s="572" t="str">
        <f t="shared" si="828"/>
        <v/>
      </c>
      <c r="AF128" s="576" t="str">
        <f t="shared" si="829"/>
        <v/>
      </c>
      <c r="AG128" s="545" t="str">
        <f t="shared" si="830"/>
        <v/>
      </c>
      <c r="AH128" s="546" t="str">
        <f t="shared" si="831"/>
        <v/>
      </c>
      <c r="AI128" s="528" t="str">
        <f t="shared" si="832"/>
        <v/>
      </c>
      <c r="AJ128" s="529" t="str">
        <f t="shared" si="833"/>
        <v/>
      </c>
      <c r="AK128" s="578" t="str">
        <f t="shared" si="834"/>
        <v/>
      </c>
      <c r="AL128" s="572" t="str">
        <f t="shared" si="835"/>
        <v/>
      </c>
      <c r="AM128" s="577" t="str">
        <f t="shared" si="836"/>
        <v/>
      </c>
      <c r="AN128" s="524" t="str">
        <f t="shared" si="837"/>
        <v/>
      </c>
      <c r="AO128" s="525" t="str">
        <f t="shared" si="855"/>
        <v/>
      </c>
      <c r="AP128" s="528" t="str">
        <f t="shared" si="838"/>
        <v/>
      </c>
      <c r="AQ128" s="529" t="str">
        <f t="shared" si="744"/>
        <v/>
      </c>
      <c r="AS128" s="932" t="str">
        <f t="shared" si="842"/>
        <v/>
      </c>
      <c r="AT128" s="928" t="str">
        <f t="shared" si="745"/>
        <v/>
      </c>
      <c r="AU128" s="418"/>
      <c r="AV128" s="164" t="str">
        <f t="shared" si="746"/>
        <v/>
      </c>
      <c r="AW128" s="797" t="str">
        <f>IFERROR(INDEX(MassProp!C$9:C$150,MATCH($M128,MassProp!$B$9:$B$150,0)),"")</f>
        <v/>
      </c>
      <c r="AX128" s="744" t="str">
        <f>IFERROR(INDEX(MassProp!D$9:D$150,MATCH($M128,MassProp!$B$9:$B$150,0)),"")</f>
        <v/>
      </c>
      <c r="AY128" s="731" t="str">
        <f>IFERROR(INDEX(MassProp!E$9:E$150,MATCH($M128,MassProp!$B$9:$B$150,0)),"")</f>
        <v/>
      </c>
      <c r="AZ128" s="297" t="str">
        <f t="shared" si="633"/>
        <v/>
      </c>
      <c r="BA128" s="296" t="str">
        <f t="shared" si="747"/>
        <v/>
      </c>
      <c r="BB128" s="177" t="str">
        <f t="shared" si="610"/>
        <v/>
      </c>
      <c r="BC128" s="9"/>
      <c r="BD128" s="5" t="str">
        <f t="shared" si="611"/>
        <v/>
      </c>
      <c r="BE128" s="6" t="str">
        <f t="shared" si="748"/>
        <v/>
      </c>
      <c r="BF128" s="4" t="str">
        <f t="shared" si="749"/>
        <v/>
      </c>
      <c r="BG128" s="5" t="str">
        <f t="shared" si="750"/>
        <v/>
      </c>
      <c r="BH128" s="10" t="str">
        <f t="shared" si="751"/>
        <v/>
      </c>
      <c r="BI128" s="9" t="str">
        <f t="shared" si="634"/>
        <v/>
      </c>
      <c r="BJ128" s="5" t="str">
        <f t="shared" si="752"/>
        <v/>
      </c>
      <c r="BK128" s="8" t="str">
        <f t="shared" si="753"/>
        <v/>
      </c>
      <c r="BL128" s="173" t="str">
        <f t="shared" si="754"/>
        <v/>
      </c>
      <c r="BM128" s="5" t="str">
        <f t="shared" si="755"/>
        <v/>
      </c>
      <c r="BN128" s="6" t="str">
        <f t="shared" si="756"/>
        <v/>
      </c>
      <c r="BO128" s="4" t="str">
        <f t="shared" si="635"/>
        <v/>
      </c>
      <c r="BP128" s="5" t="str">
        <f t="shared" si="734"/>
        <v/>
      </c>
      <c r="BQ128" s="5" t="str">
        <f t="shared" si="636"/>
        <v/>
      </c>
      <c r="BR128" s="6" t="str">
        <f t="shared" si="637"/>
        <v/>
      </c>
      <c r="BS128" s="4" t="str">
        <f t="shared" si="839"/>
        <v/>
      </c>
      <c r="BT128" s="5" t="str">
        <f t="shared" si="839"/>
        <v/>
      </c>
      <c r="BU128" s="10" t="str">
        <f t="shared" si="613"/>
        <v/>
      </c>
      <c r="BV128" s="9" t="str">
        <f t="shared" si="614"/>
        <v/>
      </c>
      <c r="BW128" s="5" t="str">
        <f t="shared" si="615"/>
        <v/>
      </c>
      <c r="BX128" s="8" t="str">
        <f t="shared" si="616"/>
        <v/>
      </c>
      <c r="BY128" s="173" t="str">
        <f t="shared" si="617"/>
        <v/>
      </c>
      <c r="BZ128" s="5" t="str">
        <f t="shared" si="618"/>
        <v/>
      </c>
      <c r="CA128" s="6" t="str">
        <f t="shared" si="619"/>
        <v/>
      </c>
      <c r="CB128" s="4" t="str">
        <f t="shared" si="638"/>
        <v/>
      </c>
      <c r="CC128" s="5" t="str">
        <f t="shared" si="639"/>
        <v/>
      </c>
      <c r="CD128" s="5" t="str">
        <f t="shared" si="640"/>
        <v/>
      </c>
      <c r="CE128" s="6" t="str">
        <f t="shared" si="641"/>
        <v/>
      </c>
      <c r="CF128" s="4" t="str">
        <f t="shared" si="642"/>
        <v/>
      </c>
      <c r="CG128" s="5" t="str">
        <f t="shared" si="643"/>
        <v/>
      </c>
      <c r="CH128" s="5" t="str">
        <f t="shared" si="644"/>
        <v/>
      </c>
      <c r="CI128" s="4" t="str">
        <f t="shared" si="620"/>
        <v/>
      </c>
      <c r="CJ128" s="5" t="str">
        <f t="shared" si="621"/>
        <v/>
      </c>
      <c r="CK128" s="8" t="str">
        <f t="shared" si="622"/>
        <v/>
      </c>
      <c r="CL128" s="173" t="str">
        <f t="shared" si="623"/>
        <v/>
      </c>
      <c r="CM128" s="5" t="str">
        <f t="shared" si="624"/>
        <v/>
      </c>
      <c r="CN128" s="6" t="str">
        <f t="shared" si="625"/>
        <v/>
      </c>
      <c r="CO128" s="167" t="str">
        <f t="shared" si="757"/>
        <v/>
      </c>
      <c r="CP128" s="4" t="str">
        <f t="shared" si="645"/>
        <v/>
      </c>
      <c r="CQ128" s="5" t="str">
        <f t="shared" si="646"/>
        <v/>
      </c>
      <c r="CR128" s="5" t="str">
        <f t="shared" si="647"/>
        <v/>
      </c>
      <c r="CS128" s="8" t="str">
        <f t="shared" si="648"/>
        <v/>
      </c>
      <c r="CT128" s="9" t="str">
        <f t="shared" si="649"/>
        <v/>
      </c>
      <c r="CU128" s="6" t="str">
        <f t="shared" si="650"/>
        <v/>
      </c>
      <c r="CV128" s="4" t="str">
        <f t="shared" si="651"/>
        <v/>
      </c>
      <c r="CW128" s="5" t="str">
        <f t="shared" si="652"/>
        <v/>
      </c>
      <c r="CX128" s="8" t="str">
        <f t="shared" si="653"/>
        <v/>
      </c>
      <c r="CY128" s="9" t="str">
        <f t="shared" si="654"/>
        <v/>
      </c>
      <c r="CZ128" s="5" t="str">
        <f t="shared" si="655"/>
        <v/>
      </c>
      <c r="DA128" s="6" t="str">
        <f t="shared" si="656"/>
        <v/>
      </c>
      <c r="DB128" s="4" t="str">
        <f t="shared" si="843"/>
        <v/>
      </c>
      <c r="DC128" s="5" t="str">
        <f t="shared" si="843"/>
        <v/>
      </c>
      <c r="DD128" s="10" t="str">
        <f t="shared" si="658"/>
        <v/>
      </c>
      <c r="DE128" s="9" t="str">
        <f t="shared" si="844"/>
        <v/>
      </c>
      <c r="DF128" s="5" t="str">
        <f t="shared" si="844"/>
        <v/>
      </c>
      <c r="DG128" s="10" t="str">
        <f t="shared" si="660"/>
        <v/>
      </c>
      <c r="DH128" s="70" t="str">
        <f t="shared" si="661"/>
        <v/>
      </c>
      <c r="DI128" s="4" t="str">
        <f t="shared" si="662"/>
        <v/>
      </c>
      <c r="DJ128" s="5" t="str">
        <f t="shared" si="663"/>
        <v/>
      </c>
      <c r="DK128" s="10" t="str">
        <f t="shared" si="664"/>
        <v/>
      </c>
      <c r="DL128" s="9" t="str">
        <f t="shared" si="665"/>
        <v/>
      </c>
      <c r="DM128" s="173" t="str">
        <f t="shared" si="666"/>
        <v/>
      </c>
      <c r="DN128" s="178" t="str">
        <f t="shared" si="667"/>
        <v/>
      </c>
      <c r="DO128" s="9" t="str">
        <f t="shared" si="668"/>
        <v/>
      </c>
      <c r="DP128" s="173" t="str">
        <f t="shared" si="669"/>
        <v/>
      </c>
      <c r="DQ128" s="11" t="str">
        <f t="shared" si="670"/>
        <v/>
      </c>
      <c r="DR128" s="173" t="str">
        <f t="shared" si="671"/>
        <v/>
      </c>
      <c r="DS128" s="5" t="str">
        <f t="shared" si="672"/>
        <v/>
      </c>
      <c r="DT128" s="5" t="str">
        <f t="shared" si="673"/>
        <v/>
      </c>
      <c r="DU128" s="5" t="str">
        <f t="shared" si="674"/>
        <v/>
      </c>
      <c r="DV128" s="5" t="str">
        <f t="shared" si="675"/>
        <v/>
      </c>
      <c r="DW128" s="5" t="str">
        <f t="shared" si="676"/>
        <v/>
      </c>
      <c r="DX128" s="167" t="str">
        <f t="shared" si="677"/>
        <v/>
      </c>
      <c r="DY128" s="9" t="str">
        <f t="shared" si="678"/>
        <v/>
      </c>
      <c r="DZ128" s="5" t="str">
        <f t="shared" si="679"/>
        <v/>
      </c>
      <c r="EA128" s="10" t="str">
        <f t="shared" si="680"/>
        <v/>
      </c>
      <c r="EB128" s="6" t="str">
        <f t="shared" si="681"/>
        <v/>
      </c>
      <c r="EC128" s="173" t="str">
        <f t="shared" si="682"/>
        <v/>
      </c>
      <c r="ED128" s="5" t="str">
        <f t="shared" si="683"/>
        <v/>
      </c>
      <c r="EE128" s="4" t="str">
        <f t="shared" si="684"/>
        <v/>
      </c>
      <c r="EF128" s="5" t="str">
        <f t="shared" si="685"/>
        <v/>
      </c>
      <c r="EG128" s="10" t="str">
        <f t="shared" si="686"/>
        <v/>
      </c>
      <c r="EH128" s="9" t="str">
        <f t="shared" si="687"/>
        <v/>
      </c>
      <c r="EI128" s="5" t="str">
        <f t="shared" si="688"/>
        <v/>
      </c>
      <c r="EJ128" s="6" t="str">
        <f t="shared" si="689"/>
        <v/>
      </c>
      <c r="EK128" s="236" t="str">
        <f t="shared" si="690"/>
        <v/>
      </c>
      <c r="EL128" s="238" t="str">
        <f t="shared" si="691"/>
        <v/>
      </c>
      <c r="EM128" s="4" t="str">
        <f t="shared" si="692"/>
        <v/>
      </c>
      <c r="EN128" s="5" t="str">
        <f t="shared" si="693"/>
        <v/>
      </c>
      <c r="EO128" s="10" t="str">
        <f t="shared" si="694"/>
        <v/>
      </c>
      <c r="EP128" s="9" t="str">
        <f t="shared" si="695"/>
        <v/>
      </c>
      <c r="EQ128" s="5" t="str">
        <f t="shared" si="696"/>
        <v/>
      </c>
      <c r="ER128" s="7" t="str">
        <f t="shared" si="697"/>
        <v/>
      </c>
      <c r="ES128" s="21" t="str">
        <f t="shared" si="758"/>
        <v/>
      </c>
      <c r="ET128" s="5" t="str">
        <f t="shared" si="759"/>
        <v/>
      </c>
      <c r="EU128" s="10" t="str">
        <f t="shared" si="760"/>
        <v/>
      </c>
      <c r="EV128" s="174" t="str">
        <f t="shared" si="761"/>
        <v/>
      </c>
      <c r="EW128" s="9" t="str">
        <f t="shared" si="762"/>
        <v/>
      </c>
      <c r="EX128" s="5" t="str">
        <f t="shared" si="763"/>
        <v/>
      </c>
      <c r="EY128" s="6" t="str">
        <f t="shared" si="698"/>
        <v/>
      </c>
      <c r="EZ128" s="51" t="str">
        <f t="shared" si="699"/>
        <v/>
      </c>
      <c r="FA128" s="173" t="str">
        <f t="shared" si="764"/>
        <v/>
      </c>
      <c r="FB128" s="5" t="str">
        <f t="shared" si="765"/>
        <v/>
      </c>
      <c r="FC128" s="6" t="str">
        <f t="shared" si="766"/>
        <v/>
      </c>
      <c r="FD128" s="4" t="str">
        <f t="shared" si="767"/>
        <v/>
      </c>
      <c r="FE128" s="5" t="str">
        <f t="shared" si="768"/>
        <v/>
      </c>
      <c r="FF128" s="7" t="str">
        <f t="shared" si="700"/>
        <v/>
      </c>
      <c r="FG128" s="173" t="str">
        <f t="shared" si="769"/>
        <v/>
      </c>
      <c r="FH128" s="5" t="str">
        <f t="shared" si="770"/>
        <v/>
      </c>
      <c r="FI128" s="10" t="str">
        <f t="shared" si="771"/>
        <v/>
      </c>
      <c r="FJ128" s="279" t="str">
        <f t="shared" si="701"/>
        <v/>
      </c>
      <c r="FK128" s="4" t="str">
        <f t="shared" si="772"/>
        <v/>
      </c>
      <c r="FL128" s="5" t="str">
        <f t="shared" si="626"/>
        <v/>
      </c>
      <c r="FM128" s="8" t="str">
        <f t="shared" si="627"/>
        <v/>
      </c>
      <c r="FN128" s="9" t="str">
        <f t="shared" si="628"/>
        <v/>
      </c>
      <c r="FO128" s="10" t="str">
        <f t="shared" si="773"/>
        <v/>
      </c>
      <c r="FP128" s="277" t="str">
        <f t="shared" si="629"/>
        <v/>
      </c>
      <c r="FQ128" s="173" t="str">
        <f t="shared" si="702"/>
        <v/>
      </c>
      <c r="FR128" s="10" t="str">
        <f t="shared" si="703"/>
        <v/>
      </c>
      <c r="FS128" s="9" t="str">
        <f t="shared" si="704"/>
        <v/>
      </c>
      <c r="FT128" s="6" t="str">
        <f t="shared" si="705"/>
        <v/>
      </c>
      <c r="FU128" s="4" t="str">
        <f t="shared" si="706"/>
        <v/>
      </c>
      <c r="FV128" s="5" t="str">
        <f t="shared" si="707"/>
        <v/>
      </c>
      <c r="FW128" s="8" t="str">
        <f t="shared" si="708"/>
        <v/>
      </c>
      <c r="FX128" s="9" t="str">
        <f t="shared" si="709"/>
        <v/>
      </c>
      <c r="FY128" s="10" t="str">
        <f t="shared" si="774"/>
        <v/>
      </c>
      <c r="FZ128" s="277" t="str">
        <f t="shared" si="710"/>
        <v/>
      </c>
      <c r="GA128" s="177" t="str">
        <f t="shared" si="711"/>
        <v/>
      </c>
      <c r="GB128" s="4" t="str">
        <f t="shared" si="712"/>
        <v/>
      </c>
      <c r="GC128" s="5" t="str">
        <f t="shared" si="713"/>
        <v/>
      </c>
      <c r="GD128" s="10" t="str">
        <f t="shared" si="714"/>
        <v/>
      </c>
      <c r="GE128" s="311" t="str">
        <f t="shared" si="715"/>
        <v/>
      </c>
      <c r="GF128" s="341" t="str">
        <f t="shared" si="716"/>
        <v/>
      </c>
      <c r="GG128" s="285" t="str">
        <f t="shared" si="775"/>
        <v/>
      </c>
      <c r="GH128" s="286" t="str">
        <f t="shared" si="776"/>
        <v/>
      </c>
      <c r="GI128" s="281" t="str">
        <f t="shared" si="777"/>
        <v/>
      </c>
      <c r="GJ128" s="167" t="str">
        <f t="shared" si="717"/>
        <v/>
      </c>
      <c r="GK128" s="174" t="str">
        <f t="shared" si="778"/>
        <v/>
      </c>
      <c r="GL128" s="174" t="str">
        <f t="shared" si="718"/>
        <v/>
      </c>
      <c r="GM128" s="177" t="str">
        <f t="shared" si="719"/>
        <v/>
      </c>
      <c r="GN128" s="280" t="str">
        <f t="shared" si="720"/>
        <v/>
      </c>
      <c r="GO128" s="4" t="str">
        <f t="shared" si="721"/>
        <v/>
      </c>
      <c r="GP128" s="8" t="str">
        <f t="shared" si="722"/>
        <v/>
      </c>
      <c r="GQ128" s="177" t="str">
        <f t="shared" si="723"/>
        <v/>
      </c>
      <c r="GR128" s="371" t="str">
        <f t="shared" si="724"/>
        <v/>
      </c>
      <c r="GS128" s="342" t="str">
        <f t="shared" si="779"/>
        <v/>
      </c>
      <c r="GT128" s="343" t="str">
        <f t="shared" si="780"/>
        <v/>
      </c>
      <c r="GU128" s="344" t="str">
        <f t="shared" si="781"/>
        <v/>
      </c>
      <c r="GV128" s="343" t="str">
        <f t="shared" si="725"/>
        <v/>
      </c>
      <c r="GW128" s="345" t="str">
        <f t="shared" si="782"/>
        <v/>
      </c>
      <c r="GX128" s="346" t="str">
        <f t="shared" si="783"/>
        <v/>
      </c>
      <c r="GY128" s="344" t="str">
        <f t="shared" si="784"/>
        <v/>
      </c>
      <c r="GZ128" s="345" t="str">
        <f t="shared" si="785"/>
        <v/>
      </c>
      <c r="HA128" s="342" t="str">
        <f t="shared" si="786"/>
        <v/>
      </c>
      <c r="HB128" s="5" t="str">
        <f t="shared" si="726"/>
        <v/>
      </c>
      <c r="HC128" s="343" t="str">
        <f t="shared" si="727"/>
        <v/>
      </c>
      <c r="HD128" s="363" t="str">
        <f t="shared" si="728"/>
        <v/>
      </c>
      <c r="HE128" s="344" t="str">
        <f t="shared" si="787"/>
        <v/>
      </c>
      <c r="HF128" s="5" t="str">
        <f t="shared" si="788"/>
        <v/>
      </c>
      <c r="HG128" s="343" t="str">
        <f t="shared" si="729"/>
        <v/>
      </c>
      <c r="HH128" s="349" t="str">
        <f t="shared" si="730"/>
        <v/>
      </c>
      <c r="HI128" s="317" t="str">
        <f t="shared" si="789"/>
        <v/>
      </c>
      <c r="HK128" s="310" t="str">
        <f t="shared" si="840"/>
        <v/>
      </c>
      <c r="HL128" s="348" t="str">
        <f t="shared" si="790"/>
        <v/>
      </c>
      <c r="HM128" s="909" t="str">
        <f t="shared" si="791"/>
        <v/>
      </c>
      <c r="HN128" s="910" t="str">
        <f t="shared" si="792"/>
        <v/>
      </c>
      <c r="HO128" s="911"/>
      <c r="HP128" s="912"/>
      <c r="HQ128" s="910" t="str">
        <f t="shared" si="793"/>
        <v/>
      </c>
      <c r="HR128" s="913" t="str">
        <f t="shared" si="794"/>
        <v/>
      </c>
      <c r="HS128" s="865" t="str">
        <f t="shared" si="841"/>
        <v/>
      </c>
      <c r="HT128" s="875" t="str">
        <f t="shared" si="795"/>
        <v/>
      </c>
      <c r="HU128" s="876" t="str">
        <f t="shared" si="796"/>
        <v/>
      </c>
      <c r="HV128" s="872" t="str">
        <f t="shared" si="797"/>
        <v/>
      </c>
      <c r="HW128" s="866" t="str">
        <f t="shared" si="798"/>
        <v/>
      </c>
      <c r="HX128" s="867" t="str">
        <f t="shared" si="799"/>
        <v/>
      </c>
      <c r="HY128" s="866" t="str">
        <f t="shared" si="800"/>
        <v/>
      </c>
      <c r="HZ128" s="868" t="str">
        <f t="shared" si="801"/>
        <v/>
      </c>
      <c r="IA128" s="869" t="str">
        <f t="shared" si="802"/>
        <v/>
      </c>
      <c r="IB128" s="870" t="str">
        <f t="shared" si="803"/>
        <v/>
      </c>
      <c r="IC128" s="841" t="str">
        <f t="shared" si="804"/>
        <v/>
      </c>
      <c r="ID128" s="351" t="str">
        <f t="shared" si="805"/>
        <v/>
      </c>
      <c r="IE128" s="843" t="str">
        <f t="shared" si="806"/>
        <v/>
      </c>
      <c r="IF128" s="844"/>
      <c r="IG128" s="790" t="str">
        <f>IFERROR(IF($IW128="","",IF($IW128&lt;(((Settings!$C$19/2)*-1)*$IG$8),"Taper","Nose")),"")</f>
        <v/>
      </c>
      <c r="IH128" s="482" t="str">
        <f>IFERROR(IF((((($IY128*COS(RADIANS(180-$JA128)))*COS(RADIANS($JA128)))-(($IZ128*SIN(RADIANS(180-$JA128)))*SIN(RADIANS($JA128))))+$IW128)&lt;(((Settings!$C$19+$IH$8)/2)*-1),"Gage",""),"")</f>
        <v/>
      </c>
      <c r="II128" s="788" t="str">
        <f t="shared" si="731"/>
        <v/>
      </c>
      <c r="IJ128" s="674" t="str" cm="1">
        <f t="array" ref="IJ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K128" s="677" t="str" cm="1">
        <f t="array" ref="IK128">IFERROR(ROUND(VALUE(IF($IJ128&lt;1,$IJ128+LARGE((IF($M$9:$M$150="",0,$M$9:$M$150)-MOD(IF($M$9:$M$150="",0,$M$9:$M$150),1)),1),$IJ128)),4),"")</f>
        <v/>
      </c>
      <c r="IL128" s="482" t="str">
        <f t="shared" si="807"/>
        <v/>
      </c>
      <c r="IM128" s="482" t="str">
        <f t="shared" si="732"/>
        <v/>
      </c>
      <c r="IN128" s="670" t="str">
        <f t="shared" si="808"/>
        <v/>
      </c>
      <c r="IO128" s="702"/>
      <c r="IP128" s="5" t="str">
        <f t="shared" si="809"/>
        <v/>
      </c>
      <c r="IQ128" s="714"/>
      <c r="IR128" s="9" t="str">
        <f t="shared" si="810"/>
        <v/>
      </c>
      <c r="IS128" s="5" t="str">
        <f t="shared" si="811"/>
        <v/>
      </c>
      <c r="IT128" s="5" t="str">
        <f t="shared" si="812"/>
        <v/>
      </c>
      <c r="IU128" s="5" t="str">
        <f t="shared" si="813"/>
        <v/>
      </c>
      <c r="IV128" s="670" t="str">
        <f t="shared" si="814"/>
        <v/>
      </c>
      <c r="IW128" s="9" t="str">
        <f t="shared" si="815"/>
        <v/>
      </c>
      <c r="IX128" s="5" t="str">
        <f t="shared" si="816"/>
        <v/>
      </c>
      <c r="IY128" s="5" t="str">
        <f t="shared" si="817"/>
        <v/>
      </c>
      <c r="IZ128" s="5" t="str">
        <f t="shared" si="818"/>
        <v/>
      </c>
      <c r="JA128" s="705" t="str">
        <f t="shared" si="819"/>
        <v/>
      </c>
    </row>
    <row r="129" spans="1:261" ht="15" customHeight="1" x14ac:dyDescent="0.25">
      <c r="A129" s="75" t="str">
        <f t="shared" si="736"/>
        <v/>
      </c>
      <c r="B129" s="578" t="str">
        <f t="shared" si="845"/>
        <v/>
      </c>
      <c r="C129" s="572" t="str">
        <f t="shared" si="846"/>
        <v/>
      </c>
      <c r="D129" s="576" t="str">
        <f t="shared" si="847"/>
        <v/>
      </c>
      <c r="E129" s="580" t="str">
        <f t="shared" si="848"/>
        <v/>
      </c>
      <c r="F129" s="572" t="str">
        <f t="shared" si="849"/>
        <v/>
      </c>
      <c r="G129" s="579" t="str">
        <f t="shared" si="850"/>
        <v/>
      </c>
      <c r="H129" s="580" t="str">
        <f t="shared" si="851"/>
        <v/>
      </c>
      <c r="I129" s="572" t="str">
        <f t="shared" si="852"/>
        <v/>
      </c>
      <c r="J129" s="483" t="str">
        <f t="shared" si="853"/>
        <v/>
      </c>
      <c r="K129" s="806" t="str">
        <f t="shared" si="854"/>
        <v/>
      </c>
      <c r="L129" s="309"/>
      <c r="M129" s="164" t="str">
        <f t="shared" si="737"/>
        <v/>
      </c>
      <c r="N129" s="575" t="str">
        <f t="shared" si="738"/>
        <v/>
      </c>
      <c r="O129" s="572" t="str">
        <f t="shared" si="739"/>
        <v/>
      </c>
      <c r="P129" s="576" t="str">
        <f t="shared" si="740"/>
        <v/>
      </c>
      <c r="Q129" s="528" t="str">
        <f t="shared" si="609"/>
        <v/>
      </c>
      <c r="R129" s="572" t="str">
        <f t="shared" si="820"/>
        <v/>
      </c>
      <c r="S129" s="577" t="str">
        <f t="shared" si="821"/>
        <v/>
      </c>
      <c r="T129" s="578" t="str">
        <f t="shared" si="822"/>
        <v/>
      </c>
      <c r="U129" s="572" t="str">
        <f t="shared" si="823"/>
        <v/>
      </c>
      <c r="V129" s="579" t="str">
        <f t="shared" si="824"/>
        <v/>
      </c>
      <c r="W129" s="528" t="str">
        <f t="shared" si="735"/>
        <v/>
      </c>
      <c r="X129" s="572" t="str">
        <f t="shared" si="825"/>
        <v/>
      </c>
      <c r="Y129" s="573" t="str">
        <f t="shared" si="733"/>
        <v/>
      </c>
      <c r="Z129" s="575" t="str">
        <f t="shared" si="741"/>
        <v/>
      </c>
      <c r="AA129" s="572" t="str">
        <f t="shared" si="742"/>
        <v/>
      </c>
      <c r="AB129" s="572" t="str">
        <f t="shared" si="743"/>
        <v/>
      </c>
      <c r="AC129" s="579" t="str">
        <f t="shared" si="826"/>
        <v/>
      </c>
      <c r="AD129" s="580" t="str">
        <f t="shared" si="827"/>
        <v/>
      </c>
      <c r="AE129" s="572" t="str">
        <f t="shared" si="828"/>
        <v/>
      </c>
      <c r="AF129" s="576" t="str">
        <f t="shared" si="829"/>
        <v/>
      </c>
      <c r="AG129" s="545" t="str">
        <f t="shared" si="830"/>
        <v/>
      </c>
      <c r="AH129" s="546" t="str">
        <f t="shared" si="831"/>
        <v/>
      </c>
      <c r="AI129" s="528" t="str">
        <f t="shared" si="832"/>
        <v/>
      </c>
      <c r="AJ129" s="529" t="str">
        <f t="shared" si="833"/>
        <v/>
      </c>
      <c r="AK129" s="578" t="str">
        <f t="shared" si="834"/>
        <v/>
      </c>
      <c r="AL129" s="572" t="str">
        <f t="shared" si="835"/>
        <v/>
      </c>
      <c r="AM129" s="577" t="str">
        <f t="shared" si="836"/>
        <v/>
      </c>
      <c r="AN129" s="524" t="str">
        <f t="shared" si="837"/>
        <v/>
      </c>
      <c r="AO129" s="525" t="str">
        <f t="shared" si="855"/>
        <v/>
      </c>
      <c r="AP129" s="528" t="str">
        <f t="shared" si="838"/>
        <v/>
      </c>
      <c r="AQ129" s="529" t="str">
        <f t="shared" si="744"/>
        <v/>
      </c>
      <c r="AS129" s="932" t="str">
        <f t="shared" si="842"/>
        <v/>
      </c>
      <c r="AT129" s="928" t="str">
        <f t="shared" si="745"/>
        <v/>
      </c>
      <c r="AU129" s="418"/>
      <c r="AV129" s="164" t="str">
        <f t="shared" si="746"/>
        <v/>
      </c>
      <c r="AW129" s="797" t="str">
        <f>IFERROR(INDEX(MassProp!C$9:C$150,MATCH($M129,MassProp!$B$9:$B$150,0)),"")</f>
        <v/>
      </c>
      <c r="AX129" s="744" t="str">
        <f>IFERROR(INDEX(MassProp!D$9:D$150,MATCH($M129,MassProp!$B$9:$B$150,0)),"")</f>
        <v/>
      </c>
      <c r="AY129" s="731" t="str">
        <f>IFERROR(INDEX(MassProp!E$9:E$150,MATCH($M129,MassProp!$B$9:$B$150,0)),"")</f>
        <v/>
      </c>
      <c r="AZ129" s="297" t="str">
        <f t="shared" si="633"/>
        <v/>
      </c>
      <c r="BA129" s="296" t="str">
        <f t="shared" si="747"/>
        <v/>
      </c>
      <c r="BB129" s="177" t="str">
        <f t="shared" si="610"/>
        <v/>
      </c>
      <c r="BC129" s="9"/>
      <c r="BD129" s="5" t="str">
        <f t="shared" si="611"/>
        <v/>
      </c>
      <c r="BE129" s="6" t="str">
        <f t="shared" si="748"/>
        <v/>
      </c>
      <c r="BF129" s="4" t="str">
        <f t="shared" si="749"/>
        <v/>
      </c>
      <c r="BG129" s="5" t="str">
        <f t="shared" si="750"/>
        <v/>
      </c>
      <c r="BH129" s="10" t="str">
        <f t="shared" si="751"/>
        <v/>
      </c>
      <c r="BI129" s="9" t="str">
        <f t="shared" si="634"/>
        <v/>
      </c>
      <c r="BJ129" s="5" t="str">
        <f t="shared" si="752"/>
        <v/>
      </c>
      <c r="BK129" s="8" t="str">
        <f t="shared" si="753"/>
        <v/>
      </c>
      <c r="BL129" s="173" t="str">
        <f t="shared" si="754"/>
        <v/>
      </c>
      <c r="BM129" s="5" t="str">
        <f t="shared" si="755"/>
        <v/>
      </c>
      <c r="BN129" s="6" t="str">
        <f t="shared" si="756"/>
        <v/>
      </c>
      <c r="BO129" s="4" t="str">
        <f t="shared" si="635"/>
        <v/>
      </c>
      <c r="BP129" s="5" t="str">
        <f t="shared" si="734"/>
        <v/>
      </c>
      <c r="BQ129" s="5" t="str">
        <f t="shared" si="636"/>
        <v/>
      </c>
      <c r="BR129" s="6" t="str">
        <f t="shared" si="637"/>
        <v/>
      </c>
      <c r="BS129" s="4" t="str">
        <f t="shared" si="839"/>
        <v/>
      </c>
      <c r="BT129" s="5" t="str">
        <f t="shared" si="839"/>
        <v/>
      </c>
      <c r="BU129" s="10" t="str">
        <f t="shared" si="613"/>
        <v/>
      </c>
      <c r="BV129" s="9" t="str">
        <f t="shared" si="614"/>
        <v/>
      </c>
      <c r="BW129" s="5" t="str">
        <f t="shared" si="615"/>
        <v/>
      </c>
      <c r="BX129" s="8" t="str">
        <f t="shared" si="616"/>
        <v/>
      </c>
      <c r="BY129" s="173" t="str">
        <f t="shared" si="617"/>
        <v/>
      </c>
      <c r="BZ129" s="5" t="str">
        <f t="shared" si="618"/>
        <v/>
      </c>
      <c r="CA129" s="6" t="str">
        <f t="shared" si="619"/>
        <v/>
      </c>
      <c r="CB129" s="4" t="str">
        <f t="shared" si="638"/>
        <v/>
      </c>
      <c r="CC129" s="5" t="str">
        <f t="shared" si="639"/>
        <v/>
      </c>
      <c r="CD129" s="5" t="str">
        <f t="shared" si="640"/>
        <v/>
      </c>
      <c r="CE129" s="6" t="str">
        <f t="shared" si="641"/>
        <v/>
      </c>
      <c r="CF129" s="4" t="str">
        <f t="shared" si="642"/>
        <v/>
      </c>
      <c r="CG129" s="5" t="str">
        <f t="shared" si="643"/>
        <v/>
      </c>
      <c r="CH129" s="5" t="str">
        <f t="shared" si="644"/>
        <v/>
      </c>
      <c r="CI129" s="4" t="str">
        <f t="shared" si="620"/>
        <v/>
      </c>
      <c r="CJ129" s="5" t="str">
        <f t="shared" si="621"/>
        <v/>
      </c>
      <c r="CK129" s="8" t="str">
        <f t="shared" si="622"/>
        <v/>
      </c>
      <c r="CL129" s="173" t="str">
        <f t="shared" si="623"/>
        <v/>
      </c>
      <c r="CM129" s="5" t="str">
        <f t="shared" si="624"/>
        <v/>
      </c>
      <c r="CN129" s="6" t="str">
        <f t="shared" si="625"/>
        <v/>
      </c>
      <c r="CO129" s="167" t="str">
        <f t="shared" si="757"/>
        <v/>
      </c>
      <c r="CP129" s="4" t="str">
        <f t="shared" si="645"/>
        <v/>
      </c>
      <c r="CQ129" s="5" t="str">
        <f t="shared" si="646"/>
        <v/>
      </c>
      <c r="CR129" s="5" t="str">
        <f t="shared" si="647"/>
        <v/>
      </c>
      <c r="CS129" s="8" t="str">
        <f t="shared" si="648"/>
        <v/>
      </c>
      <c r="CT129" s="9" t="str">
        <f t="shared" si="649"/>
        <v/>
      </c>
      <c r="CU129" s="6" t="str">
        <f t="shared" si="650"/>
        <v/>
      </c>
      <c r="CV129" s="4" t="str">
        <f t="shared" si="651"/>
        <v/>
      </c>
      <c r="CW129" s="5" t="str">
        <f t="shared" si="652"/>
        <v/>
      </c>
      <c r="CX129" s="8" t="str">
        <f t="shared" si="653"/>
        <v/>
      </c>
      <c r="CY129" s="9" t="str">
        <f t="shared" si="654"/>
        <v/>
      </c>
      <c r="CZ129" s="5" t="str">
        <f t="shared" si="655"/>
        <v/>
      </c>
      <c r="DA129" s="6" t="str">
        <f t="shared" si="656"/>
        <v/>
      </c>
      <c r="DB129" s="4" t="str">
        <f t="shared" si="843"/>
        <v/>
      </c>
      <c r="DC129" s="5" t="str">
        <f t="shared" si="843"/>
        <v/>
      </c>
      <c r="DD129" s="10" t="str">
        <f t="shared" si="658"/>
        <v/>
      </c>
      <c r="DE129" s="9" t="str">
        <f t="shared" si="844"/>
        <v/>
      </c>
      <c r="DF129" s="5" t="str">
        <f t="shared" si="844"/>
        <v/>
      </c>
      <c r="DG129" s="10" t="str">
        <f t="shared" si="660"/>
        <v/>
      </c>
      <c r="DH129" s="70" t="str">
        <f t="shared" si="661"/>
        <v/>
      </c>
      <c r="DI129" s="4" t="str">
        <f t="shared" si="662"/>
        <v/>
      </c>
      <c r="DJ129" s="5" t="str">
        <f t="shared" si="663"/>
        <v/>
      </c>
      <c r="DK129" s="10" t="str">
        <f t="shared" si="664"/>
        <v/>
      </c>
      <c r="DL129" s="9" t="str">
        <f t="shared" si="665"/>
        <v/>
      </c>
      <c r="DM129" s="173" t="str">
        <f t="shared" si="666"/>
        <v/>
      </c>
      <c r="DN129" s="178" t="str">
        <f t="shared" si="667"/>
        <v/>
      </c>
      <c r="DO129" s="9" t="str">
        <f t="shared" si="668"/>
        <v/>
      </c>
      <c r="DP129" s="173" t="str">
        <f t="shared" si="669"/>
        <v/>
      </c>
      <c r="DQ129" s="11" t="str">
        <f t="shared" si="670"/>
        <v/>
      </c>
      <c r="DR129" s="173" t="str">
        <f t="shared" si="671"/>
        <v/>
      </c>
      <c r="DS129" s="5" t="str">
        <f t="shared" si="672"/>
        <v/>
      </c>
      <c r="DT129" s="5" t="str">
        <f t="shared" si="673"/>
        <v/>
      </c>
      <c r="DU129" s="5" t="str">
        <f t="shared" si="674"/>
        <v/>
      </c>
      <c r="DV129" s="5" t="str">
        <f t="shared" si="675"/>
        <v/>
      </c>
      <c r="DW129" s="5" t="str">
        <f t="shared" si="676"/>
        <v/>
      </c>
      <c r="DX129" s="167" t="str">
        <f t="shared" si="677"/>
        <v/>
      </c>
      <c r="DY129" s="9" t="str">
        <f t="shared" si="678"/>
        <v/>
      </c>
      <c r="DZ129" s="5" t="str">
        <f t="shared" si="679"/>
        <v/>
      </c>
      <c r="EA129" s="10" t="str">
        <f t="shared" si="680"/>
        <v/>
      </c>
      <c r="EB129" s="6" t="str">
        <f t="shared" si="681"/>
        <v/>
      </c>
      <c r="EC129" s="173" t="str">
        <f t="shared" si="682"/>
        <v/>
      </c>
      <c r="ED129" s="5" t="str">
        <f t="shared" si="683"/>
        <v/>
      </c>
      <c r="EE129" s="4" t="str">
        <f t="shared" si="684"/>
        <v/>
      </c>
      <c r="EF129" s="5" t="str">
        <f t="shared" si="685"/>
        <v/>
      </c>
      <c r="EG129" s="10" t="str">
        <f t="shared" si="686"/>
        <v/>
      </c>
      <c r="EH129" s="9" t="str">
        <f t="shared" si="687"/>
        <v/>
      </c>
      <c r="EI129" s="5" t="str">
        <f t="shared" si="688"/>
        <v/>
      </c>
      <c r="EJ129" s="6" t="str">
        <f t="shared" si="689"/>
        <v/>
      </c>
      <c r="EK129" s="236" t="str">
        <f t="shared" si="690"/>
        <v/>
      </c>
      <c r="EL129" s="238" t="str">
        <f t="shared" si="691"/>
        <v/>
      </c>
      <c r="EM129" s="4" t="str">
        <f t="shared" si="692"/>
        <v/>
      </c>
      <c r="EN129" s="5" t="str">
        <f t="shared" si="693"/>
        <v/>
      </c>
      <c r="EO129" s="10" t="str">
        <f t="shared" si="694"/>
        <v/>
      </c>
      <c r="EP129" s="9" t="str">
        <f t="shared" si="695"/>
        <v/>
      </c>
      <c r="EQ129" s="5" t="str">
        <f t="shared" si="696"/>
        <v/>
      </c>
      <c r="ER129" s="7" t="str">
        <f t="shared" si="697"/>
        <v/>
      </c>
      <c r="ES129" s="21" t="str">
        <f t="shared" si="758"/>
        <v/>
      </c>
      <c r="ET129" s="5" t="str">
        <f t="shared" si="759"/>
        <v/>
      </c>
      <c r="EU129" s="10" t="str">
        <f t="shared" si="760"/>
        <v/>
      </c>
      <c r="EV129" s="174" t="str">
        <f t="shared" si="761"/>
        <v/>
      </c>
      <c r="EW129" s="9" t="str">
        <f t="shared" si="762"/>
        <v/>
      </c>
      <c r="EX129" s="5" t="str">
        <f t="shared" si="763"/>
        <v/>
      </c>
      <c r="EY129" s="6" t="str">
        <f t="shared" si="698"/>
        <v/>
      </c>
      <c r="EZ129" s="51" t="str">
        <f t="shared" si="699"/>
        <v/>
      </c>
      <c r="FA129" s="173" t="str">
        <f t="shared" si="764"/>
        <v/>
      </c>
      <c r="FB129" s="5" t="str">
        <f t="shared" si="765"/>
        <v/>
      </c>
      <c r="FC129" s="6" t="str">
        <f t="shared" si="766"/>
        <v/>
      </c>
      <c r="FD129" s="4" t="str">
        <f t="shared" si="767"/>
        <v/>
      </c>
      <c r="FE129" s="5" t="str">
        <f t="shared" si="768"/>
        <v/>
      </c>
      <c r="FF129" s="7" t="str">
        <f t="shared" si="700"/>
        <v/>
      </c>
      <c r="FG129" s="173" t="str">
        <f t="shared" si="769"/>
        <v/>
      </c>
      <c r="FH129" s="5" t="str">
        <f t="shared" si="770"/>
        <v/>
      </c>
      <c r="FI129" s="10" t="str">
        <f t="shared" si="771"/>
        <v/>
      </c>
      <c r="FJ129" s="279" t="str">
        <f t="shared" si="701"/>
        <v/>
      </c>
      <c r="FK129" s="4" t="str">
        <f t="shared" si="772"/>
        <v/>
      </c>
      <c r="FL129" s="5" t="str">
        <f t="shared" si="626"/>
        <v/>
      </c>
      <c r="FM129" s="8" t="str">
        <f t="shared" si="627"/>
        <v/>
      </c>
      <c r="FN129" s="9" t="str">
        <f t="shared" si="628"/>
        <v/>
      </c>
      <c r="FO129" s="10" t="str">
        <f t="shared" si="773"/>
        <v/>
      </c>
      <c r="FP129" s="277" t="str">
        <f t="shared" si="629"/>
        <v/>
      </c>
      <c r="FQ129" s="173" t="str">
        <f t="shared" si="702"/>
        <v/>
      </c>
      <c r="FR129" s="10" t="str">
        <f t="shared" si="703"/>
        <v/>
      </c>
      <c r="FS129" s="9" t="str">
        <f t="shared" si="704"/>
        <v/>
      </c>
      <c r="FT129" s="6" t="str">
        <f t="shared" si="705"/>
        <v/>
      </c>
      <c r="FU129" s="4" t="str">
        <f t="shared" si="706"/>
        <v/>
      </c>
      <c r="FV129" s="5" t="str">
        <f t="shared" si="707"/>
        <v/>
      </c>
      <c r="FW129" s="8" t="str">
        <f t="shared" si="708"/>
        <v/>
      </c>
      <c r="FX129" s="9" t="str">
        <f t="shared" si="709"/>
        <v/>
      </c>
      <c r="FY129" s="10" t="str">
        <f t="shared" si="774"/>
        <v/>
      </c>
      <c r="FZ129" s="277" t="str">
        <f t="shared" si="710"/>
        <v/>
      </c>
      <c r="GA129" s="177" t="str">
        <f t="shared" si="711"/>
        <v/>
      </c>
      <c r="GB129" s="4" t="str">
        <f t="shared" si="712"/>
        <v/>
      </c>
      <c r="GC129" s="5" t="str">
        <f t="shared" si="713"/>
        <v/>
      </c>
      <c r="GD129" s="10" t="str">
        <f t="shared" si="714"/>
        <v/>
      </c>
      <c r="GE129" s="311" t="str">
        <f t="shared" si="715"/>
        <v/>
      </c>
      <c r="GF129" s="341" t="str">
        <f t="shared" si="716"/>
        <v/>
      </c>
      <c r="GG129" s="285" t="str">
        <f t="shared" si="775"/>
        <v/>
      </c>
      <c r="GH129" s="286" t="str">
        <f t="shared" si="776"/>
        <v/>
      </c>
      <c r="GI129" s="281" t="str">
        <f t="shared" si="777"/>
        <v/>
      </c>
      <c r="GJ129" s="167" t="str">
        <f t="shared" si="717"/>
        <v/>
      </c>
      <c r="GK129" s="174" t="str">
        <f t="shared" si="778"/>
        <v/>
      </c>
      <c r="GL129" s="174" t="str">
        <f t="shared" si="718"/>
        <v/>
      </c>
      <c r="GM129" s="177" t="str">
        <f t="shared" si="719"/>
        <v/>
      </c>
      <c r="GN129" s="280" t="str">
        <f t="shared" si="720"/>
        <v/>
      </c>
      <c r="GO129" s="4" t="str">
        <f t="shared" si="721"/>
        <v/>
      </c>
      <c r="GP129" s="8" t="str">
        <f t="shared" si="722"/>
        <v/>
      </c>
      <c r="GQ129" s="177" t="str">
        <f t="shared" si="723"/>
        <v/>
      </c>
      <c r="GR129" s="371" t="str">
        <f t="shared" si="724"/>
        <v/>
      </c>
      <c r="GS129" s="342" t="str">
        <f t="shared" si="779"/>
        <v/>
      </c>
      <c r="GT129" s="343" t="str">
        <f t="shared" si="780"/>
        <v/>
      </c>
      <c r="GU129" s="344" t="str">
        <f t="shared" si="781"/>
        <v/>
      </c>
      <c r="GV129" s="343" t="str">
        <f t="shared" si="725"/>
        <v/>
      </c>
      <c r="GW129" s="345" t="str">
        <f t="shared" si="782"/>
        <v/>
      </c>
      <c r="GX129" s="346" t="str">
        <f t="shared" si="783"/>
        <v/>
      </c>
      <c r="GY129" s="344" t="str">
        <f t="shared" si="784"/>
        <v/>
      </c>
      <c r="GZ129" s="345" t="str">
        <f t="shared" si="785"/>
        <v/>
      </c>
      <c r="HA129" s="342" t="str">
        <f t="shared" si="786"/>
        <v/>
      </c>
      <c r="HB129" s="5" t="str">
        <f t="shared" si="726"/>
        <v/>
      </c>
      <c r="HC129" s="343" t="str">
        <f t="shared" si="727"/>
        <v/>
      </c>
      <c r="HD129" s="363" t="str">
        <f t="shared" si="728"/>
        <v/>
      </c>
      <c r="HE129" s="344" t="str">
        <f t="shared" si="787"/>
        <v/>
      </c>
      <c r="HF129" s="5" t="str">
        <f t="shared" si="788"/>
        <v/>
      </c>
      <c r="HG129" s="343" t="str">
        <f t="shared" si="729"/>
        <v/>
      </c>
      <c r="HH129" s="349" t="str">
        <f t="shared" si="730"/>
        <v/>
      </c>
      <c r="HI129" s="317" t="str">
        <f t="shared" si="789"/>
        <v/>
      </c>
      <c r="HK129" s="310" t="str">
        <f t="shared" si="840"/>
        <v/>
      </c>
      <c r="HL129" s="348" t="str">
        <f t="shared" si="790"/>
        <v/>
      </c>
      <c r="HM129" s="909" t="str">
        <f t="shared" si="791"/>
        <v/>
      </c>
      <c r="HN129" s="910" t="str">
        <f t="shared" si="792"/>
        <v/>
      </c>
      <c r="HO129" s="911"/>
      <c r="HP129" s="912"/>
      <c r="HQ129" s="910" t="str">
        <f t="shared" si="793"/>
        <v/>
      </c>
      <c r="HR129" s="913" t="str">
        <f t="shared" si="794"/>
        <v/>
      </c>
      <c r="HS129" s="865" t="str">
        <f t="shared" si="841"/>
        <v/>
      </c>
      <c r="HT129" s="875" t="str">
        <f t="shared" si="795"/>
        <v/>
      </c>
      <c r="HU129" s="876" t="str">
        <f t="shared" si="796"/>
        <v/>
      </c>
      <c r="HV129" s="872" t="str">
        <f t="shared" si="797"/>
        <v/>
      </c>
      <c r="HW129" s="866" t="str">
        <f t="shared" si="798"/>
        <v/>
      </c>
      <c r="HX129" s="867" t="str">
        <f t="shared" si="799"/>
        <v/>
      </c>
      <c r="HY129" s="866" t="str">
        <f t="shared" si="800"/>
        <v/>
      </c>
      <c r="HZ129" s="868" t="str">
        <f t="shared" si="801"/>
        <v/>
      </c>
      <c r="IA129" s="869" t="str">
        <f t="shared" si="802"/>
        <v/>
      </c>
      <c r="IB129" s="870" t="str">
        <f t="shared" si="803"/>
        <v/>
      </c>
      <c r="IC129" s="841" t="str">
        <f t="shared" si="804"/>
        <v/>
      </c>
      <c r="ID129" s="351" t="str">
        <f t="shared" si="805"/>
        <v/>
      </c>
      <c r="IE129" s="843" t="str">
        <f t="shared" si="806"/>
        <v/>
      </c>
      <c r="IF129" s="844"/>
      <c r="IG129" s="790" t="str">
        <f>IFERROR(IF($IW129="","",IF($IW129&lt;(((Settings!$C$19/2)*-1)*$IG$8),"Taper","Nose")),"")</f>
        <v/>
      </c>
      <c r="IH129" s="482" t="str">
        <f>IFERROR(IF((((($IY129*COS(RADIANS(180-$JA129)))*COS(RADIANS($JA129)))-(($IZ129*SIN(RADIANS(180-$JA129)))*SIN(RADIANS($JA129))))+$IW129)&lt;(((Settings!$C$19+$IH$8)/2)*-1),"Gage",""),"")</f>
        <v/>
      </c>
      <c r="II129" s="788" t="str">
        <f t="shared" si="731"/>
        <v/>
      </c>
      <c r="IJ129" s="674" t="str" cm="1">
        <f t="array" ref="IJ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K129" s="677" t="str" cm="1">
        <f t="array" ref="IK129">IFERROR(ROUND(VALUE(IF($IJ129&lt;1,$IJ129+LARGE((IF($M$9:$M$150="",0,$M$9:$M$150)-MOD(IF($M$9:$M$150="",0,$M$9:$M$150),1)),1),$IJ129)),4),"")</f>
        <v/>
      </c>
      <c r="IL129" s="482" t="str">
        <f t="shared" si="807"/>
        <v/>
      </c>
      <c r="IM129" s="482" t="str">
        <f t="shared" si="732"/>
        <v/>
      </c>
      <c r="IN129" s="670" t="str">
        <f t="shared" si="808"/>
        <v/>
      </c>
      <c r="IO129" s="702"/>
      <c r="IP129" s="5" t="str">
        <f t="shared" si="809"/>
        <v/>
      </c>
      <c r="IQ129" s="714"/>
      <c r="IR129" s="9" t="str">
        <f t="shared" si="810"/>
        <v/>
      </c>
      <c r="IS129" s="5" t="str">
        <f t="shared" si="811"/>
        <v/>
      </c>
      <c r="IT129" s="5" t="str">
        <f t="shared" si="812"/>
        <v/>
      </c>
      <c r="IU129" s="5" t="str">
        <f t="shared" si="813"/>
        <v/>
      </c>
      <c r="IV129" s="670" t="str">
        <f t="shared" si="814"/>
        <v/>
      </c>
      <c r="IW129" s="9" t="str">
        <f t="shared" si="815"/>
        <v/>
      </c>
      <c r="IX129" s="5" t="str">
        <f t="shared" si="816"/>
        <v/>
      </c>
      <c r="IY129" s="5" t="str">
        <f t="shared" si="817"/>
        <v/>
      </c>
      <c r="IZ129" s="5" t="str">
        <f t="shared" si="818"/>
        <v/>
      </c>
      <c r="JA129" s="705" t="str">
        <f t="shared" si="819"/>
        <v/>
      </c>
    </row>
    <row r="130" spans="1:261" ht="15" customHeight="1" x14ac:dyDescent="0.25">
      <c r="A130" s="75" t="str">
        <f t="shared" si="736"/>
        <v/>
      </c>
      <c r="B130" s="578" t="str">
        <f t="shared" si="845"/>
        <v/>
      </c>
      <c r="C130" s="572" t="str">
        <f t="shared" si="846"/>
        <v/>
      </c>
      <c r="D130" s="576" t="str">
        <f t="shared" si="847"/>
        <v/>
      </c>
      <c r="E130" s="580" t="str">
        <f t="shared" si="848"/>
        <v/>
      </c>
      <c r="F130" s="572" t="str">
        <f t="shared" si="849"/>
        <v/>
      </c>
      <c r="G130" s="579" t="str">
        <f t="shared" si="850"/>
        <v/>
      </c>
      <c r="H130" s="580" t="str">
        <f t="shared" si="851"/>
        <v/>
      </c>
      <c r="I130" s="572" t="str">
        <f t="shared" si="852"/>
        <v/>
      </c>
      <c r="J130" s="483" t="str">
        <f t="shared" si="853"/>
        <v/>
      </c>
      <c r="K130" s="806" t="str">
        <f t="shared" si="854"/>
        <v/>
      </c>
      <c r="L130" s="309"/>
      <c r="M130" s="492" t="str">
        <f t="shared" si="737"/>
        <v/>
      </c>
      <c r="N130" s="581" t="str">
        <f t="shared" si="738"/>
        <v/>
      </c>
      <c r="O130" s="582" t="str">
        <f t="shared" si="739"/>
        <v/>
      </c>
      <c r="P130" s="583" t="str">
        <f t="shared" si="740"/>
        <v/>
      </c>
      <c r="Q130" s="536" t="str">
        <f t="shared" ref="Q130:Q150" si="856">IF(M130="","",IF(DEGREES(ATAN2(N130,O130))&lt;0,DEGREES(ATAN2(N130,O130))+360,IF(DEGREES(ATAN2(N130,O130))&gt;360,DEGREES(ATAN2(N130,O130))-360,DEGREES(ATAN2(N130,O130)))))</f>
        <v/>
      </c>
      <c r="R130" s="582" t="str">
        <f t="shared" ref="R130:R150" si="857">IF(M130="","",SQRT(N130^2+O130^2))</f>
        <v/>
      </c>
      <c r="S130" s="584" t="str">
        <f t="shared" ref="S130:S150" si="858">IF(M130="","",P130)</f>
        <v/>
      </c>
      <c r="T130" s="585" t="str">
        <f t="shared" ref="T130:T150" si="859">IF(M130="","",X130*COS(RADIANS(W130)))</f>
        <v/>
      </c>
      <c r="U130" s="582" t="str">
        <f t="shared" ref="U130:U150" si="860">IF(M130="","",X130*SIN(RADIANS(W130)))</f>
        <v/>
      </c>
      <c r="V130" s="586" t="str">
        <f t="shared" ref="V130:V150" si="861">IF(M130="","",Y130)</f>
        <v/>
      </c>
      <c r="W130" s="536" t="str">
        <f t="shared" ref="W130:W150" si="862">IF(M130="","",IF(Q130-$Q$8&lt;0,360+Q130-$Q$8,Q130-$Q$8))</f>
        <v/>
      </c>
      <c r="X130" s="582" t="str">
        <f t="shared" ref="X130:X150" si="863">IF(M130="","",R130)</f>
        <v/>
      </c>
      <c r="Y130" s="587" t="str">
        <f t="shared" ref="Y130:Y150" si="864">IF(M130="","",S130)</f>
        <v/>
      </c>
      <c r="Z130" s="581" t="str">
        <f t="shared" si="741"/>
        <v/>
      </c>
      <c r="AA130" s="582" t="str">
        <f t="shared" si="742"/>
        <v/>
      </c>
      <c r="AB130" s="582" t="str">
        <f t="shared" si="743"/>
        <v/>
      </c>
      <c r="AC130" s="586" t="str">
        <f t="shared" ref="AC130:AC150" si="865">IF(M130="","",SQRT(Z130^2+AA130^2+AB130^2))</f>
        <v/>
      </c>
      <c r="AD130" s="588" t="str">
        <f t="shared" ref="AD130:AD150" si="866">IF(M130="","",Z130*(1/SQRT(Z130^2+AA130^2+AB130^2)))</f>
        <v/>
      </c>
      <c r="AE130" s="582" t="str">
        <f t="shared" ref="AE130:AE150" si="867">IF(M130="","",AA130*(1/SQRT(Z130^2+AA130^2+AB130^2)))</f>
        <v/>
      </c>
      <c r="AF130" s="583" t="str">
        <f t="shared" ref="AF130:AF150" si="868">IF(M130="","",AB130*(1/SQRT(Z130^2+AA130^2+AB130^2)))</f>
        <v/>
      </c>
      <c r="AG130" s="547" t="str">
        <f t="shared" ref="AG130:AG150" si="869">IF(M130="","",DEGREES(ATAN2(-AF130,AE130)))</f>
        <v/>
      </c>
      <c r="AH130" s="548" t="str">
        <f t="shared" ref="AH130:AH150" si="870">IF(M130="","",DEGREES(ACOS(AD130)))</f>
        <v/>
      </c>
      <c r="AI130" s="536" t="str">
        <f t="shared" ref="AI130:AI150" si="871">IF(M130="","",DEGREES(-ACOS(-AF130)))</f>
        <v/>
      </c>
      <c r="AJ130" s="537" t="str">
        <f t="shared" ref="AJ130:AJ150" si="872">IF(M130="","",DEGREES(ATAN2(-AE130,AD130)))</f>
        <v/>
      </c>
      <c r="AK130" s="585" t="str">
        <f t="shared" ref="AK130:AK150" si="873">IF(M130="","",(COS(RADIANS((90-$Q$8)-W130))*AD130)+(-SIN(RADIANS((90-$Q$8)-W130))*AE130))</f>
        <v/>
      </c>
      <c r="AL130" s="582" t="str">
        <f t="shared" ref="AL130:AL150" si="874">IF(M130="","",(SIN(RADIANS((90-$Q$8)-W130))*AD130)+(COS(RADIANS((90-$Q$8)-W130))*AE130))</f>
        <v/>
      </c>
      <c r="AM130" s="584" t="str">
        <f t="shared" ref="AM130:AM150" si="875">IF(M130="","",AF130)</f>
        <v/>
      </c>
      <c r="AN130" s="534" t="str">
        <f t="shared" ref="AN130:AN150" si="876">IF(M130="","",DEGREES(ATAN2(-AM130,AL130)))</f>
        <v/>
      </c>
      <c r="AO130" s="535" t="str">
        <f t="shared" si="855"/>
        <v/>
      </c>
      <c r="AP130" s="536" t="str">
        <f t="shared" ref="AP130:AP150" si="877">IF(M130="","",DEGREES(ATAN2(AK130,AL130)))</f>
        <v/>
      </c>
      <c r="AQ130" s="537" t="str">
        <f t="shared" si="744"/>
        <v/>
      </c>
      <c r="AS130" s="933" t="str">
        <f t="shared" si="842"/>
        <v/>
      </c>
      <c r="AT130" s="929" t="str">
        <f t="shared" si="745"/>
        <v/>
      </c>
      <c r="AU130" s="418"/>
      <c r="AV130" s="164" t="str">
        <f t="shared" si="746"/>
        <v/>
      </c>
      <c r="AW130" s="832" t="str">
        <f>IFERROR(INDEX(MassProp!C$9:C$150,MATCH($M130,MassProp!$B$9:$B$150,0)),"")</f>
        <v/>
      </c>
      <c r="AX130" s="833" t="str">
        <f>IFERROR(INDEX(MassProp!D$9:D$150,MATCH($M130,MassProp!$B$9:$B$150,0)),"")</f>
        <v/>
      </c>
      <c r="AY130" s="834" t="str">
        <f>IFERROR(INDEX(MassProp!E$9:E$150,MATCH($M130,MassProp!$B$9:$B$150,0)),"")</f>
        <v/>
      </c>
      <c r="AZ130" s="297" t="str">
        <f t="shared" ref="AZ130:AZ150" si="878">IF(ISNUMBER(AV130),$AY130*SQRT((2*PI()*$AW130)^2+$AS$5^2),"")</f>
        <v/>
      </c>
      <c r="BA130" s="505" t="str">
        <f t="shared" ref="BA130:BA150" si="879">IF(ISNUMBER(AV130),AZ130/$AZ$151,"")</f>
        <v/>
      </c>
      <c r="BB130" s="506" t="str">
        <f t="shared" si="610"/>
        <v/>
      </c>
      <c r="BC130" s="496"/>
      <c r="BD130" s="494" t="str">
        <f t="shared" ref="BD130:BD150" si="880">IF(ISNUMBER(AV130),AW130,"")</f>
        <v/>
      </c>
      <c r="BE130" s="497" t="str">
        <f t="shared" si="748"/>
        <v/>
      </c>
      <c r="BF130" s="498" t="str">
        <f t="shared" si="749"/>
        <v/>
      </c>
      <c r="BG130" s="494" t="str">
        <f t="shared" si="750"/>
        <v/>
      </c>
      <c r="BH130" s="495" t="str">
        <f t="shared" si="751"/>
        <v/>
      </c>
      <c r="BI130" s="496" t="str">
        <f t="shared" ref="BI130:BI150" si="881">IF(ISNUMBER($AV130),BF130+0,"")</f>
        <v/>
      </c>
      <c r="BJ130" s="494" t="str">
        <f t="shared" si="752"/>
        <v/>
      </c>
      <c r="BK130" s="499" t="str">
        <f t="shared" si="753"/>
        <v/>
      </c>
      <c r="BL130" s="502" t="str">
        <f t="shared" si="754"/>
        <v/>
      </c>
      <c r="BM130" s="494" t="str">
        <f t="shared" si="755"/>
        <v/>
      </c>
      <c r="BN130" s="497" t="str">
        <f t="shared" si="756"/>
        <v/>
      </c>
      <c r="BO130" s="498" t="str">
        <f t="shared" ref="BO130:BO150" si="882">IF(ISNUMBER($AV130),BJ130*BN130-BM130*BK130-BG130*(BN130-BK130)+BH130*(BM130-BJ130),"")</f>
        <v/>
      </c>
      <c r="BP130" s="494" t="str">
        <f t="shared" si="734"/>
        <v/>
      </c>
      <c r="BQ130" s="494" t="str">
        <f t="shared" ref="BQ130:BQ150" si="883">IF(ISNUMBER($AV130),BF130*(BJ130-BM130)-BG130*(BI130-BL130)+(BI130*BM130-BL130*BJ130),"")</f>
        <v/>
      </c>
      <c r="BR130" s="497" t="str">
        <f t="shared" ref="BR130:BR150" si="884">IF(ISNUMBER($AV130),-(BF130*(BJ130*BN130-BM130*BK130)-BG130*(BI130*BN130-BL130*BK130)+BH130*(BI130*BM130-BL130*BJ130)),"")</f>
        <v/>
      </c>
      <c r="BS130" s="498" t="str">
        <f t="shared" si="839"/>
        <v/>
      </c>
      <c r="BT130" s="494" t="str">
        <f t="shared" si="839"/>
        <v/>
      </c>
      <c r="BU130" s="495" t="str">
        <f t="shared" si="613"/>
        <v/>
      </c>
      <c r="BV130" s="496" t="str">
        <f t="shared" si="614"/>
        <v/>
      </c>
      <c r="BW130" s="494" t="str">
        <f t="shared" si="615"/>
        <v/>
      </c>
      <c r="BX130" s="499" t="str">
        <f t="shared" si="616"/>
        <v/>
      </c>
      <c r="BY130" s="502" t="str">
        <f t="shared" si="617"/>
        <v/>
      </c>
      <c r="BZ130" s="494" t="str">
        <f t="shared" si="618"/>
        <v/>
      </c>
      <c r="CA130" s="497" t="str">
        <f t="shared" si="619"/>
        <v/>
      </c>
      <c r="CB130" s="498" t="str">
        <f t="shared" ref="CB130:CB150" si="885">IF(ISNUMBER($AV130),BW130*CA130-BZ130*BX130-BT130*(CA130-BX130)+BU130*(BZ130-BW130),"")</f>
        <v/>
      </c>
      <c r="CC130" s="494" t="str">
        <f t="shared" ref="CC130:CC150" si="886">IF(ISNUMBER($AV130),BS130*(CA130-BX130)-(BV130*CA130-BY130*BX130)+BU130*(BV130-BY130),"")</f>
        <v/>
      </c>
      <c r="CD130" s="494" t="str">
        <f t="shared" ref="CD130:CD150" si="887">IF(ISNUMBER($AV130),BS130*(BW130-BZ130)-BT130*(BV130-BY130)+(BV130*BZ130-BY130*BW130),"")</f>
        <v/>
      </c>
      <c r="CE130" s="497" t="str">
        <f t="shared" ref="CE130:CE150" si="888">IF(ISNUMBER($AV130),-(BS130*(BW130*CA130-BZ130*BX130)-BT130*(BV130*CA130-BY130*BX130)+BU130*(BV130*BZ130-BY130*BW130)),"")</f>
        <v/>
      </c>
      <c r="CF130" s="498" t="str">
        <f t="shared" ref="CF130:CF150" si="889">IF(ISNUMBER($AV130),(BP130*CD130)-(BQ130*CC130),"")</f>
        <v/>
      </c>
      <c r="CG130" s="494" t="str">
        <f t="shared" ref="CG130:CG150" si="890">IF(ISNUMBER($AV130),(BQ130*CB130)-(BO130*CD130),"")</f>
        <v/>
      </c>
      <c r="CH130" s="494" t="str">
        <f t="shared" ref="CH130:CH150" si="891">IF(ISNUMBER($AV130),(BO130*CC130)-(BP130*CB130),"")</f>
        <v/>
      </c>
      <c r="CI130" s="498" t="str">
        <f t="shared" si="620"/>
        <v/>
      </c>
      <c r="CJ130" s="494" t="str">
        <f t="shared" ref="CJ130:CJ150" si="892">IF(ISNUMBER($AV130),(CD130*BR130-BQ130*CE130)/(BQ130*CC130-CD130*BP130),"")</f>
        <v/>
      </c>
      <c r="CK130" s="499" t="str">
        <f t="shared" ref="CK130:CK150" si="893">IF(ISNUMBER($AV130),(CC130*BR130-BP130*CE130)/(-CC130*BQ130+BP130*CD130),"")</f>
        <v/>
      </c>
      <c r="CL130" s="502" t="str">
        <f t="shared" ref="CL130:CL150" si="894">IF(ISNUMBER($AV130),CI130+CF130,"")</f>
        <v/>
      </c>
      <c r="CM130" s="494" t="str">
        <f t="shared" ref="CM130:CM150" si="895">IF(ISNUMBER($AV130),CJ130+CG130,"")</f>
        <v/>
      </c>
      <c r="CN130" s="497" t="str">
        <f t="shared" ref="CN130:CN150" si="896">IF(ISNUMBER($AV130),CK130+CH130,"")</f>
        <v/>
      </c>
      <c r="CO130" s="507" t="str">
        <f t="shared" si="757"/>
        <v/>
      </c>
      <c r="CP130" s="498" t="str">
        <f t="shared" ref="CP130:CP150" si="897">IF(ISNUMBER($AV130),(CL130-CI130)^2+(CM130-CJ130)^2+(CN130-CK130)^2,"")</f>
        <v/>
      </c>
      <c r="CQ130" s="494" t="str">
        <f t="shared" ref="CQ130:CQ150" si="898">IF(ISNUMBER($AV130),2*((CL130-CI130)*(CI130-BF130)+(CM130-CJ130)*(CJ130-BG130)+(CN130-CK130)*(CK130-BH130)),"")</f>
        <v/>
      </c>
      <c r="CR130" s="494" t="str">
        <f t="shared" ref="CR130:CR150" si="899">IF(ISNUMBER($AV130),BF130^2+BG130^2+BH130^2+CI130^2+CJ130^2+CK130^2-2*(BF130*CI130+BG130*CJ130+BH130*CK130)-CO130^2,"")</f>
        <v/>
      </c>
      <c r="CS130" s="499" t="str">
        <f t="shared" ref="CS130:CS150" si="900">IF(ISNUMBER($AV130),CQ130^2-(4*CP130*CR130),"")</f>
        <v/>
      </c>
      <c r="CT130" s="496" t="str">
        <f t="shared" ref="CT130:CT150" si="901">IF(ISNUMBER($AV130),(-CQ130+SQRT(CS130))/(CP130*2),"")</f>
        <v/>
      </c>
      <c r="CU130" s="497" t="str">
        <f t="shared" ref="CU130:CU150" si="902">IF(ISNUMBER($AV130),(-CQ130-SQRT(CS130))/(CP130*2),"")</f>
        <v/>
      </c>
      <c r="CV130" s="498" t="str">
        <f t="shared" ref="CV130:CV150" si="903">IF(ISNUMBER($AV130),CI130+($CT130*(CL130-CI130)),"")</f>
        <v/>
      </c>
      <c r="CW130" s="494" t="str">
        <f t="shared" ref="CW130:CW150" si="904">IF(ISNUMBER($AV130),CJ130+($CT130*(CM130-CJ130)),"")</f>
        <v/>
      </c>
      <c r="CX130" s="499" t="str">
        <f t="shared" ref="CX130:CX150" si="905">IF(ISNUMBER($AV130),CK130+($CT130*(CN130-CK130)),"")</f>
        <v/>
      </c>
      <c r="CY130" s="496" t="str">
        <f t="shared" ref="CY130:CY150" si="906">IF(ISNUMBER($AV130),CI130+($CU130*(CL130-CI130)),"")</f>
        <v/>
      </c>
      <c r="CZ130" s="494" t="str">
        <f t="shared" ref="CZ130:CZ150" si="907">IF(ISNUMBER($AV130),CJ130+($CU130*(CM130-CJ130)),"")</f>
        <v/>
      </c>
      <c r="DA130" s="497" t="str">
        <f t="shared" ref="DA130:DA150" si="908">IF(ISNUMBER($AV130),CK130+($CU130*(CN130-CK130)),"")</f>
        <v/>
      </c>
      <c r="DB130" s="498" t="str">
        <f t="shared" si="843"/>
        <v/>
      </c>
      <c r="DC130" s="494" t="str">
        <f t="shared" si="843"/>
        <v/>
      </c>
      <c r="DD130" s="495" t="str">
        <f t="shared" si="658"/>
        <v/>
      </c>
      <c r="DE130" s="496" t="str">
        <f t="shared" si="844"/>
        <v/>
      </c>
      <c r="DF130" s="494" t="str">
        <f t="shared" si="844"/>
        <v/>
      </c>
      <c r="DG130" s="495" t="str">
        <f t="shared" si="660"/>
        <v/>
      </c>
      <c r="DH130" s="501" t="str">
        <f t="shared" ref="DH130:DH150" si="909">IF(ISNUMBER($AV130),BD130,"")</f>
        <v/>
      </c>
      <c r="DI130" s="498" t="str">
        <f t="shared" ref="DI130:DI150" si="910">IF(ISNUMBER($AV130),DE130-DB130,"")</f>
        <v/>
      </c>
      <c r="DJ130" s="494" t="str">
        <f t="shared" ref="DJ130:DJ150" si="911">IF(ISNUMBER($AV130),DF130-DC130,"")</f>
        <v/>
      </c>
      <c r="DK130" s="495" t="str">
        <f t="shared" ref="DK130:DK150" si="912">IF(ISNUMBER($AV130),DG130-DD130,"")</f>
        <v/>
      </c>
      <c r="DL130" s="496" t="str">
        <f t="shared" ref="DL130:DL150" si="913">IF(ISNUMBER($AV130),CV130-DB130,"")</f>
        <v/>
      </c>
      <c r="DM130" s="502" t="str">
        <f t="shared" ref="DM130:DM150" si="914">IF(ISNUMBER($AV130),CW130-DC130,"")</f>
        <v/>
      </c>
      <c r="DN130" s="508" t="str">
        <f t="shared" ref="DN130:DN150" si="915">IF(ISNUMBER($AV130),CX130-DD130,"")</f>
        <v/>
      </c>
      <c r="DO130" s="496" t="str">
        <f t="shared" ref="DO130:DO150" si="916">IF(ISNUMBER($AV130),CY130-CV130,"")</f>
        <v/>
      </c>
      <c r="DP130" s="502" t="str">
        <f t="shared" ref="DP130:DP150" si="917">IF(ISNUMBER($AV130),CZ130-CW130,"")</f>
        <v/>
      </c>
      <c r="DQ130" s="503" t="str">
        <f t="shared" ref="DQ130:DQ150" si="918">IF(ISNUMBER($AV130),DA130-CX130,"")</f>
        <v/>
      </c>
      <c r="DR130" s="502" t="str">
        <f t="shared" ref="DR130:DR150" si="919">IF(ISNUMBER($AV130),SUMPRODUCT(DI130:DK130,DL130:DN130),"")</f>
        <v/>
      </c>
      <c r="DS130" s="494" t="str">
        <f t="shared" ref="DS130:DS150" si="920">IF(ISNUMBER($AV130),SUMPRODUCT(DO130:DQ130,DI130:DK130),"")</f>
        <v/>
      </c>
      <c r="DT130" s="494" t="str">
        <f t="shared" ref="DT130:DT150" si="921">IF(ISNUMBER($AV130),SUMPRODUCT(DI130:DK130,DI130:DK130),"")</f>
        <v/>
      </c>
      <c r="DU130" s="494" t="str">
        <f t="shared" ref="DU130:DU150" si="922">IF(ISNUMBER($AV130),SUMPRODUCT(DO130:DQ130,DO130:DQ130),"")</f>
        <v/>
      </c>
      <c r="DV130" s="494" t="str">
        <f t="shared" ref="DV130:DV150" si="923">IF(ISNUMBER($AV130),SUMPRODUCT(DL130:DN130,DO130:DQ130),"")</f>
        <v/>
      </c>
      <c r="DW130" s="494" t="str">
        <f t="shared" ref="DW130:DW150" si="924">IF(ISNUMBER($AV130),SUMPRODUCT(DL130:DN130,DL130:DN130),"")</f>
        <v/>
      </c>
      <c r="DX130" s="507" t="str">
        <f t="shared" ref="DX130:DX150" si="925">IF(ISNUMBER($AV130),DW130-DH130*DH130,"")</f>
        <v/>
      </c>
      <c r="DY130" s="496" t="str">
        <f t="shared" ref="DY130:DY150" si="926">IF(ISNUMBER($AV130),DT130*DU130-DS130*DS130,"")</f>
        <v/>
      </c>
      <c r="DZ130" s="494" t="str">
        <f t="shared" ref="DZ130:DZ150" si="927">IF(ISNUMBER($AV130),DT130*DV130-DS130*DR130,"")</f>
        <v/>
      </c>
      <c r="EA130" s="495" t="str">
        <f t="shared" ref="EA130:EA150" si="928">IF(ISNUMBER($AV130),DT130*DX130-DR130*DR130,"")</f>
        <v/>
      </c>
      <c r="EB130" s="497" t="str">
        <f t="shared" ref="EB130:EB150" si="929">IF(ISNUMBER($AV130),DZ130*DZ130-DY130*EA130,"")</f>
        <v/>
      </c>
      <c r="EC130" s="502" t="str">
        <f t="shared" ref="EC130:EC150" si="930">IF(ISNUMBER($AV130),(-DZ130+SQRT(DZ130^2-DY130*EA130))/DY130,"")</f>
        <v/>
      </c>
      <c r="ED130" s="494" t="str">
        <f t="shared" ref="ED130:ED150" si="931">IF(ISNUMBER($AV130),(-DZ130-SQRT(DZ130^2-DY130*EA130))/DY130,"")</f>
        <v/>
      </c>
      <c r="EE130" s="498" t="str">
        <f t="shared" ref="EE130:EE150" si="932">IF(ISNUMBER($AV130),CV130+DO130*$EC130,"")</f>
        <v/>
      </c>
      <c r="EF130" s="494" t="str">
        <f t="shared" ref="EF130:EF150" si="933">IF(ISNUMBER($AV130),CW130+DP130*$EC130,"")</f>
        <v/>
      </c>
      <c r="EG130" s="495" t="str">
        <f t="shared" ref="EG130:EG150" si="934">IF(ISNUMBER($AV130),CX130+DQ130*$EC130,"")</f>
        <v/>
      </c>
      <c r="EH130" s="496" t="str">
        <f t="shared" ref="EH130:EH150" si="935">IF(ISNUMBER($AV130),CV130+DO130*$ED130,"")</f>
        <v/>
      </c>
      <c r="EI130" s="494" t="str">
        <f t="shared" ref="EI130:EI150" si="936">IF(ISNUMBER($AV130),CW130+DP130*$ED130,"")</f>
        <v/>
      </c>
      <c r="EJ130" s="497" t="str">
        <f t="shared" ref="EJ130:EJ150" si="937">IF(ISNUMBER($AV130),CX130+DQ130*$ED130,"")</f>
        <v/>
      </c>
      <c r="EK130" s="509" t="str">
        <f t="shared" si="690"/>
        <v/>
      </c>
      <c r="EL130" s="510" t="str">
        <f t="shared" si="691"/>
        <v/>
      </c>
      <c r="EM130" s="498" t="str">
        <f t="shared" ref="EM130:EM150" si="938">IF(ISNUMBER($AV130),IF($EK130=TRUE,EE130,IF($EL130=TRUE,EH130,"")),"")</f>
        <v/>
      </c>
      <c r="EN130" s="494" t="str">
        <f t="shared" ref="EN130:EN150" si="939">IF(ISNUMBER($AV130),IF($EK130=TRUE,EF130,IF($EL130=TRUE,EI130,"")),"")</f>
        <v/>
      </c>
      <c r="EO130" s="495" t="str">
        <f t="shared" ref="EO130:EO150" si="940">IF(ISNUMBER($AV130),IF($EK130=TRUE,EG130,IF($EL130=TRUE,EJ130,"")),"")</f>
        <v/>
      </c>
      <c r="EP130" s="496" t="str">
        <f t="shared" ref="EP130:EP150" si="941">IF(ISNUMBER($AV130),IF(DEGREES(ATAN2(EM130,EN130))&lt;0,DEGREES(ATAN2(EM130,EN130))+360,IF(DEGREES(ATAN2(EM130,EN130))&gt;360,DEGREES(ATAN2(EM130,EN130))-360,DEGREES(ATAN2(EM130,EN130)))),"")</f>
        <v/>
      </c>
      <c r="EQ130" s="494" t="str">
        <f t="shared" ref="EQ130:EQ150" si="942">IF(ISNUMBER($AV130),SQRT(EM130^2+EN130^2),"")</f>
        <v/>
      </c>
      <c r="ER130" s="500" t="str">
        <f t="shared" ref="ER130:ER150" si="943">IF(ISNUMBER($AV130),EO130,"")</f>
        <v/>
      </c>
      <c r="ES130" s="493" t="str">
        <f t="shared" si="758"/>
        <v/>
      </c>
      <c r="ET130" s="494" t="str">
        <f t="shared" si="759"/>
        <v/>
      </c>
      <c r="EU130" s="495" t="str">
        <f t="shared" si="760"/>
        <v/>
      </c>
      <c r="EV130" s="174" t="str">
        <f t="shared" ref="EV130:EV150" si="944">IF(ISNUMBER($AV130),IF(($EV$1-EP130)&lt;0,(360+($EV$1-EP130)),($EV$1-EP130)),"")</f>
        <v/>
      </c>
      <c r="EW130" s="496" t="str">
        <f t="shared" ref="EW130:EW150" si="945">IF(ISNUMBER($AV130),(COS(RADIANS($EV130))*ES130)+(-SIN(RADIANS($EV130))*ET130),"")</f>
        <v/>
      </c>
      <c r="EX130" s="494" t="str">
        <f t="shared" ref="EX130:EX150" si="946">IF(ISNUMBER($AV130),(SIN(RADIANS($EV130))*ES130)+(COS(RADIANS($EV130))*ET130),"")</f>
        <v/>
      </c>
      <c r="EY130" s="497" t="str">
        <f t="shared" ref="EY130:EY150" si="947">IF(ISNUMBER($AV130),EU130,"")</f>
        <v/>
      </c>
      <c r="EZ130" s="504" t="str">
        <f t="shared" si="699"/>
        <v/>
      </c>
      <c r="FA130" s="502" t="str">
        <f t="shared" si="764"/>
        <v/>
      </c>
      <c r="FB130" s="494" t="str">
        <f t="shared" si="765"/>
        <v/>
      </c>
      <c r="FC130" s="497" t="str">
        <f t="shared" si="766"/>
        <v/>
      </c>
      <c r="FD130" s="498" t="str">
        <f t="shared" ref="FD130:FD150" si="948">IF(ISNUMBER($AV130),(COS(RADIANS($EV130))*FA130)+(-SIN(RADIANS($EV130))*FB130),"")</f>
        <v/>
      </c>
      <c r="FE130" s="494" t="str">
        <f t="shared" ref="FE130:FE150" si="949">IF(ISNUMBER($AV130),(SIN(RADIANS($EV130))*FA130)+(COS(RADIANS($EV130))*FB130),"")</f>
        <v/>
      </c>
      <c r="FF130" s="500" t="str">
        <f t="shared" ref="FF130:FF150" si="950">IF(ISNUMBER($AV130),FC130,"")</f>
        <v/>
      </c>
      <c r="FG130" s="173" t="str">
        <f t="shared" ref="FG130:FG150" si="951">IF(ISNUMBER($AV130),EW130-FD130,"")</f>
        <v/>
      </c>
      <c r="FH130" s="5" t="str">
        <f t="shared" ref="FH130:FH150" si="952">IF(ISNUMBER($AV130),EX130-FE130,"")</f>
        <v/>
      </c>
      <c r="FI130" s="10" t="str">
        <f t="shared" ref="FI130:FI150" si="953">IF(ISNUMBER($AV130),EY130-FF130,"")</f>
        <v/>
      </c>
      <c r="FJ130" s="279" t="str">
        <f t="shared" ref="FJ130:FJ150" si="954">IF(ISNUMBER($AV130),DEGREES(ACOS((2-SQRT((FG130)^2+(FH130)^2+(FI130)^2)^2)/2)),"")</f>
        <v/>
      </c>
      <c r="FK130" s="4" t="str">
        <f t="shared" ref="FK130:FK150" si="955">IF(ISNUMBER($AV130),SQRT(ES130^2+ET130^2),"")</f>
        <v/>
      </c>
      <c r="FL130" s="5" t="str">
        <f t="shared" ref="FL130:FL150" si="956">IF(ISNUMBER($AV130),SQRT(FA130^2+FB130^2),"")</f>
        <v/>
      </c>
      <c r="FM130" s="8" t="str">
        <f t="shared" ref="FM130:FM150" si="957">IF(ISNUMBER($AV130),SQRT(FG130^2+FH130^2),"")</f>
        <v/>
      </c>
      <c r="FN130" s="9" t="str">
        <f t="shared" ref="FN130:FN150" si="958">IF(ISNUMBER($AV130),DEGREES(ACOS((FK130^2+FL130^2-FM130^2)/(2*FK130*FL130))),"")</f>
        <v/>
      </c>
      <c r="FO130" s="10" t="str">
        <f t="shared" ref="FO130:FO150" si="959">IF(ISNUMBER($AV130),IF(SQRT((EM130+(ES130/SQRT(ES130^2+(ET130/SQRT(ES130^2+ET130^2))^2)))^2+(EN130+ET130)^2)&gt;SQRT((EM130+(FA130/SQRT(FA130^2+FB130^2)))^2+(EN130+(FB130/SQRT(FA130^2+FB130^2)))^2),-1,1),"")</f>
        <v/>
      </c>
      <c r="FP130" s="277" t="str">
        <f t="shared" ref="FP130:FP150" si="960">IF(ISNUMBER($AV130),FN130*FO130,"")</f>
        <v/>
      </c>
      <c r="FQ130" s="173" t="str">
        <f t="shared" ref="FQ130:FQ150" si="961">IF(ISNUMBER($AV130),SIN(RADIANS(FN130)),"")</f>
        <v/>
      </c>
      <c r="FR130" s="10" t="str">
        <f t="shared" ref="FR130:FR150" si="962">IF(ISNUMBER($AV130),COS(RADIANS(FN130)),"")</f>
        <v/>
      </c>
      <c r="FS130" s="9" t="str">
        <f t="shared" ref="FS130:FS150" si="963">IF(ISNUMBER($AV130),FQ130/(FQ130+FR130),"")</f>
        <v/>
      </c>
      <c r="FT130" s="6" t="str">
        <f t="shared" ref="FT130:FT150" si="964">IF(ISNUMBER($AV130),FR130/(FQ130+FR130),"")</f>
        <v/>
      </c>
      <c r="FU130" s="4" t="str">
        <f t="shared" ref="FU130:FU150" si="965">IF(ISNUMBER($AV130),SQRT(EW130^2+EY130^2),"")</f>
        <v/>
      </c>
      <c r="FV130" s="5" t="str">
        <f t="shared" ref="FV130:FV150" si="966">IF(ISNUMBER($AV130),SQRT(FD130^2+FF130^2),"")</f>
        <v/>
      </c>
      <c r="FW130" s="8" t="str">
        <f t="shared" ref="FW130:FW150" si="967">IF(ISNUMBER($AV130),SQRT(FG130^2+FI130^2),"")</f>
        <v/>
      </c>
      <c r="FX130" s="9" t="str">
        <f t="shared" ref="FX130:FX150" si="968">IF(ISNUMBER($AV130),DEGREES(ACOS((FU130^2+FV130^2-FW130^2)/(2*FU130*FV130))),"")</f>
        <v/>
      </c>
      <c r="FY130" s="10" t="str">
        <f t="shared" ref="FY130:FY150" si="969">IF(ISNUMBER($AV130),IF(EU130&lt;FC130,1,-1),"")</f>
        <v/>
      </c>
      <c r="FZ130" s="277" t="str">
        <f t="shared" ref="FZ130:FZ150" si="970">IF(ISNUMBER($AV130),FX130*FY130,"")</f>
        <v/>
      </c>
      <c r="GA130" s="177" t="str">
        <f t="shared" ref="GA130:GA150" si="971">IF(ISNUMBER($AV130),DEGREES(FZ130*SIN(RADIANS(FU130))),"")</f>
        <v/>
      </c>
      <c r="GB130" s="4" t="str">
        <f t="shared" ref="GB130:GB150" si="972">IF(ISNUMBER($AV130),COS(RADIANS(FP130+90))*COS(RADIANS(FZ130)),"")</f>
        <v/>
      </c>
      <c r="GC130" s="5" t="str">
        <f t="shared" ref="GC130:GC150" si="973">IF(ISNUMBER($AV130),SIN(RADIANS(FP130+90))*COS(RADIANS(FZ130)),"")</f>
        <v/>
      </c>
      <c r="GD130" s="10" t="str">
        <f t="shared" ref="GD130:GD150" si="974">IF(ISNUMBER($AV130),-SIN(RADIANS(FZ130)),"")</f>
        <v/>
      </c>
      <c r="GE130" s="311" t="str">
        <f t="shared" ref="GE130:GE150" si="975">IF(ISNUMBER($AV130),SUM(ABS(GB130),ABS(GC130),ABS(GD130)),"")</f>
        <v/>
      </c>
      <c r="GF130" s="341" t="str">
        <f t="shared" ref="GF130:GF150" si="976">IF(ISNUMBER($AV130),1/GE130,"")</f>
        <v/>
      </c>
      <c r="GG130" s="306" t="str">
        <f t="shared" ref="GG130:GG150" si="977">IF(ISNUMBER($AV130),ABS(GB130)/(ABS($GB130)+ABS($GC130)+ABS($GD130)),"")</f>
        <v/>
      </c>
      <c r="GH130" s="307" t="str">
        <f t="shared" ref="GH130:GH150" si="978">IF(ISNUMBER($AV130),ABS(GC130)/(ABS($GB130)+ABS($GC130)+ABS($GD130)),"")</f>
        <v/>
      </c>
      <c r="GI130" s="308" t="str">
        <f t="shared" ref="GI130:GI150" si="979">IF(ISNUMBER($AV130),ABS(GD130)/(ABS($GB130)+ABS($GC130)+ABS($GD130)),"")</f>
        <v/>
      </c>
      <c r="GJ130" s="167" t="str">
        <f t="shared" ref="GJ130:GJ150" si="980">IF(ISNUMBER($AV130),AW130,"")</f>
        <v/>
      </c>
      <c r="GK130" s="174" t="str">
        <f t="shared" si="778"/>
        <v/>
      </c>
      <c r="GL130" s="174" t="str">
        <f t="shared" ref="GL130:GL150" si="981">IF(ISNUMBER($AV130),AY130,"")</f>
        <v/>
      </c>
      <c r="GM130" s="177" t="str">
        <f t="shared" ref="GM130:GM150" si="982">IF(ISNUMBER($AV130),AZ130,"")</f>
        <v/>
      </c>
      <c r="GN130" s="280" t="str">
        <f t="shared" ref="GN130:GN150" si="983">IF(ISNUMBER($AV130),BA130,"")</f>
        <v/>
      </c>
      <c r="GO130" s="4" t="str">
        <f t="shared" ref="GO130:GO150" si="984">IF(ISNUMBER($AV130),FP130,"")</f>
        <v/>
      </c>
      <c r="GP130" s="8" t="str">
        <f t="shared" ref="GP130:GP150" si="985">IF(ISNUMBER($AV130),FZ130,"")</f>
        <v/>
      </c>
      <c r="GQ130" s="177" t="str">
        <f t="shared" ref="GQ130:GQ150" si="986">IF(ISNUMBER($AV130),FJ130,"")</f>
        <v/>
      </c>
      <c r="GR130" s="371" t="str">
        <f t="shared" ref="GR130:GR150" si="987">IF(ISNUMBER($AV130),GS130+GU130+GY130,"")</f>
        <v/>
      </c>
      <c r="GS130" s="342" t="str">
        <f t="shared" ref="GS130:GS150" si="988">IF(ISNUMBER($AV130),GU130/GH130*GG130,"")</f>
        <v/>
      </c>
      <c r="GT130" s="343" t="str">
        <f t="shared" ref="GT130:GT150" si="989">IF(ISNUMBER($AV130),GS130/$GK130,"")</f>
        <v/>
      </c>
      <c r="GU130" s="344" t="str">
        <f t="shared" si="781"/>
        <v/>
      </c>
      <c r="GV130" s="343" t="str">
        <f t="shared" ref="GV130:GV150" si="990">IF(ISNUMBER($AV130),GW130*$GL130,"")</f>
        <v/>
      </c>
      <c r="GW130" s="345" t="str">
        <f t="shared" si="782"/>
        <v/>
      </c>
      <c r="GX130" s="346" t="str">
        <f t="shared" si="783"/>
        <v/>
      </c>
      <c r="GY130" s="344" t="str">
        <f t="shared" ref="GY130:GY150" si="991">IF(ISNUMBER($AV130),GU130/GH130*GI130,"")</f>
        <v/>
      </c>
      <c r="GZ130" s="345" t="str">
        <f t="shared" ref="GZ130:GZ150" si="992">IF(ISNUMBER($AV130),GY130/$GK130,"")</f>
        <v/>
      </c>
      <c r="HA130" s="342" t="str">
        <f t="shared" si="786"/>
        <v/>
      </c>
      <c r="HB130" s="5" t="str">
        <f t="shared" si="726"/>
        <v/>
      </c>
      <c r="HC130" s="343" t="str">
        <f t="shared" ref="HC130:HC150" si="993">IF(ISNUMBER($AV130),HA130*COS(RADIANS(HB130)),"")</f>
        <v/>
      </c>
      <c r="HD130" s="363" t="str">
        <f t="shared" ref="HD130:HD150" si="994">IF(ISNUMBER($AV130),HA130*SIN(RADIANS(HB130)),"")</f>
        <v/>
      </c>
      <c r="HE130" s="344" t="str">
        <f t="shared" si="787"/>
        <v/>
      </c>
      <c r="HF130" s="5" t="str">
        <f t="shared" si="788"/>
        <v/>
      </c>
      <c r="HG130" s="343" t="str">
        <f t="shared" ref="HG130:HG150" si="995">IF(ISNUMBER($AV130),HE130*COS(RADIANS(HF130)),"")</f>
        <v/>
      </c>
      <c r="HH130" s="349" t="str">
        <f t="shared" ref="HH130:HH150" si="996">IF(ISNUMBER($AV130),HE130*SIN(RADIANS(HF130)),"")</f>
        <v/>
      </c>
      <c r="HI130" s="317" t="str">
        <f t="shared" si="789"/>
        <v/>
      </c>
      <c r="HK130" s="310" t="str">
        <f t="shared" si="840"/>
        <v/>
      </c>
      <c r="HL130" s="348" t="str">
        <f t="shared" si="790"/>
        <v/>
      </c>
      <c r="HM130" s="909" t="str">
        <f t="shared" si="791"/>
        <v/>
      </c>
      <c r="HN130" s="910" t="str">
        <f t="shared" si="792"/>
        <v/>
      </c>
      <c r="HO130" s="911"/>
      <c r="HP130" s="912"/>
      <c r="HQ130" s="910" t="str">
        <f t="shared" si="793"/>
        <v/>
      </c>
      <c r="HR130" s="913" t="str">
        <f t="shared" si="794"/>
        <v/>
      </c>
      <c r="HS130" s="865" t="str">
        <f t="shared" ref="HS130:HS150" si="997">IFERROR(SMALL($GJ$9:$GJ$150,($HK129+1)),"")</f>
        <v/>
      </c>
      <c r="HT130" s="875" t="str">
        <f t="shared" si="795"/>
        <v/>
      </c>
      <c r="HU130" s="876" t="str">
        <f t="shared" si="796"/>
        <v/>
      </c>
      <c r="HV130" s="872" t="str">
        <f t="shared" si="797"/>
        <v/>
      </c>
      <c r="HW130" s="866" t="str">
        <f t="shared" si="798"/>
        <v/>
      </c>
      <c r="HX130" s="867" t="str">
        <f t="shared" si="799"/>
        <v/>
      </c>
      <c r="HY130" s="866" t="str">
        <f t="shared" si="800"/>
        <v/>
      </c>
      <c r="HZ130" s="868" t="str">
        <f t="shared" si="801"/>
        <v/>
      </c>
      <c r="IA130" s="869" t="str">
        <f t="shared" si="802"/>
        <v/>
      </c>
      <c r="IB130" s="870" t="str">
        <f t="shared" si="803"/>
        <v/>
      </c>
      <c r="IC130" s="841" t="str">
        <f t="shared" si="804"/>
        <v/>
      </c>
      <c r="ID130" s="351" t="str">
        <f t="shared" si="805"/>
        <v/>
      </c>
      <c r="IE130" s="843" t="str">
        <f t="shared" si="806"/>
        <v/>
      </c>
      <c r="IF130" s="844"/>
      <c r="IG130" s="790" t="str">
        <f>IFERROR(IF($IW130="","",IF($IW130&lt;(((Settings!$C$19/2)*-1)*$IG$8),"Taper","Nose")),"")</f>
        <v/>
      </c>
      <c r="IH130" s="482" t="str">
        <f>IFERROR(IF((((($IY130*COS(RADIANS(180-$JA130)))*COS(RADIANS($JA130)))-(($IZ130*SIN(RADIANS(180-$JA130)))*SIN(RADIANS($JA130))))+$IW130)&lt;(((Settings!$C$19+$IH$8)/2)*-1),"Gage",""),"")</f>
        <v/>
      </c>
      <c r="II130" s="788" t="str">
        <f t="shared" si="731"/>
        <v/>
      </c>
      <c r="IJ130" s="674" t="str" cm="1">
        <f t="array" ref="IJ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K130" s="677" t="str" cm="1">
        <f t="array" ref="IK130">IFERROR(ROUND(VALUE(IF($IJ130&lt;1,$IJ130+LARGE((IF($M$9:$M$150="",0,$M$9:$M$150)-MOD(IF($M$9:$M$150="",0,$M$9:$M$150),1)),1),$IJ130)),4),"")</f>
        <v/>
      </c>
      <c r="IL130" s="482" t="str">
        <f t="shared" si="807"/>
        <v/>
      </c>
      <c r="IM130" s="482" t="str">
        <f t="shared" si="732"/>
        <v/>
      </c>
      <c r="IN130" s="670" t="str">
        <f t="shared" si="808"/>
        <v/>
      </c>
      <c r="IO130" s="702"/>
      <c r="IP130" s="5" t="str">
        <f t="shared" si="809"/>
        <v/>
      </c>
      <c r="IQ130" s="714"/>
      <c r="IR130" s="9" t="str">
        <f t="shared" si="810"/>
        <v/>
      </c>
      <c r="IS130" s="5" t="str">
        <f t="shared" si="811"/>
        <v/>
      </c>
      <c r="IT130" s="5" t="str">
        <f t="shared" si="812"/>
        <v/>
      </c>
      <c r="IU130" s="5" t="str">
        <f t="shared" si="813"/>
        <v/>
      </c>
      <c r="IV130" s="670" t="str">
        <f t="shared" si="814"/>
        <v/>
      </c>
      <c r="IW130" s="9" t="str">
        <f t="shared" si="815"/>
        <v/>
      </c>
      <c r="IX130" s="5" t="str">
        <f t="shared" si="816"/>
        <v/>
      </c>
      <c r="IY130" s="5" t="str">
        <f t="shared" si="817"/>
        <v/>
      </c>
      <c r="IZ130" s="5" t="str">
        <f t="shared" si="818"/>
        <v/>
      </c>
      <c r="JA130" s="705" t="str">
        <f t="shared" si="819"/>
        <v/>
      </c>
    </row>
    <row r="131" spans="1:261" ht="15" customHeight="1" x14ac:dyDescent="0.25">
      <c r="A131" s="75" t="str">
        <f t="shared" si="736"/>
        <v/>
      </c>
      <c r="B131" s="578" t="str">
        <f t="shared" si="845"/>
        <v/>
      </c>
      <c r="C131" s="572" t="str">
        <f t="shared" si="846"/>
        <v/>
      </c>
      <c r="D131" s="576" t="str">
        <f t="shared" si="847"/>
        <v/>
      </c>
      <c r="E131" s="580" t="str">
        <f t="shared" si="848"/>
        <v/>
      </c>
      <c r="F131" s="572" t="str">
        <f t="shared" si="849"/>
        <v/>
      </c>
      <c r="G131" s="579" t="str">
        <f t="shared" si="850"/>
        <v/>
      </c>
      <c r="H131" s="580" t="str">
        <f t="shared" si="851"/>
        <v/>
      </c>
      <c r="I131" s="572" t="str">
        <f t="shared" si="852"/>
        <v/>
      </c>
      <c r="J131" s="483" t="str">
        <f t="shared" si="853"/>
        <v/>
      </c>
      <c r="K131" s="806" t="str">
        <f t="shared" si="854"/>
        <v/>
      </c>
      <c r="L131" s="309"/>
      <c r="M131" s="492" t="str">
        <f t="shared" si="737"/>
        <v/>
      </c>
      <c r="N131" s="581" t="str">
        <f t="shared" si="738"/>
        <v/>
      </c>
      <c r="O131" s="582" t="str">
        <f t="shared" si="739"/>
        <v/>
      </c>
      <c r="P131" s="583" t="str">
        <f t="shared" si="740"/>
        <v/>
      </c>
      <c r="Q131" s="536" t="str">
        <f t="shared" si="856"/>
        <v/>
      </c>
      <c r="R131" s="582" t="str">
        <f t="shared" si="857"/>
        <v/>
      </c>
      <c r="S131" s="584" t="str">
        <f t="shared" si="858"/>
        <v/>
      </c>
      <c r="T131" s="585" t="str">
        <f t="shared" si="859"/>
        <v/>
      </c>
      <c r="U131" s="582" t="str">
        <f t="shared" si="860"/>
        <v/>
      </c>
      <c r="V131" s="586" t="str">
        <f t="shared" si="861"/>
        <v/>
      </c>
      <c r="W131" s="536" t="str">
        <f t="shared" si="862"/>
        <v/>
      </c>
      <c r="X131" s="582" t="str">
        <f t="shared" si="863"/>
        <v/>
      </c>
      <c r="Y131" s="587" t="str">
        <f t="shared" si="864"/>
        <v/>
      </c>
      <c r="Z131" s="581" t="str">
        <f t="shared" si="741"/>
        <v/>
      </c>
      <c r="AA131" s="582" t="str">
        <f t="shared" si="742"/>
        <v/>
      </c>
      <c r="AB131" s="582" t="str">
        <f t="shared" si="743"/>
        <v/>
      </c>
      <c r="AC131" s="586" t="str">
        <f t="shared" si="865"/>
        <v/>
      </c>
      <c r="AD131" s="588" t="str">
        <f t="shared" si="866"/>
        <v/>
      </c>
      <c r="AE131" s="582" t="str">
        <f t="shared" si="867"/>
        <v/>
      </c>
      <c r="AF131" s="583" t="str">
        <f t="shared" si="868"/>
        <v/>
      </c>
      <c r="AG131" s="547" t="str">
        <f t="shared" si="869"/>
        <v/>
      </c>
      <c r="AH131" s="548" t="str">
        <f t="shared" si="870"/>
        <v/>
      </c>
      <c r="AI131" s="536" t="str">
        <f t="shared" si="871"/>
        <v/>
      </c>
      <c r="AJ131" s="537" t="str">
        <f t="shared" si="872"/>
        <v/>
      </c>
      <c r="AK131" s="585" t="str">
        <f t="shared" si="873"/>
        <v/>
      </c>
      <c r="AL131" s="582" t="str">
        <f t="shared" si="874"/>
        <v/>
      </c>
      <c r="AM131" s="584" t="str">
        <f t="shared" si="875"/>
        <v/>
      </c>
      <c r="AN131" s="534" t="str">
        <f t="shared" si="876"/>
        <v/>
      </c>
      <c r="AO131" s="535" t="str">
        <f t="shared" si="855"/>
        <v/>
      </c>
      <c r="AP131" s="536" t="str">
        <f t="shared" si="877"/>
        <v/>
      </c>
      <c r="AQ131" s="537" t="str">
        <f t="shared" si="744"/>
        <v/>
      </c>
      <c r="AS131" s="933" t="str">
        <f t="shared" si="842"/>
        <v/>
      </c>
      <c r="AT131" s="929" t="str">
        <f t="shared" si="745"/>
        <v/>
      </c>
      <c r="AU131" s="418"/>
      <c r="AV131" s="164" t="str">
        <f t="shared" si="746"/>
        <v/>
      </c>
      <c r="AW131" s="832" t="str">
        <f>IFERROR(INDEX(MassProp!C$9:C$150,MATCH($M131,MassProp!$B$9:$B$150,0)),"")</f>
        <v/>
      </c>
      <c r="AX131" s="833" t="str">
        <f>IFERROR(INDEX(MassProp!D$9:D$150,MATCH($M131,MassProp!$B$9:$B$150,0)),"")</f>
        <v/>
      </c>
      <c r="AY131" s="834" t="str">
        <f>IFERROR(INDEX(MassProp!E$9:E$150,MATCH($M131,MassProp!$B$9:$B$150,0)),"")</f>
        <v/>
      </c>
      <c r="AZ131" s="297" t="str">
        <f t="shared" si="878"/>
        <v/>
      </c>
      <c r="BA131" s="505" t="str">
        <f t="shared" si="879"/>
        <v/>
      </c>
      <c r="BB131" s="506" t="str">
        <f t="shared" si="610"/>
        <v/>
      </c>
      <c r="BC131" s="496"/>
      <c r="BD131" s="494" t="str">
        <f t="shared" si="880"/>
        <v/>
      </c>
      <c r="BE131" s="497" t="str">
        <f t="shared" si="748"/>
        <v/>
      </c>
      <c r="BF131" s="498" t="str">
        <f t="shared" si="749"/>
        <v/>
      </c>
      <c r="BG131" s="494" t="str">
        <f t="shared" si="750"/>
        <v/>
      </c>
      <c r="BH131" s="495" t="str">
        <f t="shared" si="751"/>
        <v/>
      </c>
      <c r="BI131" s="496" t="str">
        <f t="shared" si="881"/>
        <v/>
      </c>
      <c r="BJ131" s="494" t="str">
        <f t="shared" si="752"/>
        <v/>
      </c>
      <c r="BK131" s="499" t="str">
        <f t="shared" si="753"/>
        <v/>
      </c>
      <c r="BL131" s="502" t="str">
        <f t="shared" si="754"/>
        <v/>
      </c>
      <c r="BM131" s="494" t="str">
        <f t="shared" si="755"/>
        <v/>
      </c>
      <c r="BN131" s="497" t="str">
        <f t="shared" si="756"/>
        <v/>
      </c>
      <c r="BO131" s="498" t="str">
        <f t="shared" si="882"/>
        <v/>
      </c>
      <c r="BP131" s="494" t="str">
        <f t="shared" si="734"/>
        <v/>
      </c>
      <c r="BQ131" s="494" t="str">
        <f t="shared" si="883"/>
        <v/>
      </c>
      <c r="BR131" s="497" t="str">
        <f t="shared" si="884"/>
        <v/>
      </c>
      <c r="BS131" s="498" t="str">
        <f t="shared" si="839"/>
        <v/>
      </c>
      <c r="BT131" s="494" t="str">
        <f t="shared" si="839"/>
        <v/>
      </c>
      <c r="BU131" s="495" t="str">
        <f t="shared" si="613"/>
        <v/>
      </c>
      <c r="BV131" s="496" t="str">
        <f t="shared" si="614"/>
        <v/>
      </c>
      <c r="BW131" s="494" t="str">
        <f t="shared" si="615"/>
        <v/>
      </c>
      <c r="BX131" s="499" t="str">
        <f t="shared" si="616"/>
        <v/>
      </c>
      <c r="BY131" s="502" t="str">
        <f t="shared" si="617"/>
        <v/>
      </c>
      <c r="BZ131" s="494" t="str">
        <f t="shared" si="618"/>
        <v/>
      </c>
      <c r="CA131" s="497" t="str">
        <f t="shared" si="619"/>
        <v/>
      </c>
      <c r="CB131" s="498" t="str">
        <f t="shared" si="885"/>
        <v/>
      </c>
      <c r="CC131" s="494" t="str">
        <f t="shared" si="886"/>
        <v/>
      </c>
      <c r="CD131" s="494" t="str">
        <f t="shared" si="887"/>
        <v/>
      </c>
      <c r="CE131" s="497" t="str">
        <f t="shared" si="888"/>
        <v/>
      </c>
      <c r="CF131" s="498" t="str">
        <f t="shared" si="889"/>
        <v/>
      </c>
      <c r="CG131" s="494" t="str">
        <f t="shared" si="890"/>
        <v/>
      </c>
      <c r="CH131" s="494" t="str">
        <f t="shared" si="891"/>
        <v/>
      </c>
      <c r="CI131" s="498" t="str">
        <f t="shared" si="620"/>
        <v/>
      </c>
      <c r="CJ131" s="494" t="str">
        <f t="shared" si="892"/>
        <v/>
      </c>
      <c r="CK131" s="499" t="str">
        <f t="shared" si="893"/>
        <v/>
      </c>
      <c r="CL131" s="502" t="str">
        <f t="shared" si="894"/>
        <v/>
      </c>
      <c r="CM131" s="494" t="str">
        <f t="shared" si="895"/>
        <v/>
      </c>
      <c r="CN131" s="497" t="str">
        <f t="shared" si="896"/>
        <v/>
      </c>
      <c r="CO131" s="507" t="str">
        <f t="shared" si="757"/>
        <v/>
      </c>
      <c r="CP131" s="498" t="str">
        <f t="shared" si="897"/>
        <v/>
      </c>
      <c r="CQ131" s="494" t="str">
        <f t="shared" si="898"/>
        <v/>
      </c>
      <c r="CR131" s="494" t="str">
        <f t="shared" si="899"/>
        <v/>
      </c>
      <c r="CS131" s="499" t="str">
        <f t="shared" si="900"/>
        <v/>
      </c>
      <c r="CT131" s="496" t="str">
        <f t="shared" si="901"/>
        <v/>
      </c>
      <c r="CU131" s="497" t="str">
        <f t="shared" si="902"/>
        <v/>
      </c>
      <c r="CV131" s="498" t="str">
        <f t="shared" si="903"/>
        <v/>
      </c>
      <c r="CW131" s="494" t="str">
        <f t="shared" si="904"/>
        <v/>
      </c>
      <c r="CX131" s="499" t="str">
        <f t="shared" si="905"/>
        <v/>
      </c>
      <c r="CY131" s="496" t="str">
        <f t="shared" si="906"/>
        <v/>
      </c>
      <c r="CZ131" s="494" t="str">
        <f t="shared" si="907"/>
        <v/>
      </c>
      <c r="DA131" s="497" t="str">
        <f t="shared" si="908"/>
        <v/>
      </c>
      <c r="DB131" s="498" t="str">
        <f t="shared" si="843"/>
        <v/>
      </c>
      <c r="DC131" s="494" t="str">
        <f t="shared" si="843"/>
        <v/>
      </c>
      <c r="DD131" s="495" t="str">
        <f t="shared" si="658"/>
        <v/>
      </c>
      <c r="DE131" s="496" t="str">
        <f t="shared" si="844"/>
        <v/>
      </c>
      <c r="DF131" s="494" t="str">
        <f t="shared" si="844"/>
        <v/>
      </c>
      <c r="DG131" s="495" t="str">
        <f t="shared" si="660"/>
        <v/>
      </c>
      <c r="DH131" s="501" t="str">
        <f t="shared" si="909"/>
        <v/>
      </c>
      <c r="DI131" s="498" t="str">
        <f t="shared" si="910"/>
        <v/>
      </c>
      <c r="DJ131" s="494" t="str">
        <f t="shared" si="911"/>
        <v/>
      </c>
      <c r="DK131" s="495" t="str">
        <f t="shared" si="912"/>
        <v/>
      </c>
      <c r="DL131" s="496" t="str">
        <f t="shared" si="913"/>
        <v/>
      </c>
      <c r="DM131" s="502" t="str">
        <f t="shared" si="914"/>
        <v/>
      </c>
      <c r="DN131" s="508" t="str">
        <f t="shared" si="915"/>
        <v/>
      </c>
      <c r="DO131" s="496" t="str">
        <f t="shared" si="916"/>
        <v/>
      </c>
      <c r="DP131" s="502" t="str">
        <f t="shared" si="917"/>
        <v/>
      </c>
      <c r="DQ131" s="503" t="str">
        <f t="shared" si="918"/>
        <v/>
      </c>
      <c r="DR131" s="502" t="str">
        <f t="shared" si="919"/>
        <v/>
      </c>
      <c r="DS131" s="494" t="str">
        <f t="shared" si="920"/>
        <v/>
      </c>
      <c r="DT131" s="494" t="str">
        <f t="shared" si="921"/>
        <v/>
      </c>
      <c r="DU131" s="494" t="str">
        <f t="shared" si="922"/>
        <v/>
      </c>
      <c r="DV131" s="494" t="str">
        <f t="shared" si="923"/>
        <v/>
      </c>
      <c r="DW131" s="494" t="str">
        <f t="shared" si="924"/>
        <v/>
      </c>
      <c r="DX131" s="507" t="str">
        <f t="shared" si="925"/>
        <v/>
      </c>
      <c r="DY131" s="496" t="str">
        <f t="shared" si="926"/>
        <v/>
      </c>
      <c r="DZ131" s="494" t="str">
        <f t="shared" si="927"/>
        <v/>
      </c>
      <c r="EA131" s="495" t="str">
        <f t="shared" si="928"/>
        <v/>
      </c>
      <c r="EB131" s="497" t="str">
        <f t="shared" si="929"/>
        <v/>
      </c>
      <c r="EC131" s="502" t="str">
        <f t="shared" si="930"/>
        <v/>
      </c>
      <c r="ED131" s="494" t="str">
        <f t="shared" si="931"/>
        <v/>
      </c>
      <c r="EE131" s="498" t="str">
        <f t="shared" si="932"/>
        <v/>
      </c>
      <c r="EF131" s="494" t="str">
        <f t="shared" si="933"/>
        <v/>
      </c>
      <c r="EG131" s="495" t="str">
        <f t="shared" si="934"/>
        <v/>
      </c>
      <c r="EH131" s="496" t="str">
        <f t="shared" si="935"/>
        <v/>
      </c>
      <c r="EI131" s="494" t="str">
        <f t="shared" si="936"/>
        <v/>
      </c>
      <c r="EJ131" s="497" t="str">
        <f t="shared" si="937"/>
        <v/>
      </c>
      <c r="EK131" s="509" t="str">
        <f t="shared" si="690"/>
        <v/>
      </c>
      <c r="EL131" s="510" t="str">
        <f t="shared" si="691"/>
        <v/>
      </c>
      <c r="EM131" s="498" t="str">
        <f t="shared" si="938"/>
        <v/>
      </c>
      <c r="EN131" s="494" t="str">
        <f t="shared" si="939"/>
        <v/>
      </c>
      <c r="EO131" s="495" t="str">
        <f t="shared" si="940"/>
        <v/>
      </c>
      <c r="EP131" s="496" t="str">
        <f t="shared" si="941"/>
        <v/>
      </c>
      <c r="EQ131" s="494" t="str">
        <f t="shared" si="942"/>
        <v/>
      </c>
      <c r="ER131" s="500" t="str">
        <f t="shared" si="943"/>
        <v/>
      </c>
      <c r="ES131" s="493" t="str">
        <f t="shared" si="758"/>
        <v/>
      </c>
      <c r="ET131" s="494" t="str">
        <f t="shared" si="759"/>
        <v/>
      </c>
      <c r="EU131" s="495" t="str">
        <f t="shared" si="760"/>
        <v/>
      </c>
      <c r="EV131" s="174" t="str">
        <f t="shared" si="944"/>
        <v/>
      </c>
      <c r="EW131" s="496" t="str">
        <f t="shared" si="945"/>
        <v/>
      </c>
      <c r="EX131" s="494" t="str">
        <f t="shared" si="946"/>
        <v/>
      </c>
      <c r="EY131" s="497" t="str">
        <f t="shared" si="947"/>
        <v/>
      </c>
      <c r="EZ131" s="504" t="str">
        <f t="shared" si="699"/>
        <v/>
      </c>
      <c r="FA131" s="502" t="str">
        <f t="shared" si="764"/>
        <v/>
      </c>
      <c r="FB131" s="494" t="str">
        <f t="shared" si="765"/>
        <v/>
      </c>
      <c r="FC131" s="497" t="str">
        <f t="shared" si="766"/>
        <v/>
      </c>
      <c r="FD131" s="498" t="str">
        <f t="shared" si="948"/>
        <v/>
      </c>
      <c r="FE131" s="494" t="str">
        <f t="shared" si="949"/>
        <v/>
      </c>
      <c r="FF131" s="500" t="str">
        <f t="shared" si="950"/>
        <v/>
      </c>
      <c r="FG131" s="173" t="str">
        <f t="shared" si="951"/>
        <v/>
      </c>
      <c r="FH131" s="5" t="str">
        <f t="shared" si="952"/>
        <v/>
      </c>
      <c r="FI131" s="10" t="str">
        <f t="shared" si="953"/>
        <v/>
      </c>
      <c r="FJ131" s="279" t="str">
        <f t="shared" si="954"/>
        <v/>
      </c>
      <c r="FK131" s="4" t="str">
        <f t="shared" si="955"/>
        <v/>
      </c>
      <c r="FL131" s="5" t="str">
        <f t="shared" si="956"/>
        <v/>
      </c>
      <c r="FM131" s="8" t="str">
        <f t="shared" si="957"/>
        <v/>
      </c>
      <c r="FN131" s="9" t="str">
        <f t="shared" si="958"/>
        <v/>
      </c>
      <c r="FO131" s="10" t="str">
        <f t="shared" si="959"/>
        <v/>
      </c>
      <c r="FP131" s="277" t="str">
        <f t="shared" si="960"/>
        <v/>
      </c>
      <c r="FQ131" s="173" t="str">
        <f t="shared" si="961"/>
        <v/>
      </c>
      <c r="FR131" s="10" t="str">
        <f t="shared" si="962"/>
        <v/>
      </c>
      <c r="FS131" s="9" t="str">
        <f t="shared" si="963"/>
        <v/>
      </c>
      <c r="FT131" s="6" t="str">
        <f t="shared" si="964"/>
        <v/>
      </c>
      <c r="FU131" s="4" t="str">
        <f t="shared" si="965"/>
        <v/>
      </c>
      <c r="FV131" s="5" t="str">
        <f t="shared" si="966"/>
        <v/>
      </c>
      <c r="FW131" s="8" t="str">
        <f t="shared" si="967"/>
        <v/>
      </c>
      <c r="FX131" s="9" t="str">
        <f t="shared" si="968"/>
        <v/>
      </c>
      <c r="FY131" s="10" t="str">
        <f t="shared" si="969"/>
        <v/>
      </c>
      <c r="FZ131" s="277" t="str">
        <f t="shared" si="970"/>
        <v/>
      </c>
      <c r="GA131" s="177" t="str">
        <f t="shared" si="971"/>
        <v/>
      </c>
      <c r="GB131" s="4" t="str">
        <f t="shared" si="972"/>
        <v/>
      </c>
      <c r="GC131" s="5" t="str">
        <f t="shared" si="973"/>
        <v/>
      </c>
      <c r="GD131" s="10" t="str">
        <f t="shared" si="974"/>
        <v/>
      </c>
      <c r="GE131" s="311" t="str">
        <f t="shared" si="975"/>
        <v/>
      </c>
      <c r="GF131" s="341" t="str">
        <f t="shared" si="976"/>
        <v/>
      </c>
      <c r="GG131" s="306" t="str">
        <f t="shared" si="977"/>
        <v/>
      </c>
      <c r="GH131" s="307" t="str">
        <f t="shared" si="978"/>
        <v/>
      </c>
      <c r="GI131" s="308" t="str">
        <f t="shared" si="979"/>
        <v/>
      </c>
      <c r="GJ131" s="167" t="str">
        <f t="shared" si="980"/>
        <v/>
      </c>
      <c r="GK131" s="174" t="str">
        <f t="shared" si="778"/>
        <v/>
      </c>
      <c r="GL131" s="174" t="str">
        <f t="shared" si="981"/>
        <v/>
      </c>
      <c r="GM131" s="177" t="str">
        <f t="shared" si="982"/>
        <v/>
      </c>
      <c r="GN131" s="280" t="str">
        <f t="shared" si="983"/>
        <v/>
      </c>
      <c r="GO131" s="4" t="str">
        <f t="shared" si="984"/>
        <v/>
      </c>
      <c r="GP131" s="8" t="str">
        <f t="shared" si="985"/>
        <v/>
      </c>
      <c r="GQ131" s="177" t="str">
        <f t="shared" si="986"/>
        <v/>
      </c>
      <c r="GR131" s="371" t="str">
        <f t="shared" si="987"/>
        <v/>
      </c>
      <c r="GS131" s="342" t="str">
        <f t="shared" si="988"/>
        <v/>
      </c>
      <c r="GT131" s="343" t="str">
        <f t="shared" si="989"/>
        <v/>
      </c>
      <c r="GU131" s="344" t="str">
        <f t="shared" si="781"/>
        <v/>
      </c>
      <c r="GV131" s="343" t="str">
        <f t="shared" si="990"/>
        <v/>
      </c>
      <c r="GW131" s="345" t="str">
        <f t="shared" si="782"/>
        <v/>
      </c>
      <c r="GX131" s="346" t="str">
        <f t="shared" si="783"/>
        <v/>
      </c>
      <c r="GY131" s="344" t="str">
        <f t="shared" si="991"/>
        <v/>
      </c>
      <c r="GZ131" s="345" t="str">
        <f t="shared" si="992"/>
        <v/>
      </c>
      <c r="HA131" s="342" t="str">
        <f t="shared" si="786"/>
        <v/>
      </c>
      <c r="HB131" s="5" t="str">
        <f t="shared" si="726"/>
        <v/>
      </c>
      <c r="HC131" s="343" t="str">
        <f t="shared" si="993"/>
        <v/>
      </c>
      <c r="HD131" s="363" t="str">
        <f t="shared" si="994"/>
        <v/>
      </c>
      <c r="HE131" s="344" t="str">
        <f t="shared" si="787"/>
        <v/>
      </c>
      <c r="HF131" s="5" t="str">
        <f t="shared" si="788"/>
        <v/>
      </c>
      <c r="HG131" s="343" t="str">
        <f t="shared" si="995"/>
        <v/>
      </c>
      <c r="HH131" s="349" t="str">
        <f t="shared" si="996"/>
        <v/>
      </c>
      <c r="HI131" s="317" t="str">
        <f t="shared" si="789"/>
        <v/>
      </c>
      <c r="HK131" s="310" t="str">
        <f t="shared" si="840"/>
        <v/>
      </c>
      <c r="HL131" s="348" t="str">
        <f t="shared" si="790"/>
        <v/>
      </c>
      <c r="HM131" s="909" t="str">
        <f t="shared" si="791"/>
        <v/>
      </c>
      <c r="HN131" s="910" t="str">
        <f t="shared" si="792"/>
        <v/>
      </c>
      <c r="HO131" s="911"/>
      <c r="HP131" s="912"/>
      <c r="HQ131" s="910" t="str">
        <f t="shared" si="793"/>
        <v/>
      </c>
      <c r="HR131" s="913" t="str">
        <f t="shared" si="794"/>
        <v/>
      </c>
      <c r="HS131" s="865" t="str">
        <f t="shared" si="997"/>
        <v/>
      </c>
      <c r="HT131" s="875" t="str">
        <f t="shared" si="795"/>
        <v/>
      </c>
      <c r="HU131" s="876" t="str">
        <f t="shared" si="796"/>
        <v/>
      </c>
      <c r="HV131" s="872" t="str">
        <f t="shared" si="797"/>
        <v/>
      </c>
      <c r="HW131" s="866" t="str">
        <f t="shared" si="798"/>
        <v/>
      </c>
      <c r="HX131" s="867" t="str">
        <f t="shared" si="799"/>
        <v/>
      </c>
      <c r="HY131" s="866" t="str">
        <f t="shared" si="800"/>
        <v/>
      </c>
      <c r="HZ131" s="868" t="str">
        <f t="shared" si="801"/>
        <v/>
      </c>
      <c r="IA131" s="869" t="str">
        <f t="shared" si="802"/>
        <v/>
      </c>
      <c r="IB131" s="870" t="str">
        <f t="shared" si="803"/>
        <v/>
      </c>
      <c r="IC131" s="841" t="str">
        <f t="shared" si="804"/>
        <v/>
      </c>
      <c r="ID131" s="351" t="str">
        <f t="shared" si="805"/>
        <v/>
      </c>
      <c r="IE131" s="843" t="str">
        <f t="shared" si="806"/>
        <v/>
      </c>
      <c r="IF131" s="844"/>
      <c r="IG131" s="790" t="str">
        <f>IFERROR(IF($IW131="","",IF($IW131&lt;(((Settings!$C$19/2)*-1)*$IG$8),"Taper","Nose")),"")</f>
        <v/>
      </c>
      <c r="IH131" s="482" t="str">
        <f>IFERROR(IF((((($IY131*COS(RADIANS(180-$JA131)))*COS(RADIANS($JA131)))-(($IZ131*SIN(RADIANS(180-$JA131)))*SIN(RADIANS($JA131))))+$IW131)&lt;(((Settings!$C$19+$IH$8)/2)*-1),"Gage",""),"")</f>
        <v/>
      </c>
      <c r="II131" s="788" t="str">
        <f t="shared" si="731"/>
        <v/>
      </c>
      <c r="IJ131" s="674" t="str" cm="1">
        <f t="array" ref="IJ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K131" s="677" t="str" cm="1">
        <f t="array" ref="IK131">IFERROR(ROUND(VALUE(IF($IJ131&lt;1,$IJ131+LARGE((IF($M$9:$M$150="",0,$M$9:$M$150)-MOD(IF($M$9:$M$150="",0,$M$9:$M$150),1)),1),$IJ131)),4),"")</f>
        <v/>
      </c>
      <c r="IL131" s="482" t="str">
        <f t="shared" si="807"/>
        <v/>
      </c>
      <c r="IM131" s="482" t="str">
        <f t="shared" si="732"/>
        <v/>
      </c>
      <c r="IN131" s="670" t="str">
        <f t="shared" si="808"/>
        <v/>
      </c>
      <c r="IO131" s="702"/>
      <c r="IP131" s="5" t="str">
        <f t="shared" si="809"/>
        <v/>
      </c>
      <c r="IQ131" s="714"/>
      <c r="IR131" s="9" t="str">
        <f t="shared" si="810"/>
        <v/>
      </c>
      <c r="IS131" s="5" t="str">
        <f t="shared" si="811"/>
        <v/>
      </c>
      <c r="IT131" s="5" t="str">
        <f t="shared" si="812"/>
        <v/>
      </c>
      <c r="IU131" s="5" t="str">
        <f t="shared" si="813"/>
        <v/>
      </c>
      <c r="IV131" s="670" t="str">
        <f t="shared" si="814"/>
        <v/>
      </c>
      <c r="IW131" s="9" t="str">
        <f t="shared" si="815"/>
        <v/>
      </c>
      <c r="IX131" s="5" t="str">
        <f t="shared" si="816"/>
        <v/>
      </c>
      <c r="IY131" s="5" t="str">
        <f t="shared" si="817"/>
        <v/>
      </c>
      <c r="IZ131" s="5" t="str">
        <f t="shared" si="818"/>
        <v/>
      </c>
      <c r="JA131" s="705" t="str">
        <f t="shared" si="819"/>
        <v/>
      </c>
    </row>
    <row r="132" spans="1:261" ht="15" customHeight="1" x14ac:dyDescent="0.25">
      <c r="A132" s="75" t="str">
        <f t="shared" si="736"/>
        <v/>
      </c>
      <c r="B132" s="578" t="str">
        <f t="shared" si="845"/>
        <v/>
      </c>
      <c r="C132" s="572" t="str">
        <f t="shared" si="846"/>
        <v/>
      </c>
      <c r="D132" s="576" t="str">
        <f t="shared" si="847"/>
        <v/>
      </c>
      <c r="E132" s="580" t="str">
        <f t="shared" si="848"/>
        <v/>
      </c>
      <c r="F132" s="572" t="str">
        <f t="shared" si="849"/>
        <v/>
      </c>
      <c r="G132" s="579" t="str">
        <f t="shared" si="850"/>
        <v/>
      </c>
      <c r="H132" s="580" t="str">
        <f t="shared" si="851"/>
        <v/>
      </c>
      <c r="I132" s="572" t="str">
        <f t="shared" si="852"/>
        <v/>
      </c>
      <c r="J132" s="483" t="str">
        <f t="shared" si="853"/>
        <v/>
      </c>
      <c r="K132" s="806" t="str">
        <f t="shared" si="854"/>
        <v/>
      </c>
      <c r="L132" s="309"/>
      <c r="M132" s="492" t="str">
        <f t="shared" si="737"/>
        <v/>
      </c>
      <c r="N132" s="581" t="str">
        <f t="shared" si="738"/>
        <v/>
      </c>
      <c r="O132" s="582" t="str">
        <f t="shared" si="739"/>
        <v/>
      </c>
      <c r="P132" s="583" t="str">
        <f t="shared" si="740"/>
        <v/>
      </c>
      <c r="Q132" s="536" t="str">
        <f t="shared" si="856"/>
        <v/>
      </c>
      <c r="R132" s="582" t="str">
        <f t="shared" si="857"/>
        <v/>
      </c>
      <c r="S132" s="584" t="str">
        <f t="shared" si="858"/>
        <v/>
      </c>
      <c r="T132" s="585" t="str">
        <f t="shared" si="859"/>
        <v/>
      </c>
      <c r="U132" s="582" t="str">
        <f t="shared" si="860"/>
        <v/>
      </c>
      <c r="V132" s="586" t="str">
        <f t="shared" si="861"/>
        <v/>
      </c>
      <c r="W132" s="536" t="str">
        <f t="shared" si="862"/>
        <v/>
      </c>
      <c r="X132" s="582" t="str">
        <f t="shared" si="863"/>
        <v/>
      </c>
      <c r="Y132" s="587" t="str">
        <f t="shared" si="864"/>
        <v/>
      </c>
      <c r="Z132" s="581" t="str">
        <f t="shared" si="741"/>
        <v/>
      </c>
      <c r="AA132" s="582" t="str">
        <f t="shared" si="742"/>
        <v/>
      </c>
      <c r="AB132" s="582" t="str">
        <f t="shared" si="743"/>
        <v/>
      </c>
      <c r="AC132" s="586" t="str">
        <f t="shared" si="865"/>
        <v/>
      </c>
      <c r="AD132" s="588" t="str">
        <f t="shared" si="866"/>
        <v/>
      </c>
      <c r="AE132" s="582" t="str">
        <f t="shared" si="867"/>
        <v/>
      </c>
      <c r="AF132" s="583" t="str">
        <f t="shared" si="868"/>
        <v/>
      </c>
      <c r="AG132" s="547" t="str">
        <f t="shared" si="869"/>
        <v/>
      </c>
      <c r="AH132" s="548" t="str">
        <f t="shared" si="870"/>
        <v/>
      </c>
      <c r="AI132" s="536" t="str">
        <f t="shared" si="871"/>
        <v/>
      </c>
      <c r="AJ132" s="537" t="str">
        <f t="shared" si="872"/>
        <v/>
      </c>
      <c r="AK132" s="585" t="str">
        <f t="shared" si="873"/>
        <v/>
      </c>
      <c r="AL132" s="582" t="str">
        <f t="shared" si="874"/>
        <v/>
      </c>
      <c r="AM132" s="584" t="str">
        <f t="shared" si="875"/>
        <v/>
      </c>
      <c r="AN132" s="534" t="str">
        <f t="shared" si="876"/>
        <v/>
      </c>
      <c r="AO132" s="535" t="str">
        <f t="shared" si="855"/>
        <v/>
      </c>
      <c r="AP132" s="536" t="str">
        <f t="shared" si="877"/>
        <v/>
      </c>
      <c r="AQ132" s="537" t="str">
        <f t="shared" si="744"/>
        <v/>
      </c>
      <c r="AS132" s="933" t="str">
        <f t="shared" si="842"/>
        <v/>
      </c>
      <c r="AT132" s="929" t="str">
        <f t="shared" si="745"/>
        <v/>
      </c>
      <c r="AU132" s="418"/>
      <c r="AV132" s="164" t="str">
        <f t="shared" si="746"/>
        <v/>
      </c>
      <c r="AW132" s="832" t="str">
        <f>IFERROR(INDEX(MassProp!C$9:C$150,MATCH($M132,MassProp!$B$9:$B$150,0)),"")</f>
        <v/>
      </c>
      <c r="AX132" s="833" t="str">
        <f>IFERROR(INDEX(MassProp!D$9:D$150,MATCH($M132,MassProp!$B$9:$B$150,0)),"")</f>
        <v/>
      </c>
      <c r="AY132" s="834" t="str">
        <f>IFERROR(INDEX(MassProp!E$9:E$150,MATCH($M132,MassProp!$B$9:$B$150,0)),"")</f>
        <v/>
      </c>
      <c r="AZ132" s="297" t="str">
        <f t="shared" si="878"/>
        <v/>
      </c>
      <c r="BA132" s="505" t="str">
        <f t="shared" si="879"/>
        <v/>
      </c>
      <c r="BB132" s="506" t="str">
        <f t="shared" si="610"/>
        <v/>
      </c>
      <c r="BC132" s="496"/>
      <c r="BD132" s="494" t="str">
        <f t="shared" si="880"/>
        <v/>
      </c>
      <c r="BE132" s="497" t="str">
        <f t="shared" si="748"/>
        <v/>
      </c>
      <c r="BF132" s="498" t="str">
        <f t="shared" si="749"/>
        <v/>
      </c>
      <c r="BG132" s="494" t="str">
        <f t="shared" si="750"/>
        <v/>
      </c>
      <c r="BH132" s="495" t="str">
        <f t="shared" si="751"/>
        <v/>
      </c>
      <c r="BI132" s="496" t="str">
        <f t="shared" si="881"/>
        <v/>
      </c>
      <c r="BJ132" s="494" t="str">
        <f t="shared" si="752"/>
        <v/>
      </c>
      <c r="BK132" s="499" t="str">
        <f t="shared" si="753"/>
        <v/>
      </c>
      <c r="BL132" s="502" t="str">
        <f t="shared" si="754"/>
        <v/>
      </c>
      <c r="BM132" s="494" t="str">
        <f t="shared" si="755"/>
        <v/>
      </c>
      <c r="BN132" s="497" t="str">
        <f t="shared" si="756"/>
        <v/>
      </c>
      <c r="BO132" s="498" t="str">
        <f t="shared" si="882"/>
        <v/>
      </c>
      <c r="BP132" s="494" t="str">
        <f t="shared" si="734"/>
        <v/>
      </c>
      <c r="BQ132" s="494" t="str">
        <f t="shared" si="883"/>
        <v/>
      </c>
      <c r="BR132" s="497" t="str">
        <f t="shared" si="884"/>
        <v/>
      </c>
      <c r="BS132" s="498" t="str">
        <f t="shared" si="839"/>
        <v/>
      </c>
      <c r="BT132" s="494" t="str">
        <f t="shared" si="839"/>
        <v/>
      </c>
      <c r="BU132" s="495" t="str">
        <f t="shared" si="613"/>
        <v/>
      </c>
      <c r="BV132" s="496" t="str">
        <f t="shared" si="614"/>
        <v/>
      </c>
      <c r="BW132" s="494" t="str">
        <f t="shared" si="615"/>
        <v/>
      </c>
      <c r="BX132" s="499" t="str">
        <f t="shared" si="616"/>
        <v/>
      </c>
      <c r="BY132" s="502" t="str">
        <f t="shared" si="617"/>
        <v/>
      </c>
      <c r="BZ132" s="494" t="str">
        <f t="shared" si="618"/>
        <v/>
      </c>
      <c r="CA132" s="497" t="str">
        <f t="shared" si="619"/>
        <v/>
      </c>
      <c r="CB132" s="498" t="str">
        <f t="shared" si="885"/>
        <v/>
      </c>
      <c r="CC132" s="494" t="str">
        <f t="shared" si="886"/>
        <v/>
      </c>
      <c r="CD132" s="494" t="str">
        <f t="shared" si="887"/>
        <v/>
      </c>
      <c r="CE132" s="497" t="str">
        <f t="shared" si="888"/>
        <v/>
      </c>
      <c r="CF132" s="498" t="str">
        <f t="shared" si="889"/>
        <v/>
      </c>
      <c r="CG132" s="494" t="str">
        <f t="shared" si="890"/>
        <v/>
      </c>
      <c r="CH132" s="494" t="str">
        <f t="shared" si="891"/>
        <v/>
      </c>
      <c r="CI132" s="498" t="str">
        <f t="shared" si="620"/>
        <v/>
      </c>
      <c r="CJ132" s="494" t="str">
        <f t="shared" si="892"/>
        <v/>
      </c>
      <c r="CK132" s="499" t="str">
        <f t="shared" si="893"/>
        <v/>
      </c>
      <c r="CL132" s="502" t="str">
        <f t="shared" si="894"/>
        <v/>
      </c>
      <c r="CM132" s="494" t="str">
        <f t="shared" si="895"/>
        <v/>
      </c>
      <c r="CN132" s="497" t="str">
        <f t="shared" si="896"/>
        <v/>
      </c>
      <c r="CO132" s="507" t="str">
        <f t="shared" si="757"/>
        <v/>
      </c>
      <c r="CP132" s="498" t="str">
        <f t="shared" si="897"/>
        <v/>
      </c>
      <c r="CQ132" s="494" t="str">
        <f t="shared" si="898"/>
        <v/>
      </c>
      <c r="CR132" s="494" t="str">
        <f t="shared" si="899"/>
        <v/>
      </c>
      <c r="CS132" s="499" t="str">
        <f t="shared" si="900"/>
        <v/>
      </c>
      <c r="CT132" s="496" t="str">
        <f t="shared" si="901"/>
        <v/>
      </c>
      <c r="CU132" s="497" t="str">
        <f t="shared" si="902"/>
        <v/>
      </c>
      <c r="CV132" s="498" t="str">
        <f t="shared" si="903"/>
        <v/>
      </c>
      <c r="CW132" s="494" t="str">
        <f t="shared" si="904"/>
        <v/>
      </c>
      <c r="CX132" s="499" t="str">
        <f t="shared" si="905"/>
        <v/>
      </c>
      <c r="CY132" s="496" t="str">
        <f t="shared" si="906"/>
        <v/>
      </c>
      <c r="CZ132" s="494" t="str">
        <f t="shared" si="907"/>
        <v/>
      </c>
      <c r="DA132" s="497" t="str">
        <f t="shared" si="908"/>
        <v/>
      </c>
      <c r="DB132" s="498" t="str">
        <f t="shared" si="843"/>
        <v/>
      </c>
      <c r="DC132" s="494" t="str">
        <f t="shared" si="843"/>
        <v/>
      </c>
      <c r="DD132" s="495" t="str">
        <f t="shared" si="658"/>
        <v/>
      </c>
      <c r="DE132" s="496" t="str">
        <f t="shared" si="844"/>
        <v/>
      </c>
      <c r="DF132" s="494" t="str">
        <f t="shared" si="844"/>
        <v/>
      </c>
      <c r="DG132" s="495" t="str">
        <f t="shared" si="660"/>
        <v/>
      </c>
      <c r="DH132" s="501" t="str">
        <f t="shared" si="909"/>
        <v/>
      </c>
      <c r="DI132" s="498" t="str">
        <f t="shared" si="910"/>
        <v/>
      </c>
      <c r="DJ132" s="494" t="str">
        <f t="shared" si="911"/>
        <v/>
      </c>
      <c r="DK132" s="495" t="str">
        <f t="shared" si="912"/>
        <v/>
      </c>
      <c r="DL132" s="496" t="str">
        <f t="shared" si="913"/>
        <v/>
      </c>
      <c r="DM132" s="502" t="str">
        <f t="shared" si="914"/>
        <v/>
      </c>
      <c r="DN132" s="508" t="str">
        <f t="shared" si="915"/>
        <v/>
      </c>
      <c r="DO132" s="496" t="str">
        <f t="shared" si="916"/>
        <v/>
      </c>
      <c r="DP132" s="502" t="str">
        <f t="shared" si="917"/>
        <v/>
      </c>
      <c r="DQ132" s="503" t="str">
        <f t="shared" si="918"/>
        <v/>
      </c>
      <c r="DR132" s="502" t="str">
        <f t="shared" si="919"/>
        <v/>
      </c>
      <c r="DS132" s="494" t="str">
        <f t="shared" si="920"/>
        <v/>
      </c>
      <c r="DT132" s="494" t="str">
        <f t="shared" si="921"/>
        <v/>
      </c>
      <c r="DU132" s="494" t="str">
        <f t="shared" si="922"/>
        <v/>
      </c>
      <c r="DV132" s="494" t="str">
        <f t="shared" si="923"/>
        <v/>
      </c>
      <c r="DW132" s="494" t="str">
        <f t="shared" si="924"/>
        <v/>
      </c>
      <c r="DX132" s="507" t="str">
        <f t="shared" si="925"/>
        <v/>
      </c>
      <c r="DY132" s="496" t="str">
        <f t="shared" si="926"/>
        <v/>
      </c>
      <c r="DZ132" s="494" t="str">
        <f t="shared" si="927"/>
        <v/>
      </c>
      <c r="EA132" s="495" t="str">
        <f t="shared" si="928"/>
        <v/>
      </c>
      <c r="EB132" s="497" t="str">
        <f t="shared" si="929"/>
        <v/>
      </c>
      <c r="EC132" s="502" t="str">
        <f t="shared" si="930"/>
        <v/>
      </c>
      <c r="ED132" s="494" t="str">
        <f t="shared" si="931"/>
        <v/>
      </c>
      <c r="EE132" s="498" t="str">
        <f t="shared" si="932"/>
        <v/>
      </c>
      <c r="EF132" s="494" t="str">
        <f t="shared" si="933"/>
        <v/>
      </c>
      <c r="EG132" s="495" t="str">
        <f t="shared" si="934"/>
        <v/>
      </c>
      <c r="EH132" s="496" t="str">
        <f t="shared" si="935"/>
        <v/>
      </c>
      <c r="EI132" s="494" t="str">
        <f t="shared" si="936"/>
        <v/>
      </c>
      <c r="EJ132" s="497" t="str">
        <f t="shared" si="937"/>
        <v/>
      </c>
      <c r="EK132" s="509" t="str">
        <f t="shared" si="690"/>
        <v/>
      </c>
      <c r="EL132" s="510" t="str">
        <f t="shared" si="691"/>
        <v/>
      </c>
      <c r="EM132" s="498" t="str">
        <f t="shared" si="938"/>
        <v/>
      </c>
      <c r="EN132" s="494" t="str">
        <f t="shared" si="939"/>
        <v/>
      </c>
      <c r="EO132" s="495" t="str">
        <f t="shared" si="940"/>
        <v/>
      </c>
      <c r="EP132" s="496" t="str">
        <f t="shared" si="941"/>
        <v/>
      </c>
      <c r="EQ132" s="494" t="str">
        <f t="shared" si="942"/>
        <v/>
      </c>
      <c r="ER132" s="500" t="str">
        <f t="shared" si="943"/>
        <v/>
      </c>
      <c r="ES132" s="493" t="str">
        <f t="shared" si="758"/>
        <v/>
      </c>
      <c r="ET132" s="494" t="str">
        <f t="shared" si="759"/>
        <v/>
      </c>
      <c r="EU132" s="495" t="str">
        <f t="shared" si="760"/>
        <v/>
      </c>
      <c r="EV132" s="174" t="str">
        <f t="shared" si="944"/>
        <v/>
      </c>
      <c r="EW132" s="496" t="str">
        <f t="shared" si="945"/>
        <v/>
      </c>
      <c r="EX132" s="494" t="str">
        <f t="shared" si="946"/>
        <v/>
      </c>
      <c r="EY132" s="497" t="str">
        <f t="shared" si="947"/>
        <v/>
      </c>
      <c r="EZ132" s="504" t="str">
        <f t="shared" si="699"/>
        <v/>
      </c>
      <c r="FA132" s="502" t="str">
        <f t="shared" si="764"/>
        <v/>
      </c>
      <c r="FB132" s="494" t="str">
        <f t="shared" si="765"/>
        <v/>
      </c>
      <c r="FC132" s="497" t="str">
        <f t="shared" si="766"/>
        <v/>
      </c>
      <c r="FD132" s="498" t="str">
        <f t="shared" si="948"/>
        <v/>
      </c>
      <c r="FE132" s="494" t="str">
        <f t="shared" si="949"/>
        <v/>
      </c>
      <c r="FF132" s="500" t="str">
        <f t="shared" si="950"/>
        <v/>
      </c>
      <c r="FG132" s="173" t="str">
        <f t="shared" si="951"/>
        <v/>
      </c>
      <c r="FH132" s="5" t="str">
        <f t="shared" si="952"/>
        <v/>
      </c>
      <c r="FI132" s="10" t="str">
        <f t="shared" si="953"/>
        <v/>
      </c>
      <c r="FJ132" s="279" t="str">
        <f t="shared" si="954"/>
        <v/>
      </c>
      <c r="FK132" s="4" t="str">
        <f t="shared" si="955"/>
        <v/>
      </c>
      <c r="FL132" s="5" t="str">
        <f t="shared" si="956"/>
        <v/>
      </c>
      <c r="FM132" s="8" t="str">
        <f t="shared" si="957"/>
        <v/>
      </c>
      <c r="FN132" s="9" t="str">
        <f t="shared" si="958"/>
        <v/>
      </c>
      <c r="FO132" s="10" t="str">
        <f t="shared" si="959"/>
        <v/>
      </c>
      <c r="FP132" s="277" t="str">
        <f t="shared" si="960"/>
        <v/>
      </c>
      <c r="FQ132" s="173" t="str">
        <f t="shared" si="961"/>
        <v/>
      </c>
      <c r="FR132" s="10" t="str">
        <f t="shared" si="962"/>
        <v/>
      </c>
      <c r="FS132" s="9" t="str">
        <f t="shared" si="963"/>
        <v/>
      </c>
      <c r="FT132" s="6" t="str">
        <f t="shared" si="964"/>
        <v/>
      </c>
      <c r="FU132" s="4" t="str">
        <f t="shared" si="965"/>
        <v/>
      </c>
      <c r="FV132" s="5" t="str">
        <f t="shared" si="966"/>
        <v/>
      </c>
      <c r="FW132" s="8" t="str">
        <f t="shared" si="967"/>
        <v/>
      </c>
      <c r="FX132" s="9" t="str">
        <f t="shared" si="968"/>
        <v/>
      </c>
      <c r="FY132" s="10" t="str">
        <f t="shared" si="969"/>
        <v/>
      </c>
      <c r="FZ132" s="277" t="str">
        <f t="shared" si="970"/>
        <v/>
      </c>
      <c r="GA132" s="177" t="str">
        <f t="shared" si="971"/>
        <v/>
      </c>
      <c r="GB132" s="4" t="str">
        <f t="shared" si="972"/>
        <v/>
      </c>
      <c r="GC132" s="5" t="str">
        <f t="shared" si="973"/>
        <v/>
      </c>
      <c r="GD132" s="10" t="str">
        <f t="shared" si="974"/>
        <v/>
      </c>
      <c r="GE132" s="311" t="str">
        <f t="shared" si="975"/>
        <v/>
      </c>
      <c r="GF132" s="341" t="str">
        <f t="shared" si="976"/>
        <v/>
      </c>
      <c r="GG132" s="306" t="str">
        <f t="shared" si="977"/>
        <v/>
      </c>
      <c r="GH132" s="307" t="str">
        <f t="shared" si="978"/>
        <v/>
      </c>
      <c r="GI132" s="308" t="str">
        <f t="shared" si="979"/>
        <v/>
      </c>
      <c r="GJ132" s="167" t="str">
        <f t="shared" si="980"/>
        <v/>
      </c>
      <c r="GK132" s="174" t="str">
        <f t="shared" si="778"/>
        <v/>
      </c>
      <c r="GL132" s="174" t="str">
        <f t="shared" si="981"/>
        <v/>
      </c>
      <c r="GM132" s="177" t="str">
        <f t="shared" si="982"/>
        <v/>
      </c>
      <c r="GN132" s="280" t="str">
        <f t="shared" si="983"/>
        <v/>
      </c>
      <c r="GO132" s="4" t="str">
        <f t="shared" si="984"/>
        <v/>
      </c>
      <c r="GP132" s="8" t="str">
        <f t="shared" si="985"/>
        <v/>
      </c>
      <c r="GQ132" s="177" t="str">
        <f t="shared" si="986"/>
        <v/>
      </c>
      <c r="GR132" s="371" t="str">
        <f t="shared" si="987"/>
        <v/>
      </c>
      <c r="GS132" s="342" t="str">
        <f t="shared" si="988"/>
        <v/>
      </c>
      <c r="GT132" s="343" t="str">
        <f t="shared" si="989"/>
        <v/>
      </c>
      <c r="GU132" s="344" t="str">
        <f t="shared" si="781"/>
        <v/>
      </c>
      <c r="GV132" s="343" t="str">
        <f t="shared" si="990"/>
        <v/>
      </c>
      <c r="GW132" s="345" t="str">
        <f t="shared" si="782"/>
        <v/>
      </c>
      <c r="GX132" s="346" t="str">
        <f t="shared" si="783"/>
        <v/>
      </c>
      <c r="GY132" s="344" t="str">
        <f t="shared" si="991"/>
        <v/>
      </c>
      <c r="GZ132" s="345" t="str">
        <f t="shared" si="992"/>
        <v/>
      </c>
      <c r="HA132" s="342" t="str">
        <f t="shared" si="786"/>
        <v/>
      </c>
      <c r="HB132" s="5" t="str">
        <f t="shared" si="726"/>
        <v/>
      </c>
      <c r="HC132" s="343" t="str">
        <f t="shared" si="993"/>
        <v/>
      </c>
      <c r="HD132" s="363" t="str">
        <f t="shared" si="994"/>
        <v/>
      </c>
      <c r="HE132" s="344" t="str">
        <f t="shared" si="787"/>
        <v/>
      </c>
      <c r="HF132" s="5" t="str">
        <f t="shared" si="788"/>
        <v/>
      </c>
      <c r="HG132" s="343" t="str">
        <f t="shared" si="995"/>
        <v/>
      </c>
      <c r="HH132" s="349" t="str">
        <f t="shared" si="996"/>
        <v/>
      </c>
      <c r="HI132" s="317" t="str">
        <f t="shared" si="789"/>
        <v/>
      </c>
      <c r="HK132" s="310" t="str">
        <f t="shared" si="840"/>
        <v/>
      </c>
      <c r="HL132" s="348" t="str">
        <f t="shared" si="790"/>
        <v/>
      </c>
      <c r="HM132" s="909" t="str">
        <f t="shared" si="791"/>
        <v/>
      </c>
      <c r="HN132" s="910" t="str">
        <f t="shared" si="792"/>
        <v/>
      </c>
      <c r="HO132" s="911"/>
      <c r="HP132" s="912"/>
      <c r="HQ132" s="910" t="str">
        <f t="shared" si="793"/>
        <v/>
      </c>
      <c r="HR132" s="913" t="str">
        <f t="shared" si="794"/>
        <v/>
      </c>
      <c r="HS132" s="865" t="str">
        <f t="shared" si="997"/>
        <v/>
      </c>
      <c r="HT132" s="875" t="str">
        <f t="shared" si="795"/>
        <v/>
      </c>
      <c r="HU132" s="876" t="str">
        <f t="shared" si="796"/>
        <v/>
      </c>
      <c r="HV132" s="872" t="str">
        <f t="shared" si="797"/>
        <v/>
      </c>
      <c r="HW132" s="866" t="str">
        <f t="shared" si="798"/>
        <v/>
      </c>
      <c r="HX132" s="867" t="str">
        <f t="shared" si="799"/>
        <v/>
      </c>
      <c r="HY132" s="866" t="str">
        <f t="shared" si="800"/>
        <v/>
      </c>
      <c r="HZ132" s="868" t="str">
        <f t="shared" si="801"/>
        <v/>
      </c>
      <c r="IA132" s="869" t="str">
        <f t="shared" si="802"/>
        <v/>
      </c>
      <c r="IB132" s="870" t="str">
        <f t="shared" si="803"/>
        <v/>
      </c>
      <c r="IC132" s="841" t="str">
        <f t="shared" si="804"/>
        <v/>
      </c>
      <c r="ID132" s="351" t="str">
        <f t="shared" si="805"/>
        <v/>
      </c>
      <c r="IE132" s="843" t="str">
        <f t="shared" si="806"/>
        <v/>
      </c>
      <c r="IF132" s="844"/>
      <c r="IG132" s="790" t="str">
        <f>IFERROR(IF($IW132="","",IF($IW132&lt;(((Settings!$C$19/2)*-1)*$IG$8),"Taper","Nose")),"")</f>
        <v/>
      </c>
      <c r="IH132" s="482" t="str">
        <f>IFERROR(IF((((($IY132*COS(RADIANS(180-$JA132)))*COS(RADIANS($JA132)))-(($IZ132*SIN(RADIANS(180-$JA132)))*SIN(RADIANS($JA132))))+$IW132)&lt;(((Settings!$C$19+$IH$8)/2)*-1),"Gage",""),"")</f>
        <v/>
      </c>
      <c r="II132" s="788" t="str">
        <f t="shared" si="731"/>
        <v/>
      </c>
      <c r="IJ132" s="674" t="str" cm="1">
        <f t="array" ref="IJ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K132" s="677" t="str" cm="1">
        <f t="array" ref="IK132">IFERROR(ROUND(VALUE(IF($IJ132&lt;1,$IJ132+LARGE((IF($M$9:$M$150="",0,$M$9:$M$150)-MOD(IF($M$9:$M$150="",0,$M$9:$M$150),1)),1),$IJ132)),4),"")</f>
        <v/>
      </c>
      <c r="IL132" s="482" t="str">
        <f t="shared" si="807"/>
        <v/>
      </c>
      <c r="IM132" s="482" t="str">
        <f t="shared" si="732"/>
        <v/>
      </c>
      <c r="IN132" s="670" t="str">
        <f t="shared" si="808"/>
        <v/>
      </c>
      <c r="IO132" s="702"/>
      <c r="IP132" s="5" t="str">
        <f t="shared" si="809"/>
        <v/>
      </c>
      <c r="IQ132" s="714"/>
      <c r="IR132" s="9" t="str">
        <f t="shared" si="810"/>
        <v/>
      </c>
      <c r="IS132" s="5" t="str">
        <f t="shared" si="811"/>
        <v/>
      </c>
      <c r="IT132" s="5" t="str">
        <f t="shared" si="812"/>
        <v/>
      </c>
      <c r="IU132" s="5" t="str">
        <f t="shared" si="813"/>
        <v/>
      </c>
      <c r="IV132" s="670" t="str">
        <f t="shared" si="814"/>
        <v/>
      </c>
      <c r="IW132" s="9" t="str">
        <f t="shared" si="815"/>
        <v/>
      </c>
      <c r="IX132" s="5" t="str">
        <f t="shared" si="816"/>
        <v/>
      </c>
      <c r="IY132" s="5" t="str">
        <f t="shared" si="817"/>
        <v/>
      </c>
      <c r="IZ132" s="5" t="str">
        <f t="shared" si="818"/>
        <v/>
      </c>
      <c r="JA132" s="705" t="str">
        <f t="shared" si="819"/>
        <v/>
      </c>
    </row>
    <row r="133" spans="1:261" ht="15" customHeight="1" x14ac:dyDescent="0.25">
      <c r="A133" s="75" t="str">
        <f t="shared" si="736"/>
        <v/>
      </c>
      <c r="B133" s="578" t="str">
        <f t="shared" si="845"/>
        <v/>
      </c>
      <c r="C133" s="572" t="str">
        <f t="shared" si="846"/>
        <v/>
      </c>
      <c r="D133" s="576" t="str">
        <f t="shared" si="847"/>
        <v/>
      </c>
      <c r="E133" s="580" t="str">
        <f t="shared" si="848"/>
        <v/>
      </c>
      <c r="F133" s="572" t="str">
        <f t="shared" si="849"/>
        <v/>
      </c>
      <c r="G133" s="579" t="str">
        <f t="shared" si="850"/>
        <v/>
      </c>
      <c r="H133" s="580" t="str">
        <f t="shared" si="851"/>
        <v/>
      </c>
      <c r="I133" s="572" t="str">
        <f t="shared" si="852"/>
        <v/>
      </c>
      <c r="J133" s="483" t="str">
        <f t="shared" si="853"/>
        <v/>
      </c>
      <c r="K133" s="806" t="str">
        <f t="shared" si="854"/>
        <v/>
      </c>
      <c r="L133" s="309"/>
      <c r="M133" s="492" t="str">
        <f t="shared" si="737"/>
        <v/>
      </c>
      <c r="N133" s="581" t="str">
        <f t="shared" si="738"/>
        <v/>
      </c>
      <c r="O133" s="582" t="str">
        <f t="shared" si="739"/>
        <v/>
      </c>
      <c r="P133" s="583" t="str">
        <f t="shared" si="740"/>
        <v/>
      </c>
      <c r="Q133" s="536" t="str">
        <f t="shared" si="856"/>
        <v/>
      </c>
      <c r="R133" s="582" t="str">
        <f t="shared" si="857"/>
        <v/>
      </c>
      <c r="S133" s="584" t="str">
        <f t="shared" si="858"/>
        <v/>
      </c>
      <c r="T133" s="585" t="str">
        <f t="shared" si="859"/>
        <v/>
      </c>
      <c r="U133" s="582" t="str">
        <f t="shared" si="860"/>
        <v/>
      </c>
      <c r="V133" s="586" t="str">
        <f t="shared" si="861"/>
        <v/>
      </c>
      <c r="W133" s="536" t="str">
        <f t="shared" si="862"/>
        <v/>
      </c>
      <c r="X133" s="582" t="str">
        <f t="shared" si="863"/>
        <v/>
      </c>
      <c r="Y133" s="587" t="str">
        <f t="shared" si="864"/>
        <v/>
      </c>
      <c r="Z133" s="581" t="str">
        <f t="shared" si="741"/>
        <v/>
      </c>
      <c r="AA133" s="582" t="str">
        <f t="shared" si="742"/>
        <v/>
      </c>
      <c r="AB133" s="582" t="str">
        <f t="shared" si="743"/>
        <v/>
      </c>
      <c r="AC133" s="586" t="str">
        <f t="shared" si="865"/>
        <v/>
      </c>
      <c r="AD133" s="588" t="str">
        <f t="shared" si="866"/>
        <v/>
      </c>
      <c r="AE133" s="582" t="str">
        <f t="shared" si="867"/>
        <v/>
      </c>
      <c r="AF133" s="583" t="str">
        <f t="shared" si="868"/>
        <v/>
      </c>
      <c r="AG133" s="547" t="str">
        <f t="shared" si="869"/>
        <v/>
      </c>
      <c r="AH133" s="548" t="str">
        <f t="shared" si="870"/>
        <v/>
      </c>
      <c r="AI133" s="536" t="str">
        <f t="shared" si="871"/>
        <v/>
      </c>
      <c r="AJ133" s="537" t="str">
        <f t="shared" si="872"/>
        <v/>
      </c>
      <c r="AK133" s="585" t="str">
        <f t="shared" si="873"/>
        <v/>
      </c>
      <c r="AL133" s="582" t="str">
        <f t="shared" si="874"/>
        <v/>
      </c>
      <c r="AM133" s="584" t="str">
        <f t="shared" si="875"/>
        <v/>
      </c>
      <c r="AN133" s="534" t="str">
        <f t="shared" si="876"/>
        <v/>
      </c>
      <c r="AO133" s="535" t="str">
        <f t="shared" si="855"/>
        <v/>
      </c>
      <c r="AP133" s="536" t="str">
        <f t="shared" si="877"/>
        <v/>
      </c>
      <c r="AQ133" s="537" t="str">
        <f t="shared" si="744"/>
        <v/>
      </c>
      <c r="AS133" s="933" t="str">
        <f t="shared" si="842"/>
        <v/>
      </c>
      <c r="AT133" s="929" t="str">
        <f t="shared" si="745"/>
        <v/>
      </c>
      <c r="AU133" s="418"/>
      <c r="AV133" s="164" t="str">
        <f t="shared" si="746"/>
        <v/>
      </c>
      <c r="AW133" s="832" t="str">
        <f>IFERROR(INDEX(MassProp!C$9:C$150,MATCH($M133,MassProp!$B$9:$B$150,0)),"")</f>
        <v/>
      </c>
      <c r="AX133" s="833" t="str">
        <f>IFERROR(INDEX(MassProp!D$9:D$150,MATCH($M133,MassProp!$B$9:$B$150,0)),"")</f>
        <v/>
      </c>
      <c r="AY133" s="834" t="str">
        <f>IFERROR(INDEX(MassProp!E$9:E$150,MATCH($M133,MassProp!$B$9:$B$150,0)),"")</f>
        <v/>
      </c>
      <c r="AZ133" s="297" t="str">
        <f t="shared" si="878"/>
        <v/>
      </c>
      <c r="BA133" s="505" t="str">
        <f t="shared" si="879"/>
        <v/>
      </c>
      <c r="BB133" s="506" t="str">
        <f t="shared" si="610"/>
        <v/>
      </c>
      <c r="BC133" s="496"/>
      <c r="BD133" s="494" t="str">
        <f t="shared" si="880"/>
        <v/>
      </c>
      <c r="BE133" s="497" t="str">
        <f t="shared" si="748"/>
        <v/>
      </c>
      <c r="BF133" s="498" t="str">
        <f t="shared" si="749"/>
        <v/>
      </c>
      <c r="BG133" s="494" t="str">
        <f t="shared" si="750"/>
        <v/>
      </c>
      <c r="BH133" s="495" t="str">
        <f t="shared" si="751"/>
        <v/>
      </c>
      <c r="BI133" s="496" t="str">
        <f t="shared" si="881"/>
        <v/>
      </c>
      <c r="BJ133" s="494" t="str">
        <f t="shared" si="752"/>
        <v/>
      </c>
      <c r="BK133" s="499" t="str">
        <f t="shared" si="753"/>
        <v/>
      </c>
      <c r="BL133" s="502" t="str">
        <f t="shared" si="754"/>
        <v/>
      </c>
      <c r="BM133" s="494" t="str">
        <f t="shared" si="755"/>
        <v/>
      </c>
      <c r="BN133" s="497" t="str">
        <f t="shared" si="756"/>
        <v/>
      </c>
      <c r="BO133" s="498" t="str">
        <f t="shared" si="882"/>
        <v/>
      </c>
      <c r="BP133" s="494" t="str">
        <f t="shared" si="734"/>
        <v/>
      </c>
      <c r="BQ133" s="494" t="str">
        <f t="shared" si="883"/>
        <v/>
      </c>
      <c r="BR133" s="497" t="str">
        <f t="shared" si="884"/>
        <v/>
      </c>
      <c r="BS133" s="498" t="str">
        <f t="shared" si="839"/>
        <v/>
      </c>
      <c r="BT133" s="494" t="str">
        <f t="shared" si="839"/>
        <v/>
      </c>
      <c r="BU133" s="495" t="str">
        <f t="shared" si="613"/>
        <v/>
      </c>
      <c r="BV133" s="496" t="str">
        <f t="shared" si="614"/>
        <v/>
      </c>
      <c r="BW133" s="494" t="str">
        <f t="shared" si="615"/>
        <v/>
      </c>
      <c r="BX133" s="499" t="str">
        <f t="shared" si="616"/>
        <v/>
      </c>
      <c r="BY133" s="502" t="str">
        <f t="shared" si="617"/>
        <v/>
      </c>
      <c r="BZ133" s="494" t="str">
        <f t="shared" si="618"/>
        <v/>
      </c>
      <c r="CA133" s="497" t="str">
        <f t="shared" si="619"/>
        <v/>
      </c>
      <c r="CB133" s="498" t="str">
        <f t="shared" si="885"/>
        <v/>
      </c>
      <c r="CC133" s="494" t="str">
        <f t="shared" si="886"/>
        <v/>
      </c>
      <c r="CD133" s="494" t="str">
        <f t="shared" si="887"/>
        <v/>
      </c>
      <c r="CE133" s="497" t="str">
        <f t="shared" si="888"/>
        <v/>
      </c>
      <c r="CF133" s="498" t="str">
        <f t="shared" si="889"/>
        <v/>
      </c>
      <c r="CG133" s="494" t="str">
        <f t="shared" si="890"/>
        <v/>
      </c>
      <c r="CH133" s="494" t="str">
        <f t="shared" si="891"/>
        <v/>
      </c>
      <c r="CI133" s="498" t="str">
        <f t="shared" si="620"/>
        <v/>
      </c>
      <c r="CJ133" s="494" t="str">
        <f t="shared" si="892"/>
        <v/>
      </c>
      <c r="CK133" s="499" t="str">
        <f t="shared" si="893"/>
        <v/>
      </c>
      <c r="CL133" s="502" t="str">
        <f t="shared" si="894"/>
        <v/>
      </c>
      <c r="CM133" s="494" t="str">
        <f t="shared" si="895"/>
        <v/>
      </c>
      <c r="CN133" s="497" t="str">
        <f t="shared" si="896"/>
        <v/>
      </c>
      <c r="CO133" s="507" t="str">
        <f t="shared" si="757"/>
        <v/>
      </c>
      <c r="CP133" s="498" t="str">
        <f t="shared" si="897"/>
        <v/>
      </c>
      <c r="CQ133" s="494" t="str">
        <f t="shared" si="898"/>
        <v/>
      </c>
      <c r="CR133" s="494" t="str">
        <f t="shared" si="899"/>
        <v/>
      </c>
      <c r="CS133" s="499" t="str">
        <f t="shared" si="900"/>
        <v/>
      </c>
      <c r="CT133" s="496" t="str">
        <f t="shared" si="901"/>
        <v/>
      </c>
      <c r="CU133" s="497" t="str">
        <f t="shared" si="902"/>
        <v/>
      </c>
      <c r="CV133" s="498" t="str">
        <f t="shared" si="903"/>
        <v/>
      </c>
      <c r="CW133" s="494" t="str">
        <f t="shared" si="904"/>
        <v/>
      </c>
      <c r="CX133" s="499" t="str">
        <f t="shared" si="905"/>
        <v/>
      </c>
      <c r="CY133" s="496" t="str">
        <f t="shared" si="906"/>
        <v/>
      </c>
      <c r="CZ133" s="494" t="str">
        <f t="shared" si="907"/>
        <v/>
      </c>
      <c r="DA133" s="497" t="str">
        <f t="shared" si="908"/>
        <v/>
      </c>
      <c r="DB133" s="498" t="str">
        <f t="shared" si="843"/>
        <v/>
      </c>
      <c r="DC133" s="494" t="str">
        <f t="shared" si="843"/>
        <v/>
      </c>
      <c r="DD133" s="495" t="str">
        <f t="shared" si="658"/>
        <v/>
      </c>
      <c r="DE133" s="496" t="str">
        <f t="shared" si="844"/>
        <v/>
      </c>
      <c r="DF133" s="494" t="str">
        <f t="shared" si="844"/>
        <v/>
      </c>
      <c r="DG133" s="495" t="str">
        <f t="shared" si="660"/>
        <v/>
      </c>
      <c r="DH133" s="501" t="str">
        <f t="shared" si="909"/>
        <v/>
      </c>
      <c r="DI133" s="498" t="str">
        <f t="shared" si="910"/>
        <v/>
      </c>
      <c r="DJ133" s="494" t="str">
        <f t="shared" si="911"/>
        <v/>
      </c>
      <c r="DK133" s="495" t="str">
        <f t="shared" si="912"/>
        <v/>
      </c>
      <c r="DL133" s="496" t="str">
        <f t="shared" si="913"/>
        <v/>
      </c>
      <c r="DM133" s="502" t="str">
        <f t="shared" si="914"/>
        <v/>
      </c>
      <c r="DN133" s="508" t="str">
        <f t="shared" si="915"/>
        <v/>
      </c>
      <c r="DO133" s="496" t="str">
        <f t="shared" si="916"/>
        <v/>
      </c>
      <c r="DP133" s="502" t="str">
        <f t="shared" si="917"/>
        <v/>
      </c>
      <c r="DQ133" s="503" t="str">
        <f t="shared" si="918"/>
        <v/>
      </c>
      <c r="DR133" s="502" t="str">
        <f t="shared" si="919"/>
        <v/>
      </c>
      <c r="DS133" s="494" t="str">
        <f t="shared" si="920"/>
        <v/>
      </c>
      <c r="DT133" s="494" t="str">
        <f t="shared" si="921"/>
        <v/>
      </c>
      <c r="DU133" s="494" t="str">
        <f t="shared" si="922"/>
        <v/>
      </c>
      <c r="DV133" s="494" t="str">
        <f t="shared" si="923"/>
        <v/>
      </c>
      <c r="DW133" s="494" t="str">
        <f t="shared" si="924"/>
        <v/>
      </c>
      <c r="DX133" s="507" t="str">
        <f t="shared" si="925"/>
        <v/>
      </c>
      <c r="DY133" s="496" t="str">
        <f t="shared" si="926"/>
        <v/>
      </c>
      <c r="DZ133" s="494" t="str">
        <f t="shared" si="927"/>
        <v/>
      </c>
      <c r="EA133" s="495" t="str">
        <f t="shared" si="928"/>
        <v/>
      </c>
      <c r="EB133" s="497" t="str">
        <f t="shared" si="929"/>
        <v/>
      </c>
      <c r="EC133" s="502" t="str">
        <f t="shared" si="930"/>
        <v/>
      </c>
      <c r="ED133" s="494" t="str">
        <f t="shared" si="931"/>
        <v/>
      </c>
      <c r="EE133" s="498" t="str">
        <f t="shared" si="932"/>
        <v/>
      </c>
      <c r="EF133" s="494" t="str">
        <f t="shared" si="933"/>
        <v/>
      </c>
      <c r="EG133" s="495" t="str">
        <f t="shared" si="934"/>
        <v/>
      </c>
      <c r="EH133" s="496" t="str">
        <f t="shared" si="935"/>
        <v/>
      </c>
      <c r="EI133" s="494" t="str">
        <f t="shared" si="936"/>
        <v/>
      </c>
      <c r="EJ133" s="497" t="str">
        <f t="shared" si="937"/>
        <v/>
      </c>
      <c r="EK133" s="509" t="str">
        <f t="shared" si="690"/>
        <v/>
      </c>
      <c r="EL133" s="510" t="str">
        <f t="shared" si="691"/>
        <v/>
      </c>
      <c r="EM133" s="498" t="str">
        <f t="shared" si="938"/>
        <v/>
      </c>
      <c r="EN133" s="494" t="str">
        <f t="shared" si="939"/>
        <v/>
      </c>
      <c r="EO133" s="495" t="str">
        <f t="shared" si="940"/>
        <v/>
      </c>
      <c r="EP133" s="496" t="str">
        <f t="shared" si="941"/>
        <v/>
      </c>
      <c r="EQ133" s="494" t="str">
        <f t="shared" si="942"/>
        <v/>
      </c>
      <c r="ER133" s="500" t="str">
        <f t="shared" si="943"/>
        <v/>
      </c>
      <c r="ES133" s="493" t="str">
        <f t="shared" si="758"/>
        <v/>
      </c>
      <c r="ET133" s="494" t="str">
        <f t="shared" si="759"/>
        <v/>
      </c>
      <c r="EU133" s="495" t="str">
        <f t="shared" si="760"/>
        <v/>
      </c>
      <c r="EV133" s="174" t="str">
        <f t="shared" si="944"/>
        <v/>
      </c>
      <c r="EW133" s="496" t="str">
        <f t="shared" si="945"/>
        <v/>
      </c>
      <c r="EX133" s="494" t="str">
        <f t="shared" si="946"/>
        <v/>
      </c>
      <c r="EY133" s="497" t="str">
        <f t="shared" si="947"/>
        <v/>
      </c>
      <c r="EZ133" s="504" t="str">
        <f t="shared" si="699"/>
        <v/>
      </c>
      <c r="FA133" s="502" t="str">
        <f t="shared" si="764"/>
        <v/>
      </c>
      <c r="FB133" s="494" t="str">
        <f t="shared" si="765"/>
        <v/>
      </c>
      <c r="FC133" s="497" t="str">
        <f t="shared" si="766"/>
        <v/>
      </c>
      <c r="FD133" s="498" t="str">
        <f t="shared" si="948"/>
        <v/>
      </c>
      <c r="FE133" s="494" t="str">
        <f t="shared" si="949"/>
        <v/>
      </c>
      <c r="FF133" s="500" t="str">
        <f t="shared" si="950"/>
        <v/>
      </c>
      <c r="FG133" s="173" t="str">
        <f t="shared" si="951"/>
        <v/>
      </c>
      <c r="FH133" s="5" t="str">
        <f t="shared" si="952"/>
        <v/>
      </c>
      <c r="FI133" s="10" t="str">
        <f t="shared" si="953"/>
        <v/>
      </c>
      <c r="FJ133" s="279" t="str">
        <f t="shared" si="954"/>
        <v/>
      </c>
      <c r="FK133" s="4" t="str">
        <f t="shared" si="955"/>
        <v/>
      </c>
      <c r="FL133" s="5" t="str">
        <f t="shared" si="956"/>
        <v/>
      </c>
      <c r="FM133" s="8" t="str">
        <f t="shared" si="957"/>
        <v/>
      </c>
      <c r="FN133" s="9" t="str">
        <f t="shared" si="958"/>
        <v/>
      </c>
      <c r="FO133" s="10" t="str">
        <f t="shared" si="959"/>
        <v/>
      </c>
      <c r="FP133" s="277" t="str">
        <f t="shared" si="960"/>
        <v/>
      </c>
      <c r="FQ133" s="173" t="str">
        <f t="shared" si="961"/>
        <v/>
      </c>
      <c r="FR133" s="10" t="str">
        <f t="shared" si="962"/>
        <v/>
      </c>
      <c r="FS133" s="9" t="str">
        <f t="shared" si="963"/>
        <v/>
      </c>
      <c r="FT133" s="6" t="str">
        <f t="shared" si="964"/>
        <v/>
      </c>
      <c r="FU133" s="4" t="str">
        <f t="shared" si="965"/>
        <v/>
      </c>
      <c r="FV133" s="5" t="str">
        <f t="shared" si="966"/>
        <v/>
      </c>
      <c r="FW133" s="8" t="str">
        <f t="shared" si="967"/>
        <v/>
      </c>
      <c r="FX133" s="9" t="str">
        <f t="shared" si="968"/>
        <v/>
      </c>
      <c r="FY133" s="10" t="str">
        <f t="shared" si="969"/>
        <v/>
      </c>
      <c r="FZ133" s="277" t="str">
        <f t="shared" si="970"/>
        <v/>
      </c>
      <c r="GA133" s="177" t="str">
        <f t="shared" si="971"/>
        <v/>
      </c>
      <c r="GB133" s="4" t="str">
        <f t="shared" si="972"/>
        <v/>
      </c>
      <c r="GC133" s="5" t="str">
        <f t="shared" si="973"/>
        <v/>
      </c>
      <c r="GD133" s="10" t="str">
        <f t="shared" si="974"/>
        <v/>
      </c>
      <c r="GE133" s="311" t="str">
        <f t="shared" si="975"/>
        <v/>
      </c>
      <c r="GF133" s="341" t="str">
        <f t="shared" si="976"/>
        <v/>
      </c>
      <c r="GG133" s="306" t="str">
        <f t="shared" si="977"/>
        <v/>
      </c>
      <c r="GH133" s="307" t="str">
        <f t="shared" si="978"/>
        <v/>
      </c>
      <c r="GI133" s="308" t="str">
        <f t="shared" si="979"/>
        <v/>
      </c>
      <c r="GJ133" s="167" t="str">
        <f t="shared" si="980"/>
        <v/>
      </c>
      <c r="GK133" s="174" t="str">
        <f t="shared" si="778"/>
        <v/>
      </c>
      <c r="GL133" s="174" t="str">
        <f t="shared" si="981"/>
        <v/>
      </c>
      <c r="GM133" s="177" t="str">
        <f t="shared" si="982"/>
        <v/>
      </c>
      <c r="GN133" s="280" t="str">
        <f t="shared" si="983"/>
        <v/>
      </c>
      <c r="GO133" s="4" t="str">
        <f t="shared" si="984"/>
        <v/>
      </c>
      <c r="GP133" s="8" t="str">
        <f t="shared" si="985"/>
        <v/>
      </c>
      <c r="GQ133" s="177" t="str">
        <f t="shared" si="986"/>
        <v/>
      </c>
      <c r="GR133" s="371" t="str">
        <f t="shared" si="987"/>
        <v/>
      </c>
      <c r="GS133" s="342" t="str">
        <f t="shared" si="988"/>
        <v/>
      </c>
      <c r="GT133" s="343" t="str">
        <f t="shared" si="989"/>
        <v/>
      </c>
      <c r="GU133" s="344" t="str">
        <f t="shared" si="781"/>
        <v/>
      </c>
      <c r="GV133" s="343" t="str">
        <f t="shared" si="990"/>
        <v/>
      </c>
      <c r="GW133" s="345" t="str">
        <f t="shared" si="782"/>
        <v/>
      </c>
      <c r="GX133" s="346" t="str">
        <f t="shared" si="783"/>
        <v/>
      </c>
      <c r="GY133" s="344" t="str">
        <f t="shared" si="991"/>
        <v/>
      </c>
      <c r="GZ133" s="345" t="str">
        <f t="shared" si="992"/>
        <v/>
      </c>
      <c r="HA133" s="342" t="str">
        <f t="shared" si="786"/>
        <v/>
      </c>
      <c r="HB133" s="5" t="str">
        <f t="shared" si="726"/>
        <v/>
      </c>
      <c r="HC133" s="343" t="str">
        <f t="shared" si="993"/>
        <v/>
      </c>
      <c r="HD133" s="363" t="str">
        <f t="shared" si="994"/>
        <v/>
      </c>
      <c r="HE133" s="344" t="str">
        <f t="shared" si="787"/>
        <v/>
      </c>
      <c r="HF133" s="5" t="str">
        <f t="shared" si="788"/>
        <v/>
      </c>
      <c r="HG133" s="343" t="str">
        <f t="shared" si="995"/>
        <v/>
      </c>
      <c r="HH133" s="349" t="str">
        <f t="shared" si="996"/>
        <v/>
      </c>
      <c r="HI133" s="317" t="str">
        <f t="shared" si="789"/>
        <v/>
      </c>
      <c r="HK133" s="310" t="str">
        <f t="shared" si="840"/>
        <v/>
      </c>
      <c r="HL133" s="348" t="str">
        <f t="shared" si="790"/>
        <v/>
      </c>
      <c r="HM133" s="909" t="str">
        <f t="shared" si="791"/>
        <v/>
      </c>
      <c r="HN133" s="910" t="str">
        <f t="shared" si="792"/>
        <v/>
      </c>
      <c r="HO133" s="911"/>
      <c r="HP133" s="912"/>
      <c r="HQ133" s="910" t="str">
        <f t="shared" si="793"/>
        <v/>
      </c>
      <c r="HR133" s="913" t="str">
        <f t="shared" si="794"/>
        <v/>
      </c>
      <c r="HS133" s="865" t="str">
        <f t="shared" si="997"/>
        <v/>
      </c>
      <c r="HT133" s="875" t="str">
        <f t="shared" si="795"/>
        <v/>
      </c>
      <c r="HU133" s="876" t="str">
        <f t="shared" si="796"/>
        <v/>
      </c>
      <c r="HV133" s="872" t="str">
        <f t="shared" si="797"/>
        <v/>
      </c>
      <c r="HW133" s="866" t="str">
        <f t="shared" si="798"/>
        <v/>
      </c>
      <c r="HX133" s="867" t="str">
        <f t="shared" si="799"/>
        <v/>
      </c>
      <c r="HY133" s="866" t="str">
        <f t="shared" si="800"/>
        <v/>
      </c>
      <c r="HZ133" s="868" t="str">
        <f t="shared" si="801"/>
        <v/>
      </c>
      <c r="IA133" s="869" t="str">
        <f t="shared" si="802"/>
        <v/>
      </c>
      <c r="IB133" s="870" t="str">
        <f t="shared" si="803"/>
        <v/>
      </c>
      <c r="IC133" s="841" t="str">
        <f t="shared" si="804"/>
        <v/>
      </c>
      <c r="ID133" s="351" t="str">
        <f t="shared" si="805"/>
        <v/>
      </c>
      <c r="IE133" s="843" t="str">
        <f t="shared" si="806"/>
        <v/>
      </c>
      <c r="IF133" s="844"/>
      <c r="IG133" s="790" t="str">
        <f>IFERROR(IF($IW133="","",IF($IW133&lt;(((Settings!$C$19/2)*-1)*$IG$8),"Taper","Nose")),"")</f>
        <v/>
      </c>
      <c r="IH133" s="482" t="str">
        <f>IFERROR(IF((((($IY133*COS(RADIANS(180-$JA133)))*COS(RADIANS($JA133)))-(($IZ133*SIN(RADIANS(180-$JA133)))*SIN(RADIANS($JA133))))+$IW133)&lt;(((Settings!$C$19+$IH$8)/2)*-1),"Gage",""),"")</f>
        <v/>
      </c>
      <c r="II133" s="788" t="str">
        <f t="shared" si="731"/>
        <v/>
      </c>
      <c r="IJ133" s="674" t="str" cm="1">
        <f t="array" ref="IJ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K133" s="677" t="str" cm="1">
        <f t="array" ref="IK133">IFERROR(ROUND(VALUE(IF($IJ133&lt;1,$IJ133+LARGE((IF($M$9:$M$150="",0,$M$9:$M$150)-MOD(IF($M$9:$M$150="",0,$M$9:$M$150),1)),1),$IJ133)),4),"")</f>
        <v/>
      </c>
      <c r="IL133" s="482" t="str">
        <f t="shared" si="807"/>
        <v/>
      </c>
      <c r="IM133" s="482" t="str">
        <f t="shared" si="732"/>
        <v/>
      </c>
      <c r="IN133" s="670" t="str">
        <f t="shared" si="808"/>
        <v/>
      </c>
      <c r="IO133" s="702"/>
      <c r="IP133" s="5" t="str">
        <f t="shared" si="809"/>
        <v/>
      </c>
      <c r="IQ133" s="714"/>
      <c r="IR133" s="9" t="str">
        <f t="shared" si="810"/>
        <v/>
      </c>
      <c r="IS133" s="5" t="str">
        <f t="shared" si="811"/>
        <v/>
      </c>
      <c r="IT133" s="5" t="str">
        <f t="shared" si="812"/>
        <v/>
      </c>
      <c r="IU133" s="5" t="str">
        <f t="shared" si="813"/>
        <v/>
      </c>
      <c r="IV133" s="670" t="str">
        <f t="shared" si="814"/>
        <v/>
      </c>
      <c r="IW133" s="9" t="str">
        <f t="shared" si="815"/>
        <v/>
      </c>
      <c r="IX133" s="5" t="str">
        <f t="shared" si="816"/>
        <v/>
      </c>
      <c r="IY133" s="5" t="str">
        <f t="shared" si="817"/>
        <v/>
      </c>
      <c r="IZ133" s="5" t="str">
        <f t="shared" si="818"/>
        <v/>
      </c>
      <c r="JA133" s="705" t="str">
        <f t="shared" si="819"/>
        <v/>
      </c>
    </row>
    <row r="134" spans="1:261" ht="15" customHeight="1" x14ac:dyDescent="0.25">
      <c r="A134" s="75" t="str">
        <f t="shared" si="736"/>
        <v/>
      </c>
      <c r="B134" s="578" t="str">
        <f t="shared" si="845"/>
        <v/>
      </c>
      <c r="C134" s="572" t="str">
        <f t="shared" si="846"/>
        <v/>
      </c>
      <c r="D134" s="576" t="str">
        <f t="shared" si="847"/>
        <v/>
      </c>
      <c r="E134" s="580" t="str">
        <f t="shared" si="848"/>
        <v/>
      </c>
      <c r="F134" s="572" t="str">
        <f t="shared" si="849"/>
        <v/>
      </c>
      <c r="G134" s="579" t="str">
        <f t="shared" si="850"/>
        <v/>
      </c>
      <c r="H134" s="580" t="str">
        <f t="shared" si="851"/>
        <v/>
      </c>
      <c r="I134" s="572" t="str">
        <f t="shared" si="852"/>
        <v/>
      </c>
      <c r="J134" s="483" t="str">
        <f t="shared" si="853"/>
        <v/>
      </c>
      <c r="K134" s="806" t="str">
        <f t="shared" si="854"/>
        <v/>
      </c>
      <c r="L134" s="309"/>
      <c r="M134" s="492" t="str">
        <f t="shared" si="737"/>
        <v/>
      </c>
      <c r="N134" s="581" t="str">
        <f t="shared" si="738"/>
        <v/>
      </c>
      <c r="O134" s="582" t="str">
        <f t="shared" si="739"/>
        <v/>
      </c>
      <c r="P134" s="583" t="str">
        <f t="shared" si="740"/>
        <v/>
      </c>
      <c r="Q134" s="536" t="str">
        <f t="shared" si="856"/>
        <v/>
      </c>
      <c r="R134" s="582" t="str">
        <f t="shared" si="857"/>
        <v/>
      </c>
      <c r="S134" s="584" t="str">
        <f t="shared" si="858"/>
        <v/>
      </c>
      <c r="T134" s="585" t="str">
        <f t="shared" si="859"/>
        <v/>
      </c>
      <c r="U134" s="582" t="str">
        <f t="shared" si="860"/>
        <v/>
      </c>
      <c r="V134" s="586" t="str">
        <f t="shared" si="861"/>
        <v/>
      </c>
      <c r="W134" s="536" t="str">
        <f t="shared" si="862"/>
        <v/>
      </c>
      <c r="X134" s="582" t="str">
        <f t="shared" si="863"/>
        <v/>
      </c>
      <c r="Y134" s="587" t="str">
        <f t="shared" si="864"/>
        <v/>
      </c>
      <c r="Z134" s="581" t="str">
        <f t="shared" si="741"/>
        <v/>
      </c>
      <c r="AA134" s="582" t="str">
        <f t="shared" si="742"/>
        <v/>
      </c>
      <c r="AB134" s="582" t="str">
        <f t="shared" si="743"/>
        <v/>
      </c>
      <c r="AC134" s="586" t="str">
        <f t="shared" si="865"/>
        <v/>
      </c>
      <c r="AD134" s="588" t="str">
        <f t="shared" si="866"/>
        <v/>
      </c>
      <c r="AE134" s="582" t="str">
        <f t="shared" si="867"/>
        <v/>
      </c>
      <c r="AF134" s="583" t="str">
        <f t="shared" si="868"/>
        <v/>
      </c>
      <c r="AG134" s="547" t="str">
        <f t="shared" si="869"/>
        <v/>
      </c>
      <c r="AH134" s="548" t="str">
        <f t="shared" si="870"/>
        <v/>
      </c>
      <c r="AI134" s="536" t="str">
        <f t="shared" si="871"/>
        <v/>
      </c>
      <c r="AJ134" s="537" t="str">
        <f t="shared" si="872"/>
        <v/>
      </c>
      <c r="AK134" s="585" t="str">
        <f t="shared" si="873"/>
        <v/>
      </c>
      <c r="AL134" s="582" t="str">
        <f t="shared" si="874"/>
        <v/>
      </c>
      <c r="AM134" s="584" t="str">
        <f t="shared" si="875"/>
        <v/>
      </c>
      <c r="AN134" s="534" t="str">
        <f t="shared" si="876"/>
        <v/>
      </c>
      <c r="AO134" s="535" t="str">
        <f t="shared" si="855"/>
        <v/>
      </c>
      <c r="AP134" s="536" t="str">
        <f t="shared" si="877"/>
        <v/>
      </c>
      <c r="AQ134" s="537" t="str">
        <f t="shared" si="744"/>
        <v/>
      </c>
      <c r="AS134" s="933" t="str">
        <f t="shared" si="842"/>
        <v/>
      </c>
      <c r="AT134" s="929" t="str">
        <f t="shared" si="745"/>
        <v/>
      </c>
      <c r="AU134" s="418"/>
      <c r="AV134" s="164" t="str">
        <f t="shared" si="746"/>
        <v/>
      </c>
      <c r="AW134" s="832" t="str">
        <f>IFERROR(INDEX(MassProp!C$9:C$150,MATCH($M134,MassProp!$B$9:$B$150,0)),"")</f>
        <v/>
      </c>
      <c r="AX134" s="833" t="str">
        <f>IFERROR(INDEX(MassProp!D$9:D$150,MATCH($M134,MassProp!$B$9:$B$150,0)),"")</f>
        <v/>
      </c>
      <c r="AY134" s="834" t="str">
        <f>IFERROR(INDEX(MassProp!E$9:E$150,MATCH($M134,MassProp!$B$9:$B$150,0)),"")</f>
        <v/>
      </c>
      <c r="AZ134" s="297" t="str">
        <f t="shared" si="878"/>
        <v/>
      </c>
      <c r="BA134" s="505" t="str">
        <f t="shared" si="879"/>
        <v/>
      </c>
      <c r="BB134" s="506" t="str">
        <f t="shared" si="610"/>
        <v/>
      </c>
      <c r="BC134" s="496"/>
      <c r="BD134" s="494" t="str">
        <f t="shared" si="880"/>
        <v/>
      </c>
      <c r="BE134" s="497" t="str">
        <f t="shared" si="748"/>
        <v/>
      </c>
      <c r="BF134" s="498" t="str">
        <f t="shared" si="749"/>
        <v/>
      </c>
      <c r="BG134" s="494" t="str">
        <f t="shared" si="750"/>
        <v/>
      </c>
      <c r="BH134" s="495" t="str">
        <f t="shared" si="751"/>
        <v/>
      </c>
      <c r="BI134" s="496" t="str">
        <f t="shared" si="881"/>
        <v/>
      </c>
      <c r="BJ134" s="494" t="str">
        <f t="shared" si="752"/>
        <v/>
      </c>
      <c r="BK134" s="499" t="str">
        <f t="shared" si="753"/>
        <v/>
      </c>
      <c r="BL134" s="502" t="str">
        <f t="shared" si="754"/>
        <v/>
      </c>
      <c r="BM134" s="494" t="str">
        <f t="shared" si="755"/>
        <v/>
      </c>
      <c r="BN134" s="497" t="str">
        <f t="shared" si="756"/>
        <v/>
      </c>
      <c r="BO134" s="498" t="str">
        <f t="shared" si="882"/>
        <v/>
      </c>
      <c r="BP134" s="494" t="str">
        <f t="shared" si="734"/>
        <v/>
      </c>
      <c r="BQ134" s="494" t="str">
        <f t="shared" si="883"/>
        <v/>
      </c>
      <c r="BR134" s="497" t="str">
        <f t="shared" si="884"/>
        <v/>
      </c>
      <c r="BS134" s="498" t="str">
        <f t="shared" si="839"/>
        <v/>
      </c>
      <c r="BT134" s="494" t="str">
        <f t="shared" si="839"/>
        <v/>
      </c>
      <c r="BU134" s="495" t="str">
        <f t="shared" si="613"/>
        <v/>
      </c>
      <c r="BV134" s="496" t="str">
        <f t="shared" si="614"/>
        <v/>
      </c>
      <c r="BW134" s="494" t="str">
        <f t="shared" si="615"/>
        <v/>
      </c>
      <c r="BX134" s="499" t="str">
        <f t="shared" si="616"/>
        <v/>
      </c>
      <c r="BY134" s="502" t="str">
        <f t="shared" si="617"/>
        <v/>
      </c>
      <c r="BZ134" s="494" t="str">
        <f t="shared" si="618"/>
        <v/>
      </c>
      <c r="CA134" s="497" t="str">
        <f t="shared" si="619"/>
        <v/>
      </c>
      <c r="CB134" s="498" t="str">
        <f t="shared" si="885"/>
        <v/>
      </c>
      <c r="CC134" s="494" t="str">
        <f t="shared" si="886"/>
        <v/>
      </c>
      <c r="CD134" s="494" t="str">
        <f t="shared" si="887"/>
        <v/>
      </c>
      <c r="CE134" s="497" t="str">
        <f t="shared" si="888"/>
        <v/>
      </c>
      <c r="CF134" s="498" t="str">
        <f t="shared" si="889"/>
        <v/>
      </c>
      <c r="CG134" s="494" t="str">
        <f t="shared" si="890"/>
        <v/>
      </c>
      <c r="CH134" s="494" t="str">
        <f t="shared" si="891"/>
        <v/>
      </c>
      <c r="CI134" s="498" t="str">
        <f t="shared" si="620"/>
        <v/>
      </c>
      <c r="CJ134" s="494" t="str">
        <f t="shared" si="892"/>
        <v/>
      </c>
      <c r="CK134" s="499" t="str">
        <f t="shared" si="893"/>
        <v/>
      </c>
      <c r="CL134" s="502" t="str">
        <f t="shared" si="894"/>
        <v/>
      </c>
      <c r="CM134" s="494" t="str">
        <f t="shared" si="895"/>
        <v/>
      </c>
      <c r="CN134" s="497" t="str">
        <f t="shared" si="896"/>
        <v/>
      </c>
      <c r="CO134" s="507" t="str">
        <f t="shared" si="757"/>
        <v/>
      </c>
      <c r="CP134" s="498" t="str">
        <f t="shared" si="897"/>
        <v/>
      </c>
      <c r="CQ134" s="494" t="str">
        <f t="shared" si="898"/>
        <v/>
      </c>
      <c r="CR134" s="494" t="str">
        <f t="shared" si="899"/>
        <v/>
      </c>
      <c r="CS134" s="499" t="str">
        <f t="shared" si="900"/>
        <v/>
      </c>
      <c r="CT134" s="496" t="str">
        <f t="shared" si="901"/>
        <v/>
      </c>
      <c r="CU134" s="497" t="str">
        <f t="shared" si="902"/>
        <v/>
      </c>
      <c r="CV134" s="498" t="str">
        <f t="shared" si="903"/>
        <v/>
      </c>
      <c r="CW134" s="494" t="str">
        <f t="shared" si="904"/>
        <v/>
      </c>
      <c r="CX134" s="499" t="str">
        <f t="shared" si="905"/>
        <v/>
      </c>
      <c r="CY134" s="496" t="str">
        <f t="shared" si="906"/>
        <v/>
      </c>
      <c r="CZ134" s="494" t="str">
        <f t="shared" si="907"/>
        <v/>
      </c>
      <c r="DA134" s="497" t="str">
        <f t="shared" si="908"/>
        <v/>
      </c>
      <c r="DB134" s="498" t="str">
        <f t="shared" si="843"/>
        <v/>
      </c>
      <c r="DC134" s="494" t="str">
        <f t="shared" si="843"/>
        <v/>
      </c>
      <c r="DD134" s="495" t="str">
        <f t="shared" si="658"/>
        <v/>
      </c>
      <c r="DE134" s="496" t="str">
        <f t="shared" si="844"/>
        <v/>
      </c>
      <c r="DF134" s="494" t="str">
        <f t="shared" si="844"/>
        <v/>
      </c>
      <c r="DG134" s="495" t="str">
        <f t="shared" si="660"/>
        <v/>
      </c>
      <c r="DH134" s="501" t="str">
        <f t="shared" si="909"/>
        <v/>
      </c>
      <c r="DI134" s="498" t="str">
        <f t="shared" si="910"/>
        <v/>
      </c>
      <c r="DJ134" s="494" t="str">
        <f t="shared" si="911"/>
        <v/>
      </c>
      <c r="DK134" s="495" t="str">
        <f t="shared" si="912"/>
        <v/>
      </c>
      <c r="DL134" s="496" t="str">
        <f t="shared" si="913"/>
        <v/>
      </c>
      <c r="DM134" s="502" t="str">
        <f t="shared" si="914"/>
        <v/>
      </c>
      <c r="DN134" s="508" t="str">
        <f t="shared" si="915"/>
        <v/>
      </c>
      <c r="DO134" s="496" t="str">
        <f t="shared" si="916"/>
        <v/>
      </c>
      <c r="DP134" s="502" t="str">
        <f t="shared" si="917"/>
        <v/>
      </c>
      <c r="DQ134" s="503" t="str">
        <f t="shared" si="918"/>
        <v/>
      </c>
      <c r="DR134" s="502" t="str">
        <f t="shared" si="919"/>
        <v/>
      </c>
      <c r="DS134" s="494" t="str">
        <f t="shared" si="920"/>
        <v/>
      </c>
      <c r="DT134" s="494" t="str">
        <f t="shared" si="921"/>
        <v/>
      </c>
      <c r="DU134" s="494" t="str">
        <f t="shared" si="922"/>
        <v/>
      </c>
      <c r="DV134" s="494" t="str">
        <f t="shared" si="923"/>
        <v/>
      </c>
      <c r="DW134" s="494" t="str">
        <f t="shared" si="924"/>
        <v/>
      </c>
      <c r="DX134" s="507" t="str">
        <f t="shared" si="925"/>
        <v/>
      </c>
      <c r="DY134" s="496" t="str">
        <f t="shared" si="926"/>
        <v/>
      </c>
      <c r="DZ134" s="494" t="str">
        <f t="shared" si="927"/>
        <v/>
      </c>
      <c r="EA134" s="495" t="str">
        <f t="shared" si="928"/>
        <v/>
      </c>
      <c r="EB134" s="497" t="str">
        <f t="shared" si="929"/>
        <v/>
      </c>
      <c r="EC134" s="502" t="str">
        <f t="shared" si="930"/>
        <v/>
      </c>
      <c r="ED134" s="494" t="str">
        <f t="shared" si="931"/>
        <v/>
      </c>
      <c r="EE134" s="498" t="str">
        <f t="shared" si="932"/>
        <v/>
      </c>
      <c r="EF134" s="494" t="str">
        <f t="shared" si="933"/>
        <v/>
      </c>
      <c r="EG134" s="495" t="str">
        <f t="shared" si="934"/>
        <v/>
      </c>
      <c r="EH134" s="496" t="str">
        <f t="shared" si="935"/>
        <v/>
      </c>
      <c r="EI134" s="494" t="str">
        <f t="shared" si="936"/>
        <v/>
      </c>
      <c r="EJ134" s="497" t="str">
        <f t="shared" si="937"/>
        <v/>
      </c>
      <c r="EK134" s="509" t="str">
        <f t="shared" si="690"/>
        <v/>
      </c>
      <c r="EL134" s="510" t="str">
        <f t="shared" si="691"/>
        <v/>
      </c>
      <c r="EM134" s="498" t="str">
        <f t="shared" si="938"/>
        <v/>
      </c>
      <c r="EN134" s="494" t="str">
        <f t="shared" si="939"/>
        <v/>
      </c>
      <c r="EO134" s="495" t="str">
        <f t="shared" si="940"/>
        <v/>
      </c>
      <c r="EP134" s="496" t="str">
        <f t="shared" si="941"/>
        <v/>
      </c>
      <c r="EQ134" s="494" t="str">
        <f t="shared" si="942"/>
        <v/>
      </c>
      <c r="ER134" s="500" t="str">
        <f t="shared" si="943"/>
        <v/>
      </c>
      <c r="ES134" s="493" t="str">
        <f t="shared" si="758"/>
        <v/>
      </c>
      <c r="ET134" s="494" t="str">
        <f t="shared" si="759"/>
        <v/>
      </c>
      <c r="EU134" s="495" t="str">
        <f t="shared" si="760"/>
        <v/>
      </c>
      <c r="EV134" s="174" t="str">
        <f t="shared" si="944"/>
        <v/>
      </c>
      <c r="EW134" s="496" t="str">
        <f t="shared" si="945"/>
        <v/>
      </c>
      <c r="EX134" s="494" t="str">
        <f t="shared" si="946"/>
        <v/>
      </c>
      <c r="EY134" s="497" t="str">
        <f t="shared" si="947"/>
        <v/>
      </c>
      <c r="EZ134" s="504" t="str">
        <f t="shared" si="699"/>
        <v/>
      </c>
      <c r="FA134" s="502" t="str">
        <f t="shared" si="764"/>
        <v/>
      </c>
      <c r="FB134" s="494" t="str">
        <f t="shared" si="765"/>
        <v/>
      </c>
      <c r="FC134" s="497" t="str">
        <f t="shared" si="766"/>
        <v/>
      </c>
      <c r="FD134" s="498" t="str">
        <f t="shared" si="948"/>
        <v/>
      </c>
      <c r="FE134" s="494" t="str">
        <f t="shared" si="949"/>
        <v/>
      </c>
      <c r="FF134" s="500" t="str">
        <f t="shared" si="950"/>
        <v/>
      </c>
      <c r="FG134" s="173" t="str">
        <f t="shared" si="951"/>
        <v/>
      </c>
      <c r="FH134" s="5" t="str">
        <f t="shared" si="952"/>
        <v/>
      </c>
      <c r="FI134" s="10" t="str">
        <f t="shared" si="953"/>
        <v/>
      </c>
      <c r="FJ134" s="279" t="str">
        <f t="shared" si="954"/>
        <v/>
      </c>
      <c r="FK134" s="4" t="str">
        <f t="shared" si="955"/>
        <v/>
      </c>
      <c r="FL134" s="5" t="str">
        <f t="shared" si="956"/>
        <v/>
      </c>
      <c r="FM134" s="8" t="str">
        <f t="shared" si="957"/>
        <v/>
      </c>
      <c r="FN134" s="9" t="str">
        <f t="shared" si="958"/>
        <v/>
      </c>
      <c r="FO134" s="10" t="str">
        <f t="shared" si="959"/>
        <v/>
      </c>
      <c r="FP134" s="277" t="str">
        <f t="shared" si="960"/>
        <v/>
      </c>
      <c r="FQ134" s="173" t="str">
        <f t="shared" si="961"/>
        <v/>
      </c>
      <c r="FR134" s="10" t="str">
        <f t="shared" si="962"/>
        <v/>
      </c>
      <c r="FS134" s="9" t="str">
        <f t="shared" si="963"/>
        <v/>
      </c>
      <c r="FT134" s="6" t="str">
        <f t="shared" si="964"/>
        <v/>
      </c>
      <c r="FU134" s="4" t="str">
        <f t="shared" si="965"/>
        <v/>
      </c>
      <c r="FV134" s="5" t="str">
        <f t="shared" si="966"/>
        <v/>
      </c>
      <c r="FW134" s="8" t="str">
        <f t="shared" si="967"/>
        <v/>
      </c>
      <c r="FX134" s="9" t="str">
        <f t="shared" si="968"/>
        <v/>
      </c>
      <c r="FY134" s="10" t="str">
        <f t="shared" si="969"/>
        <v/>
      </c>
      <c r="FZ134" s="277" t="str">
        <f t="shared" si="970"/>
        <v/>
      </c>
      <c r="GA134" s="177" t="str">
        <f t="shared" si="971"/>
        <v/>
      </c>
      <c r="GB134" s="4" t="str">
        <f t="shared" si="972"/>
        <v/>
      </c>
      <c r="GC134" s="5" t="str">
        <f t="shared" si="973"/>
        <v/>
      </c>
      <c r="GD134" s="10" t="str">
        <f t="shared" si="974"/>
        <v/>
      </c>
      <c r="GE134" s="311" t="str">
        <f t="shared" si="975"/>
        <v/>
      </c>
      <c r="GF134" s="341" t="str">
        <f t="shared" si="976"/>
        <v/>
      </c>
      <c r="GG134" s="306" t="str">
        <f t="shared" si="977"/>
        <v/>
      </c>
      <c r="GH134" s="307" t="str">
        <f t="shared" si="978"/>
        <v/>
      </c>
      <c r="GI134" s="308" t="str">
        <f t="shared" si="979"/>
        <v/>
      </c>
      <c r="GJ134" s="167" t="str">
        <f t="shared" si="980"/>
        <v/>
      </c>
      <c r="GK134" s="174" t="str">
        <f t="shared" si="778"/>
        <v/>
      </c>
      <c r="GL134" s="174" t="str">
        <f t="shared" si="981"/>
        <v/>
      </c>
      <c r="GM134" s="177" t="str">
        <f t="shared" si="982"/>
        <v/>
      </c>
      <c r="GN134" s="280" t="str">
        <f t="shared" si="983"/>
        <v/>
      </c>
      <c r="GO134" s="4" t="str">
        <f t="shared" si="984"/>
        <v/>
      </c>
      <c r="GP134" s="8" t="str">
        <f t="shared" si="985"/>
        <v/>
      </c>
      <c r="GQ134" s="177" t="str">
        <f t="shared" si="986"/>
        <v/>
      </c>
      <c r="GR134" s="371" t="str">
        <f t="shared" si="987"/>
        <v/>
      </c>
      <c r="GS134" s="342" t="str">
        <f t="shared" si="988"/>
        <v/>
      </c>
      <c r="GT134" s="343" t="str">
        <f t="shared" si="989"/>
        <v/>
      </c>
      <c r="GU134" s="344" t="str">
        <f t="shared" si="781"/>
        <v/>
      </c>
      <c r="GV134" s="343" t="str">
        <f t="shared" si="990"/>
        <v/>
      </c>
      <c r="GW134" s="345" t="str">
        <f t="shared" si="782"/>
        <v/>
      </c>
      <c r="GX134" s="346" t="str">
        <f t="shared" si="783"/>
        <v/>
      </c>
      <c r="GY134" s="344" t="str">
        <f t="shared" si="991"/>
        <v/>
      </c>
      <c r="GZ134" s="345" t="str">
        <f t="shared" si="992"/>
        <v/>
      </c>
      <c r="HA134" s="342" t="str">
        <f t="shared" si="786"/>
        <v/>
      </c>
      <c r="HB134" s="5" t="str">
        <f t="shared" si="726"/>
        <v/>
      </c>
      <c r="HC134" s="343" t="str">
        <f t="shared" si="993"/>
        <v/>
      </c>
      <c r="HD134" s="363" t="str">
        <f t="shared" si="994"/>
        <v/>
      </c>
      <c r="HE134" s="344" t="str">
        <f t="shared" si="787"/>
        <v/>
      </c>
      <c r="HF134" s="5" t="str">
        <f t="shared" si="788"/>
        <v/>
      </c>
      <c r="HG134" s="343" t="str">
        <f t="shared" si="995"/>
        <v/>
      </c>
      <c r="HH134" s="349" t="str">
        <f t="shared" si="996"/>
        <v/>
      </c>
      <c r="HI134" s="317" t="str">
        <f t="shared" si="789"/>
        <v/>
      </c>
      <c r="HK134" s="310" t="str">
        <f t="shared" si="840"/>
        <v/>
      </c>
      <c r="HL134" s="348" t="str">
        <f t="shared" si="790"/>
        <v/>
      </c>
      <c r="HM134" s="909" t="str">
        <f t="shared" si="791"/>
        <v/>
      </c>
      <c r="HN134" s="910" t="str">
        <f t="shared" si="792"/>
        <v/>
      </c>
      <c r="HO134" s="911"/>
      <c r="HP134" s="912"/>
      <c r="HQ134" s="910" t="str">
        <f t="shared" si="793"/>
        <v/>
      </c>
      <c r="HR134" s="913" t="str">
        <f t="shared" si="794"/>
        <v/>
      </c>
      <c r="HS134" s="865" t="str">
        <f t="shared" si="997"/>
        <v/>
      </c>
      <c r="HT134" s="875" t="str">
        <f t="shared" si="795"/>
        <v/>
      </c>
      <c r="HU134" s="876" t="str">
        <f t="shared" si="796"/>
        <v/>
      </c>
      <c r="HV134" s="872" t="str">
        <f t="shared" si="797"/>
        <v/>
      </c>
      <c r="HW134" s="866" t="str">
        <f t="shared" si="798"/>
        <v/>
      </c>
      <c r="HX134" s="867" t="str">
        <f t="shared" si="799"/>
        <v/>
      </c>
      <c r="HY134" s="866" t="str">
        <f t="shared" si="800"/>
        <v/>
      </c>
      <c r="HZ134" s="868" t="str">
        <f t="shared" si="801"/>
        <v/>
      </c>
      <c r="IA134" s="869" t="str">
        <f t="shared" si="802"/>
        <v/>
      </c>
      <c r="IB134" s="870" t="str">
        <f t="shared" si="803"/>
        <v/>
      </c>
      <c r="IC134" s="841" t="str">
        <f t="shared" si="804"/>
        <v/>
      </c>
      <c r="ID134" s="351" t="str">
        <f t="shared" si="805"/>
        <v/>
      </c>
      <c r="IE134" s="843" t="str">
        <f t="shared" si="806"/>
        <v/>
      </c>
      <c r="IF134" s="844"/>
      <c r="IG134" s="790" t="str">
        <f>IFERROR(IF($IW134="","",IF($IW134&lt;(((Settings!$C$19/2)*-1)*$IG$8),"Taper","Nose")),"")</f>
        <v/>
      </c>
      <c r="IH134" s="482" t="str">
        <f>IFERROR(IF((((($IY134*COS(RADIANS(180-$JA134)))*COS(RADIANS($JA134)))-(($IZ134*SIN(RADIANS(180-$JA134)))*SIN(RADIANS($JA134))))+$IW134)&lt;(((Settings!$C$19+$IH$8)/2)*-1),"Gage",""),"")</f>
        <v/>
      </c>
      <c r="II134" s="788" t="str">
        <f t="shared" si="731"/>
        <v/>
      </c>
      <c r="IJ134" s="674" t="str" cm="1">
        <f t="array" ref="IJ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K134" s="677" t="str" cm="1">
        <f t="array" ref="IK134">IFERROR(ROUND(VALUE(IF($IJ134&lt;1,$IJ134+LARGE((IF($M$9:$M$150="",0,$M$9:$M$150)-MOD(IF($M$9:$M$150="",0,$M$9:$M$150),1)),1),$IJ134)),4),"")</f>
        <v/>
      </c>
      <c r="IL134" s="482" t="str">
        <f t="shared" si="807"/>
        <v/>
      </c>
      <c r="IM134" s="482" t="str">
        <f t="shared" si="732"/>
        <v/>
      </c>
      <c r="IN134" s="670" t="str">
        <f t="shared" si="808"/>
        <v/>
      </c>
      <c r="IO134" s="702"/>
      <c r="IP134" s="5" t="str">
        <f t="shared" si="809"/>
        <v/>
      </c>
      <c r="IQ134" s="714"/>
      <c r="IR134" s="9" t="str">
        <f t="shared" si="810"/>
        <v/>
      </c>
      <c r="IS134" s="5" t="str">
        <f t="shared" si="811"/>
        <v/>
      </c>
      <c r="IT134" s="5" t="str">
        <f t="shared" si="812"/>
        <v/>
      </c>
      <c r="IU134" s="5" t="str">
        <f t="shared" si="813"/>
        <v/>
      </c>
      <c r="IV134" s="670" t="str">
        <f t="shared" si="814"/>
        <v/>
      </c>
      <c r="IW134" s="9" t="str">
        <f t="shared" si="815"/>
        <v/>
      </c>
      <c r="IX134" s="5" t="str">
        <f t="shared" si="816"/>
        <v/>
      </c>
      <c r="IY134" s="5" t="str">
        <f t="shared" si="817"/>
        <v/>
      </c>
      <c r="IZ134" s="5" t="str">
        <f t="shared" si="818"/>
        <v/>
      </c>
      <c r="JA134" s="705" t="str">
        <f t="shared" si="819"/>
        <v/>
      </c>
    </row>
    <row r="135" spans="1:261" ht="15" customHeight="1" x14ac:dyDescent="0.25">
      <c r="A135" s="75" t="str">
        <f t="shared" si="736"/>
        <v/>
      </c>
      <c r="B135" s="578" t="str">
        <f t="shared" si="845"/>
        <v/>
      </c>
      <c r="C135" s="572" t="str">
        <f t="shared" si="846"/>
        <v/>
      </c>
      <c r="D135" s="576" t="str">
        <f t="shared" si="847"/>
        <v/>
      </c>
      <c r="E135" s="580" t="str">
        <f t="shared" si="848"/>
        <v/>
      </c>
      <c r="F135" s="572" t="str">
        <f t="shared" si="849"/>
        <v/>
      </c>
      <c r="G135" s="579" t="str">
        <f t="shared" si="850"/>
        <v/>
      </c>
      <c r="H135" s="580" t="str">
        <f t="shared" si="851"/>
        <v/>
      </c>
      <c r="I135" s="572" t="str">
        <f t="shared" si="852"/>
        <v/>
      </c>
      <c r="J135" s="483" t="str">
        <f t="shared" si="853"/>
        <v/>
      </c>
      <c r="K135" s="806" t="str">
        <f t="shared" si="854"/>
        <v/>
      </c>
      <c r="L135" s="309"/>
      <c r="M135" s="492" t="str">
        <f t="shared" si="737"/>
        <v/>
      </c>
      <c r="N135" s="581" t="str">
        <f t="shared" si="738"/>
        <v/>
      </c>
      <c r="O135" s="582" t="str">
        <f t="shared" si="739"/>
        <v/>
      </c>
      <c r="P135" s="583" t="str">
        <f t="shared" si="740"/>
        <v/>
      </c>
      <c r="Q135" s="536" t="str">
        <f t="shared" si="856"/>
        <v/>
      </c>
      <c r="R135" s="582" t="str">
        <f t="shared" si="857"/>
        <v/>
      </c>
      <c r="S135" s="584" t="str">
        <f t="shared" si="858"/>
        <v/>
      </c>
      <c r="T135" s="585" t="str">
        <f t="shared" si="859"/>
        <v/>
      </c>
      <c r="U135" s="582" t="str">
        <f t="shared" si="860"/>
        <v/>
      </c>
      <c r="V135" s="586" t="str">
        <f t="shared" si="861"/>
        <v/>
      </c>
      <c r="W135" s="536" t="str">
        <f t="shared" si="862"/>
        <v/>
      </c>
      <c r="X135" s="582" t="str">
        <f t="shared" si="863"/>
        <v/>
      </c>
      <c r="Y135" s="587" t="str">
        <f t="shared" si="864"/>
        <v/>
      </c>
      <c r="Z135" s="581" t="str">
        <f t="shared" si="741"/>
        <v/>
      </c>
      <c r="AA135" s="582" t="str">
        <f t="shared" si="742"/>
        <v/>
      </c>
      <c r="AB135" s="582" t="str">
        <f t="shared" si="743"/>
        <v/>
      </c>
      <c r="AC135" s="586" t="str">
        <f t="shared" si="865"/>
        <v/>
      </c>
      <c r="AD135" s="588" t="str">
        <f t="shared" si="866"/>
        <v/>
      </c>
      <c r="AE135" s="582" t="str">
        <f t="shared" si="867"/>
        <v/>
      </c>
      <c r="AF135" s="583" t="str">
        <f t="shared" si="868"/>
        <v/>
      </c>
      <c r="AG135" s="547" t="str">
        <f t="shared" si="869"/>
        <v/>
      </c>
      <c r="AH135" s="548" t="str">
        <f t="shared" si="870"/>
        <v/>
      </c>
      <c r="AI135" s="536" t="str">
        <f t="shared" si="871"/>
        <v/>
      </c>
      <c r="AJ135" s="537" t="str">
        <f t="shared" si="872"/>
        <v/>
      </c>
      <c r="AK135" s="585" t="str">
        <f t="shared" si="873"/>
        <v/>
      </c>
      <c r="AL135" s="582" t="str">
        <f t="shared" si="874"/>
        <v/>
      </c>
      <c r="AM135" s="584" t="str">
        <f t="shared" si="875"/>
        <v/>
      </c>
      <c r="AN135" s="534" t="str">
        <f t="shared" si="876"/>
        <v/>
      </c>
      <c r="AO135" s="535" t="str">
        <f t="shared" si="855"/>
        <v/>
      </c>
      <c r="AP135" s="536" t="str">
        <f t="shared" si="877"/>
        <v/>
      </c>
      <c r="AQ135" s="537" t="str">
        <f t="shared" si="744"/>
        <v/>
      </c>
      <c r="AS135" s="933" t="str">
        <f t="shared" si="842"/>
        <v/>
      </c>
      <c r="AT135" s="929" t="str">
        <f t="shared" si="745"/>
        <v/>
      </c>
      <c r="AU135" s="418"/>
      <c r="AV135" s="164" t="str">
        <f t="shared" si="746"/>
        <v/>
      </c>
      <c r="AW135" s="832" t="str">
        <f>IFERROR(INDEX(MassProp!C$9:C$150,MATCH($M135,MassProp!$B$9:$B$150,0)),"")</f>
        <v/>
      </c>
      <c r="AX135" s="833" t="str">
        <f>IFERROR(INDEX(MassProp!D$9:D$150,MATCH($M135,MassProp!$B$9:$B$150,0)),"")</f>
        <v/>
      </c>
      <c r="AY135" s="834" t="str">
        <f>IFERROR(INDEX(MassProp!E$9:E$150,MATCH($M135,MassProp!$B$9:$B$150,0)),"")</f>
        <v/>
      </c>
      <c r="AZ135" s="297" t="str">
        <f t="shared" si="878"/>
        <v/>
      </c>
      <c r="BA135" s="505" t="str">
        <f t="shared" si="879"/>
        <v/>
      </c>
      <c r="BB135" s="506" t="str">
        <f t="shared" si="610"/>
        <v/>
      </c>
      <c r="BC135" s="496"/>
      <c r="BD135" s="494" t="str">
        <f t="shared" si="880"/>
        <v/>
      </c>
      <c r="BE135" s="497" t="str">
        <f t="shared" si="748"/>
        <v/>
      </c>
      <c r="BF135" s="498" t="str">
        <f t="shared" si="749"/>
        <v/>
      </c>
      <c r="BG135" s="494" t="str">
        <f t="shared" si="750"/>
        <v/>
      </c>
      <c r="BH135" s="495" t="str">
        <f t="shared" si="751"/>
        <v/>
      </c>
      <c r="BI135" s="496" t="str">
        <f t="shared" si="881"/>
        <v/>
      </c>
      <c r="BJ135" s="494" t="str">
        <f t="shared" si="752"/>
        <v/>
      </c>
      <c r="BK135" s="499" t="str">
        <f t="shared" si="753"/>
        <v/>
      </c>
      <c r="BL135" s="502" t="str">
        <f t="shared" si="754"/>
        <v/>
      </c>
      <c r="BM135" s="494" t="str">
        <f t="shared" si="755"/>
        <v/>
      </c>
      <c r="BN135" s="497" t="str">
        <f t="shared" si="756"/>
        <v/>
      </c>
      <c r="BO135" s="498" t="str">
        <f t="shared" si="882"/>
        <v/>
      </c>
      <c r="BP135" s="494" t="str">
        <f t="shared" si="734"/>
        <v/>
      </c>
      <c r="BQ135" s="494" t="str">
        <f t="shared" si="883"/>
        <v/>
      </c>
      <c r="BR135" s="497" t="str">
        <f t="shared" si="884"/>
        <v/>
      </c>
      <c r="BS135" s="498" t="str">
        <f t="shared" si="839"/>
        <v/>
      </c>
      <c r="BT135" s="494" t="str">
        <f t="shared" si="839"/>
        <v/>
      </c>
      <c r="BU135" s="495" t="str">
        <f t="shared" si="613"/>
        <v/>
      </c>
      <c r="BV135" s="496" t="str">
        <f t="shared" si="614"/>
        <v/>
      </c>
      <c r="BW135" s="494" t="str">
        <f t="shared" si="615"/>
        <v/>
      </c>
      <c r="BX135" s="499" t="str">
        <f t="shared" si="616"/>
        <v/>
      </c>
      <c r="BY135" s="502" t="str">
        <f t="shared" si="617"/>
        <v/>
      </c>
      <c r="BZ135" s="494" t="str">
        <f t="shared" si="618"/>
        <v/>
      </c>
      <c r="CA135" s="497" t="str">
        <f t="shared" si="619"/>
        <v/>
      </c>
      <c r="CB135" s="498" t="str">
        <f t="shared" si="885"/>
        <v/>
      </c>
      <c r="CC135" s="494" t="str">
        <f t="shared" si="886"/>
        <v/>
      </c>
      <c r="CD135" s="494" t="str">
        <f t="shared" si="887"/>
        <v/>
      </c>
      <c r="CE135" s="497" t="str">
        <f t="shared" si="888"/>
        <v/>
      </c>
      <c r="CF135" s="498" t="str">
        <f t="shared" si="889"/>
        <v/>
      </c>
      <c r="CG135" s="494" t="str">
        <f t="shared" si="890"/>
        <v/>
      </c>
      <c r="CH135" s="494" t="str">
        <f t="shared" si="891"/>
        <v/>
      </c>
      <c r="CI135" s="498" t="str">
        <f t="shared" si="620"/>
        <v/>
      </c>
      <c r="CJ135" s="494" t="str">
        <f t="shared" si="892"/>
        <v/>
      </c>
      <c r="CK135" s="499" t="str">
        <f t="shared" si="893"/>
        <v/>
      </c>
      <c r="CL135" s="502" t="str">
        <f t="shared" si="894"/>
        <v/>
      </c>
      <c r="CM135" s="494" t="str">
        <f t="shared" si="895"/>
        <v/>
      </c>
      <c r="CN135" s="497" t="str">
        <f t="shared" si="896"/>
        <v/>
      </c>
      <c r="CO135" s="507" t="str">
        <f t="shared" si="757"/>
        <v/>
      </c>
      <c r="CP135" s="498" t="str">
        <f t="shared" si="897"/>
        <v/>
      </c>
      <c r="CQ135" s="494" t="str">
        <f t="shared" si="898"/>
        <v/>
      </c>
      <c r="CR135" s="494" t="str">
        <f t="shared" si="899"/>
        <v/>
      </c>
      <c r="CS135" s="499" t="str">
        <f t="shared" si="900"/>
        <v/>
      </c>
      <c r="CT135" s="496" t="str">
        <f t="shared" si="901"/>
        <v/>
      </c>
      <c r="CU135" s="497" t="str">
        <f t="shared" si="902"/>
        <v/>
      </c>
      <c r="CV135" s="498" t="str">
        <f t="shared" si="903"/>
        <v/>
      </c>
      <c r="CW135" s="494" t="str">
        <f t="shared" si="904"/>
        <v/>
      </c>
      <c r="CX135" s="499" t="str">
        <f t="shared" si="905"/>
        <v/>
      </c>
      <c r="CY135" s="496" t="str">
        <f t="shared" si="906"/>
        <v/>
      </c>
      <c r="CZ135" s="494" t="str">
        <f t="shared" si="907"/>
        <v/>
      </c>
      <c r="DA135" s="497" t="str">
        <f t="shared" si="908"/>
        <v/>
      </c>
      <c r="DB135" s="498" t="str">
        <f t="shared" si="843"/>
        <v/>
      </c>
      <c r="DC135" s="494" t="str">
        <f t="shared" si="843"/>
        <v/>
      </c>
      <c r="DD135" s="495" t="str">
        <f t="shared" si="658"/>
        <v/>
      </c>
      <c r="DE135" s="496" t="str">
        <f t="shared" si="844"/>
        <v/>
      </c>
      <c r="DF135" s="494" t="str">
        <f t="shared" si="844"/>
        <v/>
      </c>
      <c r="DG135" s="495" t="str">
        <f t="shared" si="660"/>
        <v/>
      </c>
      <c r="DH135" s="501" t="str">
        <f t="shared" si="909"/>
        <v/>
      </c>
      <c r="DI135" s="498" t="str">
        <f t="shared" si="910"/>
        <v/>
      </c>
      <c r="DJ135" s="494" t="str">
        <f t="shared" si="911"/>
        <v/>
      </c>
      <c r="DK135" s="495" t="str">
        <f t="shared" si="912"/>
        <v/>
      </c>
      <c r="DL135" s="496" t="str">
        <f t="shared" si="913"/>
        <v/>
      </c>
      <c r="DM135" s="502" t="str">
        <f t="shared" si="914"/>
        <v/>
      </c>
      <c r="DN135" s="508" t="str">
        <f t="shared" si="915"/>
        <v/>
      </c>
      <c r="DO135" s="496" t="str">
        <f t="shared" si="916"/>
        <v/>
      </c>
      <c r="DP135" s="502" t="str">
        <f t="shared" si="917"/>
        <v/>
      </c>
      <c r="DQ135" s="503" t="str">
        <f t="shared" si="918"/>
        <v/>
      </c>
      <c r="DR135" s="502" t="str">
        <f t="shared" si="919"/>
        <v/>
      </c>
      <c r="DS135" s="494" t="str">
        <f t="shared" si="920"/>
        <v/>
      </c>
      <c r="DT135" s="494" t="str">
        <f t="shared" si="921"/>
        <v/>
      </c>
      <c r="DU135" s="494" t="str">
        <f t="shared" si="922"/>
        <v/>
      </c>
      <c r="DV135" s="494" t="str">
        <f t="shared" si="923"/>
        <v/>
      </c>
      <c r="DW135" s="494" t="str">
        <f t="shared" si="924"/>
        <v/>
      </c>
      <c r="DX135" s="507" t="str">
        <f t="shared" si="925"/>
        <v/>
      </c>
      <c r="DY135" s="496" t="str">
        <f t="shared" si="926"/>
        <v/>
      </c>
      <c r="DZ135" s="494" t="str">
        <f t="shared" si="927"/>
        <v/>
      </c>
      <c r="EA135" s="495" t="str">
        <f t="shared" si="928"/>
        <v/>
      </c>
      <c r="EB135" s="497" t="str">
        <f t="shared" si="929"/>
        <v/>
      </c>
      <c r="EC135" s="502" t="str">
        <f t="shared" si="930"/>
        <v/>
      </c>
      <c r="ED135" s="494" t="str">
        <f t="shared" si="931"/>
        <v/>
      </c>
      <c r="EE135" s="498" t="str">
        <f t="shared" si="932"/>
        <v/>
      </c>
      <c r="EF135" s="494" t="str">
        <f t="shared" si="933"/>
        <v/>
      </c>
      <c r="EG135" s="495" t="str">
        <f t="shared" si="934"/>
        <v/>
      </c>
      <c r="EH135" s="496" t="str">
        <f t="shared" si="935"/>
        <v/>
      </c>
      <c r="EI135" s="494" t="str">
        <f t="shared" si="936"/>
        <v/>
      </c>
      <c r="EJ135" s="497" t="str">
        <f t="shared" si="937"/>
        <v/>
      </c>
      <c r="EK135" s="509" t="str">
        <f t="shared" si="690"/>
        <v/>
      </c>
      <c r="EL135" s="510" t="str">
        <f t="shared" si="691"/>
        <v/>
      </c>
      <c r="EM135" s="498" t="str">
        <f t="shared" si="938"/>
        <v/>
      </c>
      <c r="EN135" s="494" t="str">
        <f t="shared" si="939"/>
        <v/>
      </c>
      <c r="EO135" s="495" t="str">
        <f t="shared" si="940"/>
        <v/>
      </c>
      <c r="EP135" s="496" t="str">
        <f t="shared" si="941"/>
        <v/>
      </c>
      <c r="EQ135" s="494" t="str">
        <f t="shared" si="942"/>
        <v/>
      </c>
      <c r="ER135" s="500" t="str">
        <f t="shared" si="943"/>
        <v/>
      </c>
      <c r="ES135" s="493" t="str">
        <f t="shared" si="758"/>
        <v/>
      </c>
      <c r="ET135" s="494" t="str">
        <f t="shared" si="759"/>
        <v/>
      </c>
      <c r="EU135" s="495" t="str">
        <f t="shared" si="760"/>
        <v/>
      </c>
      <c r="EV135" s="174" t="str">
        <f t="shared" si="944"/>
        <v/>
      </c>
      <c r="EW135" s="496" t="str">
        <f t="shared" si="945"/>
        <v/>
      </c>
      <c r="EX135" s="494" t="str">
        <f t="shared" si="946"/>
        <v/>
      </c>
      <c r="EY135" s="497" t="str">
        <f t="shared" si="947"/>
        <v/>
      </c>
      <c r="EZ135" s="504" t="str">
        <f t="shared" si="699"/>
        <v/>
      </c>
      <c r="FA135" s="502" t="str">
        <f t="shared" si="764"/>
        <v/>
      </c>
      <c r="FB135" s="494" t="str">
        <f t="shared" si="765"/>
        <v/>
      </c>
      <c r="FC135" s="497" t="str">
        <f t="shared" si="766"/>
        <v/>
      </c>
      <c r="FD135" s="498" t="str">
        <f t="shared" si="948"/>
        <v/>
      </c>
      <c r="FE135" s="494" t="str">
        <f t="shared" si="949"/>
        <v/>
      </c>
      <c r="FF135" s="500" t="str">
        <f t="shared" si="950"/>
        <v/>
      </c>
      <c r="FG135" s="173" t="str">
        <f t="shared" si="951"/>
        <v/>
      </c>
      <c r="FH135" s="5" t="str">
        <f t="shared" si="952"/>
        <v/>
      </c>
      <c r="FI135" s="10" t="str">
        <f t="shared" si="953"/>
        <v/>
      </c>
      <c r="FJ135" s="279" t="str">
        <f t="shared" si="954"/>
        <v/>
      </c>
      <c r="FK135" s="4" t="str">
        <f t="shared" si="955"/>
        <v/>
      </c>
      <c r="FL135" s="5" t="str">
        <f t="shared" si="956"/>
        <v/>
      </c>
      <c r="FM135" s="8" t="str">
        <f t="shared" si="957"/>
        <v/>
      </c>
      <c r="FN135" s="9" t="str">
        <f t="shared" si="958"/>
        <v/>
      </c>
      <c r="FO135" s="10" t="str">
        <f t="shared" si="959"/>
        <v/>
      </c>
      <c r="FP135" s="277" t="str">
        <f t="shared" si="960"/>
        <v/>
      </c>
      <c r="FQ135" s="173" t="str">
        <f t="shared" si="961"/>
        <v/>
      </c>
      <c r="FR135" s="10" t="str">
        <f t="shared" si="962"/>
        <v/>
      </c>
      <c r="FS135" s="9" t="str">
        <f t="shared" si="963"/>
        <v/>
      </c>
      <c r="FT135" s="6" t="str">
        <f t="shared" si="964"/>
        <v/>
      </c>
      <c r="FU135" s="4" t="str">
        <f t="shared" si="965"/>
        <v/>
      </c>
      <c r="FV135" s="5" t="str">
        <f t="shared" si="966"/>
        <v/>
      </c>
      <c r="FW135" s="8" t="str">
        <f t="shared" si="967"/>
        <v/>
      </c>
      <c r="FX135" s="9" t="str">
        <f t="shared" si="968"/>
        <v/>
      </c>
      <c r="FY135" s="10" t="str">
        <f t="shared" si="969"/>
        <v/>
      </c>
      <c r="FZ135" s="277" t="str">
        <f t="shared" si="970"/>
        <v/>
      </c>
      <c r="GA135" s="177" t="str">
        <f t="shared" si="971"/>
        <v/>
      </c>
      <c r="GB135" s="4" t="str">
        <f t="shared" si="972"/>
        <v/>
      </c>
      <c r="GC135" s="5" t="str">
        <f t="shared" si="973"/>
        <v/>
      </c>
      <c r="GD135" s="10" t="str">
        <f t="shared" si="974"/>
        <v/>
      </c>
      <c r="GE135" s="311" t="str">
        <f t="shared" si="975"/>
        <v/>
      </c>
      <c r="GF135" s="341" t="str">
        <f t="shared" si="976"/>
        <v/>
      </c>
      <c r="GG135" s="306" t="str">
        <f t="shared" si="977"/>
        <v/>
      </c>
      <c r="GH135" s="307" t="str">
        <f t="shared" si="978"/>
        <v/>
      </c>
      <c r="GI135" s="308" t="str">
        <f t="shared" si="979"/>
        <v/>
      </c>
      <c r="GJ135" s="167" t="str">
        <f t="shared" si="980"/>
        <v/>
      </c>
      <c r="GK135" s="174" t="str">
        <f t="shared" si="778"/>
        <v/>
      </c>
      <c r="GL135" s="174" t="str">
        <f t="shared" si="981"/>
        <v/>
      </c>
      <c r="GM135" s="177" t="str">
        <f t="shared" si="982"/>
        <v/>
      </c>
      <c r="GN135" s="280" t="str">
        <f t="shared" si="983"/>
        <v/>
      </c>
      <c r="GO135" s="4" t="str">
        <f t="shared" si="984"/>
        <v/>
      </c>
      <c r="GP135" s="8" t="str">
        <f t="shared" si="985"/>
        <v/>
      </c>
      <c r="GQ135" s="177" t="str">
        <f t="shared" si="986"/>
        <v/>
      </c>
      <c r="GR135" s="371" t="str">
        <f t="shared" si="987"/>
        <v/>
      </c>
      <c r="GS135" s="342" t="str">
        <f t="shared" si="988"/>
        <v/>
      </c>
      <c r="GT135" s="343" t="str">
        <f t="shared" si="989"/>
        <v/>
      </c>
      <c r="GU135" s="344" t="str">
        <f t="shared" si="781"/>
        <v/>
      </c>
      <c r="GV135" s="343" t="str">
        <f t="shared" si="990"/>
        <v/>
      </c>
      <c r="GW135" s="345" t="str">
        <f t="shared" si="782"/>
        <v/>
      </c>
      <c r="GX135" s="346" t="str">
        <f t="shared" si="783"/>
        <v/>
      </c>
      <c r="GY135" s="344" t="str">
        <f t="shared" si="991"/>
        <v/>
      </c>
      <c r="GZ135" s="345" t="str">
        <f t="shared" si="992"/>
        <v/>
      </c>
      <c r="HA135" s="342" t="str">
        <f t="shared" si="786"/>
        <v/>
      </c>
      <c r="HB135" s="5" t="str">
        <f t="shared" si="726"/>
        <v/>
      </c>
      <c r="HC135" s="343" t="str">
        <f t="shared" si="993"/>
        <v/>
      </c>
      <c r="HD135" s="363" t="str">
        <f t="shared" si="994"/>
        <v/>
      </c>
      <c r="HE135" s="344" t="str">
        <f t="shared" si="787"/>
        <v/>
      </c>
      <c r="HF135" s="5" t="str">
        <f t="shared" si="788"/>
        <v/>
      </c>
      <c r="HG135" s="343" t="str">
        <f t="shared" si="995"/>
        <v/>
      </c>
      <c r="HH135" s="349" t="str">
        <f t="shared" si="996"/>
        <v/>
      </c>
      <c r="HI135" s="317" t="str">
        <f t="shared" si="789"/>
        <v/>
      </c>
      <c r="HK135" s="310" t="str">
        <f t="shared" si="840"/>
        <v/>
      </c>
      <c r="HL135" s="348" t="str">
        <f t="shared" si="790"/>
        <v/>
      </c>
      <c r="HM135" s="909" t="str">
        <f t="shared" si="791"/>
        <v/>
      </c>
      <c r="HN135" s="910" t="str">
        <f t="shared" si="792"/>
        <v/>
      </c>
      <c r="HO135" s="911"/>
      <c r="HP135" s="912"/>
      <c r="HQ135" s="910" t="str">
        <f t="shared" si="793"/>
        <v/>
      </c>
      <c r="HR135" s="913" t="str">
        <f t="shared" si="794"/>
        <v/>
      </c>
      <c r="HS135" s="865" t="str">
        <f t="shared" si="997"/>
        <v/>
      </c>
      <c r="HT135" s="875" t="str">
        <f t="shared" si="795"/>
        <v/>
      </c>
      <c r="HU135" s="876" t="str">
        <f t="shared" si="796"/>
        <v/>
      </c>
      <c r="HV135" s="872" t="str">
        <f t="shared" si="797"/>
        <v/>
      </c>
      <c r="HW135" s="866" t="str">
        <f t="shared" si="798"/>
        <v/>
      </c>
      <c r="HX135" s="867" t="str">
        <f t="shared" si="799"/>
        <v/>
      </c>
      <c r="HY135" s="866" t="str">
        <f t="shared" si="800"/>
        <v/>
      </c>
      <c r="HZ135" s="868" t="str">
        <f t="shared" si="801"/>
        <v/>
      </c>
      <c r="IA135" s="869" t="str">
        <f t="shared" si="802"/>
        <v/>
      </c>
      <c r="IB135" s="870" t="str">
        <f t="shared" si="803"/>
        <v/>
      </c>
      <c r="IC135" s="841" t="str">
        <f t="shared" si="804"/>
        <v/>
      </c>
      <c r="ID135" s="351" t="str">
        <f t="shared" si="805"/>
        <v/>
      </c>
      <c r="IE135" s="843" t="str">
        <f t="shared" si="806"/>
        <v/>
      </c>
      <c r="IF135" s="844"/>
      <c r="IG135" s="790" t="str">
        <f>IFERROR(IF($IW135="","",IF($IW135&lt;(((Settings!$C$19/2)*-1)*$IG$8),"Taper","Nose")),"")</f>
        <v/>
      </c>
      <c r="IH135" s="482" t="str">
        <f>IFERROR(IF((((($IY135*COS(RADIANS(180-$JA135)))*COS(RADIANS($JA135)))-(($IZ135*SIN(RADIANS(180-$JA135)))*SIN(RADIANS($JA135))))+$IW135)&lt;(((Settings!$C$19+$IH$8)/2)*-1),"Gage",""),"")</f>
        <v/>
      </c>
      <c r="II135" s="788" t="str">
        <f t="shared" si="731"/>
        <v/>
      </c>
      <c r="IJ135" s="674" t="str" cm="1">
        <f t="array" ref="IJ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K135" s="677" t="str" cm="1">
        <f t="array" ref="IK135">IFERROR(ROUND(VALUE(IF($IJ135&lt;1,$IJ135+LARGE((IF($M$9:$M$150="",0,$M$9:$M$150)-MOD(IF($M$9:$M$150="",0,$M$9:$M$150),1)),1),$IJ135)),4),"")</f>
        <v/>
      </c>
      <c r="IL135" s="482" t="str">
        <f t="shared" si="807"/>
        <v/>
      </c>
      <c r="IM135" s="482" t="str">
        <f t="shared" si="732"/>
        <v/>
      </c>
      <c r="IN135" s="670" t="str">
        <f t="shared" si="808"/>
        <v/>
      </c>
      <c r="IO135" s="702"/>
      <c r="IP135" s="5" t="str">
        <f t="shared" si="809"/>
        <v/>
      </c>
      <c r="IQ135" s="714"/>
      <c r="IR135" s="9" t="str">
        <f t="shared" si="810"/>
        <v/>
      </c>
      <c r="IS135" s="5" t="str">
        <f t="shared" si="811"/>
        <v/>
      </c>
      <c r="IT135" s="5" t="str">
        <f t="shared" si="812"/>
        <v/>
      </c>
      <c r="IU135" s="5" t="str">
        <f t="shared" si="813"/>
        <v/>
      </c>
      <c r="IV135" s="670" t="str">
        <f t="shared" si="814"/>
        <v/>
      </c>
      <c r="IW135" s="9" t="str">
        <f t="shared" si="815"/>
        <v/>
      </c>
      <c r="IX135" s="5" t="str">
        <f t="shared" si="816"/>
        <v/>
      </c>
      <c r="IY135" s="5" t="str">
        <f t="shared" si="817"/>
        <v/>
      </c>
      <c r="IZ135" s="5" t="str">
        <f t="shared" si="818"/>
        <v/>
      </c>
      <c r="JA135" s="705" t="str">
        <f t="shared" si="819"/>
        <v/>
      </c>
    </row>
    <row r="136" spans="1:261" ht="15" customHeight="1" x14ac:dyDescent="0.25">
      <c r="A136" s="75" t="str">
        <f t="shared" si="736"/>
        <v/>
      </c>
      <c r="B136" s="578" t="str">
        <f t="shared" si="845"/>
        <v/>
      </c>
      <c r="C136" s="572" t="str">
        <f t="shared" si="846"/>
        <v/>
      </c>
      <c r="D136" s="576" t="str">
        <f t="shared" si="847"/>
        <v/>
      </c>
      <c r="E136" s="580" t="str">
        <f t="shared" si="848"/>
        <v/>
      </c>
      <c r="F136" s="572" t="str">
        <f t="shared" si="849"/>
        <v/>
      </c>
      <c r="G136" s="579" t="str">
        <f t="shared" si="850"/>
        <v/>
      </c>
      <c r="H136" s="580" t="str">
        <f t="shared" si="851"/>
        <v/>
      </c>
      <c r="I136" s="572" t="str">
        <f t="shared" si="852"/>
        <v/>
      </c>
      <c r="J136" s="483" t="str">
        <f t="shared" si="853"/>
        <v/>
      </c>
      <c r="K136" s="806" t="str">
        <f t="shared" si="854"/>
        <v/>
      </c>
      <c r="L136" s="309"/>
      <c r="M136" s="492" t="str">
        <f t="shared" si="737"/>
        <v/>
      </c>
      <c r="N136" s="581" t="str">
        <f t="shared" si="738"/>
        <v/>
      </c>
      <c r="O136" s="582" t="str">
        <f t="shared" si="739"/>
        <v/>
      </c>
      <c r="P136" s="583" t="str">
        <f t="shared" si="740"/>
        <v/>
      </c>
      <c r="Q136" s="536" t="str">
        <f t="shared" si="856"/>
        <v/>
      </c>
      <c r="R136" s="582" t="str">
        <f t="shared" si="857"/>
        <v/>
      </c>
      <c r="S136" s="584" t="str">
        <f t="shared" si="858"/>
        <v/>
      </c>
      <c r="T136" s="585" t="str">
        <f t="shared" si="859"/>
        <v/>
      </c>
      <c r="U136" s="582" t="str">
        <f t="shared" si="860"/>
        <v/>
      </c>
      <c r="V136" s="586" t="str">
        <f t="shared" si="861"/>
        <v/>
      </c>
      <c r="W136" s="536" t="str">
        <f t="shared" si="862"/>
        <v/>
      </c>
      <c r="X136" s="582" t="str">
        <f t="shared" si="863"/>
        <v/>
      </c>
      <c r="Y136" s="587" t="str">
        <f t="shared" si="864"/>
        <v/>
      </c>
      <c r="Z136" s="581" t="str">
        <f t="shared" si="741"/>
        <v/>
      </c>
      <c r="AA136" s="582" t="str">
        <f t="shared" si="742"/>
        <v/>
      </c>
      <c r="AB136" s="582" t="str">
        <f t="shared" si="743"/>
        <v/>
      </c>
      <c r="AC136" s="586" t="str">
        <f t="shared" si="865"/>
        <v/>
      </c>
      <c r="AD136" s="588" t="str">
        <f t="shared" si="866"/>
        <v/>
      </c>
      <c r="AE136" s="582" t="str">
        <f t="shared" si="867"/>
        <v/>
      </c>
      <c r="AF136" s="583" t="str">
        <f t="shared" si="868"/>
        <v/>
      </c>
      <c r="AG136" s="547" t="str">
        <f t="shared" si="869"/>
        <v/>
      </c>
      <c r="AH136" s="548" t="str">
        <f t="shared" si="870"/>
        <v/>
      </c>
      <c r="AI136" s="536" t="str">
        <f t="shared" si="871"/>
        <v/>
      </c>
      <c r="AJ136" s="537" t="str">
        <f t="shared" si="872"/>
        <v/>
      </c>
      <c r="AK136" s="585" t="str">
        <f t="shared" si="873"/>
        <v/>
      </c>
      <c r="AL136" s="582" t="str">
        <f t="shared" si="874"/>
        <v/>
      </c>
      <c r="AM136" s="584" t="str">
        <f t="shared" si="875"/>
        <v/>
      </c>
      <c r="AN136" s="534" t="str">
        <f t="shared" si="876"/>
        <v/>
      </c>
      <c r="AO136" s="535" t="str">
        <f t="shared" si="855"/>
        <v/>
      </c>
      <c r="AP136" s="536" t="str">
        <f t="shared" si="877"/>
        <v/>
      </c>
      <c r="AQ136" s="537" t="str">
        <f t="shared" si="744"/>
        <v/>
      </c>
      <c r="AS136" s="933" t="str">
        <f t="shared" si="842"/>
        <v/>
      </c>
      <c r="AT136" s="929" t="str">
        <f t="shared" si="745"/>
        <v/>
      </c>
      <c r="AU136" s="418"/>
      <c r="AV136" s="164" t="str">
        <f t="shared" si="746"/>
        <v/>
      </c>
      <c r="AW136" s="832" t="str">
        <f>IFERROR(INDEX(MassProp!C$9:C$150,MATCH($M136,MassProp!$B$9:$B$150,0)),"")</f>
        <v/>
      </c>
      <c r="AX136" s="833" t="str">
        <f>IFERROR(INDEX(MassProp!D$9:D$150,MATCH($M136,MassProp!$B$9:$B$150,0)),"")</f>
        <v/>
      </c>
      <c r="AY136" s="834" t="str">
        <f>IFERROR(INDEX(MassProp!E$9:E$150,MATCH($M136,MassProp!$B$9:$B$150,0)),"")</f>
        <v/>
      </c>
      <c r="AZ136" s="297" t="str">
        <f t="shared" si="878"/>
        <v/>
      </c>
      <c r="BA136" s="505" t="str">
        <f t="shared" si="879"/>
        <v/>
      </c>
      <c r="BB136" s="506" t="str">
        <f t="shared" si="610"/>
        <v/>
      </c>
      <c r="BC136" s="496"/>
      <c r="BD136" s="494" t="str">
        <f t="shared" si="880"/>
        <v/>
      </c>
      <c r="BE136" s="497" t="str">
        <f t="shared" si="748"/>
        <v/>
      </c>
      <c r="BF136" s="498" t="str">
        <f t="shared" si="749"/>
        <v/>
      </c>
      <c r="BG136" s="494" t="str">
        <f t="shared" si="750"/>
        <v/>
      </c>
      <c r="BH136" s="495" t="str">
        <f t="shared" si="751"/>
        <v/>
      </c>
      <c r="BI136" s="496" t="str">
        <f t="shared" si="881"/>
        <v/>
      </c>
      <c r="BJ136" s="494" t="str">
        <f t="shared" si="752"/>
        <v/>
      </c>
      <c r="BK136" s="499" t="str">
        <f t="shared" si="753"/>
        <v/>
      </c>
      <c r="BL136" s="502" t="str">
        <f t="shared" si="754"/>
        <v/>
      </c>
      <c r="BM136" s="494" t="str">
        <f t="shared" si="755"/>
        <v/>
      </c>
      <c r="BN136" s="497" t="str">
        <f t="shared" si="756"/>
        <v/>
      </c>
      <c r="BO136" s="498" t="str">
        <f t="shared" si="882"/>
        <v/>
      </c>
      <c r="BP136" s="494" t="str">
        <f t="shared" si="734"/>
        <v/>
      </c>
      <c r="BQ136" s="494" t="str">
        <f t="shared" si="883"/>
        <v/>
      </c>
      <c r="BR136" s="497" t="str">
        <f t="shared" si="884"/>
        <v/>
      </c>
      <c r="BS136" s="498" t="str">
        <f t="shared" si="839"/>
        <v/>
      </c>
      <c r="BT136" s="494" t="str">
        <f t="shared" si="839"/>
        <v/>
      </c>
      <c r="BU136" s="495" t="str">
        <f t="shared" si="613"/>
        <v/>
      </c>
      <c r="BV136" s="496" t="str">
        <f t="shared" si="614"/>
        <v/>
      </c>
      <c r="BW136" s="494" t="str">
        <f t="shared" si="615"/>
        <v/>
      </c>
      <c r="BX136" s="499" t="str">
        <f t="shared" si="616"/>
        <v/>
      </c>
      <c r="BY136" s="502" t="str">
        <f t="shared" si="617"/>
        <v/>
      </c>
      <c r="BZ136" s="494" t="str">
        <f t="shared" si="618"/>
        <v/>
      </c>
      <c r="CA136" s="497" t="str">
        <f t="shared" si="619"/>
        <v/>
      </c>
      <c r="CB136" s="498" t="str">
        <f t="shared" si="885"/>
        <v/>
      </c>
      <c r="CC136" s="494" t="str">
        <f t="shared" si="886"/>
        <v/>
      </c>
      <c r="CD136" s="494" t="str">
        <f t="shared" si="887"/>
        <v/>
      </c>
      <c r="CE136" s="497" t="str">
        <f t="shared" si="888"/>
        <v/>
      </c>
      <c r="CF136" s="498" t="str">
        <f t="shared" si="889"/>
        <v/>
      </c>
      <c r="CG136" s="494" t="str">
        <f t="shared" si="890"/>
        <v/>
      </c>
      <c r="CH136" s="494" t="str">
        <f t="shared" si="891"/>
        <v/>
      </c>
      <c r="CI136" s="498" t="str">
        <f t="shared" si="620"/>
        <v/>
      </c>
      <c r="CJ136" s="494" t="str">
        <f t="shared" si="892"/>
        <v/>
      </c>
      <c r="CK136" s="499" t="str">
        <f t="shared" si="893"/>
        <v/>
      </c>
      <c r="CL136" s="502" t="str">
        <f t="shared" si="894"/>
        <v/>
      </c>
      <c r="CM136" s="494" t="str">
        <f t="shared" si="895"/>
        <v/>
      </c>
      <c r="CN136" s="497" t="str">
        <f t="shared" si="896"/>
        <v/>
      </c>
      <c r="CO136" s="507" t="str">
        <f t="shared" si="757"/>
        <v/>
      </c>
      <c r="CP136" s="498" t="str">
        <f t="shared" si="897"/>
        <v/>
      </c>
      <c r="CQ136" s="494" t="str">
        <f t="shared" si="898"/>
        <v/>
      </c>
      <c r="CR136" s="494" t="str">
        <f t="shared" si="899"/>
        <v/>
      </c>
      <c r="CS136" s="499" t="str">
        <f t="shared" si="900"/>
        <v/>
      </c>
      <c r="CT136" s="496" t="str">
        <f t="shared" si="901"/>
        <v/>
      </c>
      <c r="CU136" s="497" t="str">
        <f t="shared" si="902"/>
        <v/>
      </c>
      <c r="CV136" s="498" t="str">
        <f t="shared" si="903"/>
        <v/>
      </c>
      <c r="CW136" s="494" t="str">
        <f t="shared" si="904"/>
        <v/>
      </c>
      <c r="CX136" s="499" t="str">
        <f t="shared" si="905"/>
        <v/>
      </c>
      <c r="CY136" s="496" t="str">
        <f t="shared" si="906"/>
        <v/>
      </c>
      <c r="CZ136" s="494" t="str">
        <f t="shared" si="907"/>
        <v/>
      </c>
      <c r="DA136" s="497" t="str">
        <f t="shared" si="908"/>
        <v/>
      </c>
      <c r="DB136" s="498" t="str">
        <f t="shared" si="843"/>
        <v/>
      </c>
      <c r="DC136" s="494" t="str">
        <f t="shared" si="843"/>
        <v/>
      </c>
      <c r="DD136" s="495" t="str">
        <f t="shared" si="658"/>
        <v/>
      </c>
      <c r="DE136" s="496" t="str">
        <f t="shared" si="844"/>
        <v/>
      </c>
      <c r="DF136" s="494" t="str">
        <f t="shared" si="844"/>
        <v/>
      </c>
      <c r="DG136" s="495" t="str">
        <f t="shared" si="660"/>
        <v/>
      </c>
      <c r="DH136" s="501" t="str">
        <f t="shared" si="909"/>
        <v/>
      </c>
      <c r="DI136" s="498" t="str">
        <f t="shared" si="910"/>
        <v/>
      </c>
      <c r="DJ136" s="494" t="str">
        <f t="shared" si="911"/>
        <v/>
      </c>
      <c r="DK136" s="495" t="str">
        <f t="shared" si="912"/>
        <v/>
      </c>
      <c r="DL136" s="496" t="str">
        <f t="shared" si="913"/>
        <v/>
      </c>
      <c r="DM136" s="502" t="str">
        <f t="shared" si="914"/>
        <v/>
      </c>
      <c r="DN136" s="508" t="str">
        <f t="shared" si="915"/>
        <v/>
      </c>
      <c r="DO136" s="496" t="str">
        <f t="shared" si="916"/>
        <v/>
      </c>
      <c r="DP136" s="502" t="str">
        <f t="shared" si="917"/>
        <v/>
      </c>
      <c r="DQ136" s="503" t="str">
        <f t="shared" si="918"/>
        <v/>
      </c>
      <c r="DR136" s="502" t="str">
        <f t="shared" si="919"/>
        <v/>
      </c>
      <c r="DS136" s="494" t="str">
        <f t="shared" si="920"/>
        <v/>
      </c>
      <c r="DT136" s="494" t="str">
        <f t="shared" si="921"/>
        <v/>
      </c>
      <c r="DU136" s="494" t="str">
        <f t="shared" si="922"/>
        <v/>
      </c>
      <c r="DV136" s="494" t="str">
        <f t="shared" si="923"/>
        <v/>
      </c>
      <c r="DW136" s="494" t="str">
        <f t="shared" si="924"/>
        <v/>
      </c>
      <c r="DX136" s="507" t="str">
        <f t="shared" si="925"/>
        <v/>
      </c>
      <c r="DY136" s="496" t="str">
        <f t="shared" si="926"/>
        <v/>
      </c>
      <c r="DZ136" s="494" t="str">
        <f t="shared" si="927"/>
        <v/>
      </c>
      <c r="EA136" s="495" t="str">
        <f t="shared" si="928"/>
        <v/>
      </c>
      <c r="EB136" s="497" t="str">
        <f t="shared" si="929"/>
        <v/>
      </c>
      <c r="EC136" s="502" t="str">
        <f t="shared" si="930"/>
        <v/>
      </c>
      <c r="ED136" s="494" t="str">
        <f t="shared" si="931"/>
        <v/>
      </c>
      <c r="EE136" s="498" t="str">
        <f t="shared" si="932"/>
        <v/>
      </c>
      <c r="EF136" s="494" t="str">
        <f t="shared" si="933"/>
        <v/>
      </c>
      <c r="EG136" s="495" t="str">
        <f t="shared" si="934"/>
        <v/>
      </c>
      <c r="EH136" s="496" t="str">
        <f t="shared" si="935"/>
        <v/>
      </c>
      <c r="EI136" s="494" t="str">
        <f t="shared" si="936"/>
        <v/>
      </c>
      <c r="EJ136" s="497" t="str">
        <f t="shared" si="937"/>
        <v/>
      </c>
      <c r="EK136" s="509" t="str">
        <f t="shared" si="690"/>
        <v/>
      </c>
      <c r="EL136" s="510" t="str">
        <f t="shared" si="691"/>
        <v/>
      </c>
      <c r="EM136" s="498" t="str">
        <f t="shared" si="938"/>
        <v/>
      </c>
      <c r="EN136" s="494" t="str">
        <f t="shared" si="939"/>
        <v/>
      </c>
      <c r="EO136" s="495" t="str">
        <f t="shared" si="940"/>
        <v/>
      </c>
      <c r="EP136" s="496" t="str">
        <f t="shared" si="941"/>
        <v/>
      </c>
      <c r="EQ136" s="494" t="str">
        <f t="shared" si="942"/>
        <v/>
      </c>
      <c r="ER136" s="500" t="str">
        <f t="shared" si="943"/>
        <v/>
      </c>
      <c r="ES136" s="493" t="str">
        <f t="shared" si="758"/>
        <v/>
      </c>
      <c r="ET136" s="494" t="str">
        <f t="shared" si="759"/>
        <v/>
      </c>
      <c r="EU136" s="495" t="str">
        <f t="shared" si="760"/>
        <v/>
      </c>
      <c r="EV136" s="174" t="str">
        <f t="shared" si="944"/>
        <v/>
      </c>
      <c r="EW136" s="496" t="str">
        <f t="shared" si="945"/>
        <v/>
      </c>
      <c r="EX136" s="494" t="str">
        <f t="shared" si="946"/>
        <v/>
      </c>
      <c r="EY136" s="497" t="str">
        <f t="shared" si="947"/>
        <v/>
      </c>
      <c r="EZ136" s="504" t="str">
        <f t="shared" si="699"/>
        <v/>
      </c>
      <c r="FA136" s="502" t="str">
        <f t="shared" si="764"/>
        <v/>
      </c>
      <c r="FB136" s="494" t="str">
        <f t="shared" si="765"/>
        <v/>
      </c>
      <c r="FC136" s="497" t="str">
        <f t="shared" si="766"/>
        <v/>
      </c>
      <c r="FD136" s="498" t="str">
        <f t="shared" si="948"/>
        <v/>
      </c>
      <c r="FE136" s="494" t="str">
        <f t="shared" si="949"/>
        <v/>
      </c>
      <c r="FF136" s="500" t="str">
        <f t="shared" si="950"/>
        <v/>
      </c>
      <c r="FG136" s="173" t="str">
        <f t="shared" si="951"/>
        <v/>
      </c>
      <c r="FH136" s="5" t="str">
        <f t="shared" si="952"/>
        <v/>
      </c>
      <c r="FI136" s="10" t="str">
        <f t="shared" si="953"/>
        <v/>
      </c>
      <c r="FJ136" s="279" t="str">
        <f t="shared" si="954"/>
        <v/>
      </c>
      <c r="FK136" s="4" t="str">
        <f t="shared" si="955"/>
        <v/>
      </c>
      <c r="FL136" s="5" t="str">
        <f t="shared" si="956"/>
        <v/>
      </c>
      <c r="FM136" s="8" t="str">
        <f t="shared" si="957"/>
        <v/>
      </c>
      <c r="FN136" s="9" t="str">
        <f t="shared" si="958"/>
        <v/>
      </c>
      <c r="FO136" s="10" t="str">
        <f t="shared" si="959"/>
        <v/>
      </c>
      <c r="FP136" s="277" t="str">
        <f t="shared" si="960"/>
        <v/>
      </c>
      <c r="FQ136" s="173" t="str">
        <f t="shared" si="961"/>
        <v/>
      </c>
      <c r="FR136" s="10" t="str">
        <f t="shared" si="962"/>
        <v/>
      </c>
      <c r="FS136" s="9" t="str">
        <f t="shared" si="963"/>
        <v/>
      </c>
      <c r="FT136" s="6" t="str">
        <f t="shared" si="964"/>
        <v/>
      </c>
      <c r="FU136" s="4" t="str">
        <f t="shared" si="965"/>
        <v/>
      </c>
      <c r="FV136" s="5" t="str">
        <f t="shared" si="966"/>
        <v/>
      </c>
      <c r="FW136" s="8" t="str">
        <f t="shared" si="967"/>
        <v/>
      </c>
      <c r="FX136" s="9" t="str">
        <f t="shared" si="968"/>
        <v/>
      </c>
      <c r="FY136" s="10" t="str">
        <f t="shared" si="969"/>
        <v/>
      </c>
      <c r="FZ136" s="277" t="str">
        <f t="shared" si="970"/>
        <v/>
      </c>
      <c r="GA136" s="177" t="str">
        <f t="shared" si="971"/>
        <v/>
      </c>
      <c r="GB136" s="4" t="str">
        <f t="shared" si="972"/>
        <v/>
      </c>
      <c r="GC136" s="5" t="str">
        <f t="shared" si="973"/>
        <v/>
      </c>
      <c r="GD136" s="10" t="str">
        <f t="shared" si="974"/>
        <v/>
      </c>
      <c r="GE136" s="311" t="str">
        <f t="shared" si="975"/>
        <v/>
      </c>
      <c r="GF136" s="341" t="str">
        <f t="shared" si="976"/>
        <v/>
      </c>
      <c r="GG136" s="306" t="str">
        <f t="shared" si="977"/>
        <v/>
      </c>
      <c r="GH136" s="307" t="str">
        <f t="shared" si="978"/>
        <v/>
      </c>
      <c r="GI136" s="308" t="str">
        <f t="shared" si="979"/>
        <v/>
      </c>
      <c r="GJ136" s="167" t="str">
        <f t="shared" si="980"/>
        <v/>
      </c>
      <c r="GK136" s="174" t="str">
        <f t="shared" si="778"/>
        <v/>
      </c>
      <c r="GL136" s="174" t="str">
        <f t="shared" si="981"/>
        <v/>
      </c>
      <c r="GM136" s="177" t="str">
        <f t="shared" si="982"/>
        <v/>
      </c>
      <c r="GN136" s="280" t="str">
        <f t="shared" si="983"/>
        <v/>
      </c>
      <c r="GO136" s="4" t="str">
        <f t="shared" si="984"/>
        <v/>
      </c>
      <c r="GP136" s="8" t="str">
        <f t="shared" si="985"/>
        <v/>
      </c>
      <c r="GQ136" s="177" t="str">
        <f t="shared" si="986"/>
        <v/>
      </c>
      <c r="GR136" s="371" t="str">
        <f t="shared" si="987"/>
        <v/>
      </c>
      <c r="GS136" s="342" t="str">
        <f t="shared" si="988"/>
        <v/>
      </c>
      <c r="GT136" s="343" t="str">
        <f t="shared" si="989"/>
        <v/>
      </c>
      <c r="GU136" s="344" t="str">
        <f t="shared" si="781"/>
        <v/>
      </c>
      <c r="GV136" s="343" t="str">
        <f t="shared" si="990"/>
        <v/>
      </c>
      <c r="GW136" s="345" t="str">
        <f t="shared" si="782"/>
        <v/>
      </c>
      <c r="GX136" s="346" t="str">
        <f t="shared" si="783"/>
        <v/>
      </c>
      <c r="GY136" s="344" t="str">
        <f t="shared" si="991"/>
        <v/>
      </c>
      <c r="GZ136" s="345" t="str">
        <f t="shared" si="992"/>
        <v/>
      </c>
      <c r="HA136" s="342" t="str">
        <f t="shared" si="786"/>
        <v/>
      </c>
      <c r="HB136" s="5" t="str">
        <f t="shared" si="726"/>
        <v/>
      </c>
      <c r="HC136" s="343" t="str">
        <f t="shared" si="993"/>
        <v/>
      </c>
      <c r="HD136" s="363" t="str">
        <f t="shared" si="994"/>
        <v/>
      </c>
      <c r="HE136" s="344" t="str">
        <f t="shared" si="787"/>
        <v/>
      </c>
      <c r="HF136" s="5" t="str">
        <f t="shared" si="788"/>
        <v/>
      </c>
      <c r="HG136" s="343" t="str">
        <f t="shared" si="995"/>
        <v/>
      </c>
      <c r="HH136" s="349" t="str">
        <f t="shared" si="996"/>
        <v/>
      </c>
      <c r="HI136" s="317" t="str">
        <f t="shared" si="789"/>
        <v/>
      </c>
      <c r="HK136" s="310" t="str">
        <f t="shared" si="840"/>
        <v/>
      </c>
      <c r="HL136" s="348" t="str">
        <f t="shared" si="790"/>
        <v/>
      </c>
      <c r="HM136" s="909" t="str">
        <f t="shared" si="791"/>
        <v/>
      </c>
      <c r="HN136" s="910" t="str">
        <f t="shared" si="792"/>
        <v/>
      </c>
      <c r="HO136" s="911"/>
      <c r="HP136" s="912"/>
      <c r="HQ136" s="910" t="str">
        <f t="shared" si="793"/>
        <v/>
      </c>
      <c r="HR136" s="913" t="str">
        <f t="shared" si="794"/>
        <v/>
      </c>
      <c r="HS136" s="865" t="str">
        <f t="shared" si="997"/>
        <v/>
      </c>
      <c r="HT136" s="875" t="str">
        <f t="shared" si="795"/>
        <v/>
      </c>
      <c r="HU136" s="876" t="str">
        <f t="shared" si="796"/>
        <v/>
      </c>
      <c r="HV136" s="872" t="str">
        <f t="shared" si="797"/>
        <v/>
      </c>
      <c r="HW136" s="866" t="str">
        <f t="shared" si="798"/>
        <v/>
      </c>
      <c r="HX136" s="867" t="str">
        <f t="shared" si="799"/>
        <v/>
      </c>
      <c r="HY136" s="866" t="str">
        <f t="shared" si="800"/>
        <v/>
      </c>
      <c r="HZ136" s="868" t="str">
        <f t="shared" si="801"/>
        <v/>
      </c>
      <c r="IA136" s="869" t="str">
        <f t="shared" si="802"/>
        <v/>
      </c>
      <c r="IB136" s="870" t="str">
        <f t="shared" si="803"/>
        <v/>
      </c>
      <c r="IC136" s="841" t="str">
        <f t="shared" si="804"/>
        <v/>
      </c>
      <c r="ID136" s="351" t="str">
        <f t="shared" si="805"/>
        <v/>
      </c>
      <c r="IE136" s="843" t="str">
        <f t="shared" si="806"/>
        <v/>
      </c>
      <c r="IF136" s="844"/>
      <c r="IG136" s="790" t="str">
        <f>IFERROR(IF($IW136="","",IF($IW136&lt;(((Settings!$C$19/2)*-1)*$IG$8),"Taper","Nose")),"")</f>
        <v/>
      </c>
      <c r="IH136" s="482" t="str">
        <f>IFERROR(IF((((($IY136*COS(RADIANS(180-$JA136)))*COS(RADIANS($JA136)))-(($IZ136*SIN(RADIANS(180-$JA136)))*SIN(RADIANS($JA136))))+$IW136)&lt;(((Settings!$C$19+$IH$8)/2)*-1),"Gage",""),"")</f>
        <v/>
      </c>
      <c r="II136" s="788" t="str">
        <f t="shared" si="731"/>
        <v/>
      </c>
      <c r="IJ136" s="674" t="str" cm="1">
        <f t="array" ref="IJ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K136" s="677" t="str" cm="1">
        <f t="array" ref="IK136">IFERROR(ROUND(VALUE(IF($IJ136&lt;1,$IJ136+LARGE((IF($M$9:$M$150="",0,$M$9:$M$150)-MOD(IF($M$9:$M$150="",0,$M$9:$M$150),1)),1),$IJ136)),4),"")</f>
        <v/>
      </c>
      <c r="IL136" s="482" t="str">
        <f t="shared" si="807"/>
        <v/>
      </c>
      <c r="IM136" s="482" t="str">
        <f t="shared" si="732"/>
        <v/>
      </c>
      <c r="IN136" s="670" t="str">
        <f t="shared" si="808"/>
        <v/>
      </c>
      <c r="IO136" s="702"/>
      <c r="IP136" s="5" t="str">
        <f t="shared" si="809"/>
        <v/>
      </c>
      <c r="IQ136" s="714"/>
      <c r="IR136" s="9" t="str">
        <f t="shared" si="810"/>
        <v/>
      </c>
      <c r="IS136" s="5" t="str">
        <f t="shared" si="811"/>
        <v/>
      </c>
      <c r="IT136" s="5" t="str">
        <f t="shared" si="812"/>
        <v/>
      </c>
      <c r="IU136" s="5" t="str">
        <f t="shared" si="813"/>
        <v/>
      </c>
      <c r="IV136" s="670" t="str">
        <f t="shared" si="814"/>
        <v/>
      </c>
      <c r="IW136" s="9" t="str">
        <f t="shared" si="815"/>
        <v/>
      </c>
      <c r="IX136" s="5" t="str">
        <f t="shared" si="816"/>
        <v/>
      </c>
      <c r="IY136" s="5" t="str">
        <f t="shared" si="817"/>
        <v/>
      </c>
      <c r="IZ136" s="5" t="str">
        <f t="shared" si="818"/>
        <v/>
      </c>
      <c r="JA136" s="705" t="str">
        <f t="shared" si="819"/>
        <v/>
      </c>
    </row>
    <row r="137" spans="1:261" ht="15" customHeight="1" x14ac:dyDescent="0.25">
      <c r="A137" s="75" t="str">
        <f t="shared" si="736"/>
        <v/>
      </c>
      <c r="B137" s="578" t="str">
        <f t="shared" si="845"/>
        <v/>
      </c>
      <c r="C137" s="572" t="str">
        <f t="shared" si="846"/>
        <v/>
      </c>
      <c r="D137" s="576" t="str">
        <f t="shared" si="847"/>
        <v/>
      </c>
      <c r="E137" s="580" t="str">
        <f t="shared" si="848"/>
        <v/>
      </c>
      <c r="F137" s="572" t="str">
        <f t="shared" si="849"/>
        <v/>
      </c>
      <c r="G137" s="579" t="str">
        <f t="shared" si="850"/>
        <v/>
      </c>
      <c r="H137" s="580" t="str">
        <f t="shared" si="851"/>
        <v/>
      </c>
      <c r="I137" s="572" t="str">
        <f t="shared" si="852"/>
        <v/>
      </c>
      <c r="J137" s="483" t="str">
        <f t="shared" si="853"/>
        <v/>
      </c>
      <c r="K137" s="806" t="str">
        <f t="shared" si="854"/>
        <v/>
      </c>
      <c r="L137" s="309"/>
      <c r="M137" s="492" t="str">
        <f t="shared" ref="M137:M150" si="998">IF(J137="","",VALUE(J137))</f>
        <v/>
      </c>
      <c r="N137" s="581" t="str">
        <f t="shared" ref="N137:N150" si="999">IF(M137="","",B137)</f>
        <v/>
      </c>
      <c r="O137" s="582" t="str">
        <f t="shared" ref="O137:O150" si="1000">IF(M137="","",C137)</f>
        <v/>
      </c>
      <c r="P137" s="583" t="str">
        <f t="shared" ref="P137:P150" si="1001">IF(M137="","",D137)</f>
        <v/>
      </c>
      <c r="Q137" s="536" t="str">
        <f t="shared" si="856"/>
        <v/>
      </c>
      <c r="R137" s="582" t="str">
        <f t="shared" si="857"/>
        <v/>
      </c>
      <c r="S137" s="584" t="str">
        <f t="shared" si="858"/>
        <v/>
      </c>
      <c r="T137" s="585" t="str">
        <f t="shared" si="859"/>
        <v/>
      </c>
      <c r="U137" s="582" t="str">
        <f t="shared" si="860"/>
        <v/>
      </c>
      <c r="V137" s="586" t="str">
        <f t="shared" si="861"/>
        <v/>
      </c>
      <c r="W137" s="536" t="str">
        <f t="shared" si="862"/>
        <v/>
      </c>
      <c r="X137" s="582" t="str">
        <f t="shared" si="863"/>
        <v/>
      </c>
      <c r="Y137" s="587" t="str">
        <f t="shared" si="864"/>
        <v/>
      </c>
      <c r="Z137" s="581" t="str">
        <f t="shared" ref="Z137:Z150" si="1002">IF(M137="","",-E137)</f>
        <v/>
      </c>
      <c r="AA137" s="582" t="str">
        <f t="shared" ref="AA137:AA150" si="1003">IF(M137="","",-F137)</f>
        <v/>
      </c>
      <c r="AB137" s="582" t="str">
        <f t="shared" ref="AB137:AB150" si="1004">IF(M137="","",-G137)</f>
        <v/>
      </c>
      <c r="AC137" s="586" t="str">
        <f t="shared" si="865"/>
        <v/>
      </c>
      <c r="AD137" s="588" t="str">
        <f t="shared" si="866"/>
        <v/>
      </c>
      <c r="AE137" s="582" t="str">
        <f t="shared" si="867"/>
        <v/>
      </c>
      <c r="AF137" s="583" t="str">
        <f t="shared" si="868"/>
        <v/>
      </c>
      <c r="AG137" s="547" t="str">
        <f t="shared" si="869"/>
        <v/>
      </c>
      <c r="AH137" s="548" t="str">
        <f t="shared" si="870"/>
        <v/>
      </c>
      <c r="AI137" s="536" t="str">
        <f t="shared" si="871"/>
        <v/>
      </c>
      <c r="AJ137" s="537" t="str">
        <f t="shared" si="872"/>
        <v/>
      </c>
      <c r="AK137" s="585" t="str">
        <f t="shared" si="873"/>
        <v/>
      </c>
      <c r="AL137" s="582" t="str">
        <f t="shared" si="874"/>
        <v/>
      </c>
      <c r="AM137" s="584" t="str">
        <f t="shared" si="875"/>
        <v/>
      </c>
      <c r="AN137" s="534" t="str">
        <f t="shared" si="876"/>
        <v/>
      </c>
      <c r="AO137" s="535" t="str">
        <f t="shared" si="855"/>
        <v/>
      </c>
      <c r="AP137" s="536" t="str">
        <f t="shared" si="877"/>
        <v/>
      </c>
      <c r="AQ137" s="537" t="str">
        <f t="shared" ref="AQ137:AQ150" si="1005">IF(M137="","",DEGREES(ATAN(($AS$5*SIN(RADIANS(90)))/(($X137*2*PI())-($AS$5*COS(RADIANS(90)))))))</f>
        <v/>
      </c>
      <c r="AS137" s="933" t="str">
        <f t="shared" si="842"/>
        <v/>
      </c>
      <c r="AT137" s="929" t="str">
        <f t="shared" ref="AT137:AT150" si="1006">IF(M137="","",Y137+(((AS137-$AS$9)*$AS$6)*-1))</f>
        <v/>
      </c>
      <c r="AU137" s="418"/>
      <c r="AV137" s="164" t="str">
        <f t="shared" ref="AV137:AV150" si="1007">IF(AND(ISNUMBER(VALUE(K137)),ISNUMBER(AW137),ISNUMBER(AX137),ISNUMBER(AY137),AY137&gt;=0.0001),$M137,"")</f>
        <v/>
      </c>
      <c r="AW137" s="832" t="str">
        <f>IFERROR(INDEX(MassProp!C$9:C$150,MATCH($M137,MassProp!$B$9:$B$150,0)),"")</f>
        <v/>
      </c>
      <c r="AX137" s="833" t="str">
        <f>IFERROR(INDEX(MassProp!D$9:D$150,MATCH($M137,MassProp!$B$9:$B$150,0)),"")</f>
        <v/>
      </c>
      <c r="AY137" s="834" t="str">
        <f>IFERROR(INDEX(MassProp!E$9:E$150,MATCH($M137,MassProp!$B$9:$B$150,0)),"")</f>
        <v/>
      </c>
      <c r="AZ137" s="297" t="str">
        <f t="shared" si="878"/>
        <v/>
      </c>
      <c r="BA137" s="505" t="str">
        <f t="shared" si="879"/>
        <v/>
      </c>
      <c r="BB137" s="506" t="str">
        <f t="shared" si="610"/>
        <v/>
      </c>
      <c r="BC137" s="496"/>
      <c r="BD137" s="494" t="str">
        <f t="shared" si="880"/>
        <v/>
      </c>
      <c r="BE137" s="497" t="str">
        <f t="shared" ref="BE137:BE150" si="1008">IF(ISNUMBER(AV137),Y137+BB137,"")</f>
        <v/>
      </c>
      <c r="BF137" s="498" t="str">
        <f t="shared" ref="BF137:BF150" si="1009">IF(ISNUMBER($AV137),N137,"")</f>
        <v/>
      </c>
      <c r="BG137" s="494" t="str">
        <f t="shared" ref="BG137:BG150" si="1010">IF(ISNUMBER($AV137),O137,"")</f>
        <v/>
      </c>
      <c r="BH137" s="495" t="str">
        <f t="shared" ref="BH137:BH150" si="1011">IF(ISNUMBER($AV137),P137,"")</f>
        <v/>
      </c>
      <c r="BI137" s="496" t="str">
        <f t="shared" si="881"/>
        <v/>
      </c>
      <c r="BJ137" s="494" t="str">
        <f t="shared" ref="BJ137:BJ150" si="1012">IF(ISNUMBER($AV137),BG137+COS(RADIANS($AG137)),"")</f>
        <v/>
      </c>
      <c r="BK137" s="499" t="str">
        <f t="shared" ref="BK137:BK150" si="1013">IF(ISNUMBER($AV137),BH137+SIN(RADIANS($AG137)),"")</f>
        <v/>
      </c>
      <c r="BL137" s="502" t="str">
        <f t="shared" ref="BL137:BL150" si="1014">IF(ISNUMBER($AV137),BF137+SIN(RADIANS($AH137)),"")</f>
        <v/>
      </c>
      <c r="BM137" s="494" t="str">
        <f t="shared" ref="BM137:BM150" si="1015">IF(ISNUMBER($AV137),BG137-SIN(RADIANS($AG137))*COS(RADIANS($AH137)),"")</f>
        <v/>
      </c>
      <c r="BN137" s="497" t="str">
        <f t="shared" ref="BN137:BN150" si="1016">IF(ISNUMBER($AV137),BH137+COS(RADIANS($AG137))*COS(RADIANS($AH137)),"")</f>
        <v/>
      </c>
      <c r="BO137" s="498" t="str">
        <f t="shared" si="882"/>
        <v/>
      </c>
      <c r="BP137" s="494" t="str">
        <f t="shared" si="734"/>
        <v/>
      </c>
      <c r="BQ137" s="494" t="str">
        <f t="shared" si="883"/>
        <v/>
      </c>
      <c r="BR137" s="497" t="str">
        <f t="shared" si="884"/>
        <v/>
      </c>
      <c r="BS137" s="498" t="str">
        <f t="shared" si="839"/>
        <v/>
      </c>
      <c r="BT137" s="494" t="str">
        <f t="shared" si="839"/>
        <v/>
      </c>
      <c r="BU137" s="495" t="str">
        <f t="shared" si="613"/>
        <v/>
      </c>
      <c r="BV137" s="496" t="str">
        <f t="shared" si="614"/>
        <v/>
      </c>
      <c r="BW137" s="494" t="str">
        <f t="shared" si="615"/>
        <v/>
      </c>
      <c r="BX137" s="499" t="str">
        <f t="shared" si="616"/>
        <v/>
      </c>
      <c r="BY137" s="502" t="str">
        <f t="shared" si="617"/>
        <v/>
      </c>
      <c r="BZ137" s="494" t="str">
        <f t="shared" si="618"/>
        <v/>
      </c>
      <c r="CA137" s="497" t="str">
        <f t="shared" si="619"/>
        <v/>
      </c>
      <c r="CB137" s="498" t="str">
        <f t="shared" si="885"/>
        <v/>
      </c>
      <c r="CC137" s="494" t="str">
        <f t="shared" si="886"/>
        <v/>
      </c>
      <c r="CD137" s="494" t="str">
        <f t="shared" si="887"/>
        <v/>
      </c>
      <c r="CE137" s="497" t="str">
        <f t="shared" si="888"/>
        <v/>
      </c>
      <c r="CF137" s="498" t="str">
        <f t="shared" si="889"/>
        <v/>
      </c>
      <c r="CG137" s="494" t="str">
        <f t="shared" si="890"/>
        <v/>
      </c>
      <c r="CH137" s="494" t="str">
        <f t="shared" si="891"/>
        <v/>
      </c>
      <c r="CI137" s="498" t="str">
        <f t="shared" si="620"/>
        <v/>
      </c>
      <c r="CJ137" s="494" t="str">
        <f t="shared" si="892"/>
        <v/>
      </c>
      <c r="CK137" s="499" t="str">
        <f t="shared" si="893"/>
        <v/>
      </c>
      <c r="CL137" s="502" t="str">
        <f t="shared" si="894"/>
        <v/>
      </c>
      <c r="CM137" s="494" t="str">
        <f t="shared" si="895"/>
        <v/>
      </c>
      <c r="CN137" s="497" t="str">
        <f t="shared" si="896"/>
        <v/>
      </c>
      <c r="CO137" s="507" t="str">
        <f t="shared" ref="CO137:CO150" si="1017">IF(ISNUMBER($AV137),IF(AND(($H137*2)&gt;=$BE$161,($H137*2)&lt;=$BF$161),($BD$161/2),IF(AND(($H137*2)&gt;=$BE$163,($H137*2)&lt;=$BF$163),($BD$163/2),IF(AND(($H137*2)&gt;=$BE$165,($H137*2)&lt;=$BF$165),($BD$165/2),IF(AND(($H137*2)&gt;=$BE$168,($H137*2)&lt;=$BF$168),($BD$168/2),"Radius")))),"")</f>
        <v/>
      </c>
      <c r="CP137" s="498" t="str">
        <f t="shared" si="897"/>
        <v/>
      </c>
      <c r="CQ137" s="494" t="str">
        <f t="shared" si="898"/>
        <v/>
      </c>
      <c r="CR137" s="494" t="str">
        <f t="shared" si="899"/>
        <v/>
      </c>
      <c r="CS137" s="499" t="str">
        <f t="shared" si="900"/>
        <v/>
      </c>
      <c r="CT137" s="496" t="str">
        <f t="shared" si="901"/>
        <v/>
      </c>
      <c r="CU137" s="497" t="str">
        <f t="shared" si="902"/>
        <v/>
      </c>
      <c r="CV137" s="498" t="str">
        <f t="shared" si="903"/>
        <v/>
      </c>
      <c r="CW137" s="494" t="str">
        <f t="shared" si="904"/>
        <v/>
      </c>
      <c r="CX137" s="499" t="str">
        <f t="shared" si="905"/>
        <v/>
      </c>
      <c r="CY137" s="496" t="str">
        <f t="shared" si="906"/>
        <v/>
      </c>
      <c r="CZ137" s="494" t="str">
        <f t="shared" si="907"/>
        <v/>
      </c>
      <c r="DA137" s="497" t="str">
        <f t="shared" si="908"/>
        <v/>
      </c>
      <c r="DB137" s="498" t="str">
        <f t="shared" si="843"/>
        <v/>
      </c>
      <c r="DC137" s="494" t="str">
        <f t="shared" si="843"/>
        <v/>
      </c>
      <c r="DD137" s="495" t="str">
        <f t="shared" si="658"/>
        <v/>
      </c>
      <c r="DE137" s="496" t="str">
        <f t="shared" si="844"/>
        <v/>
      </c>
      <c r="DF137" s="494" t="str">
        <f t="shared" si="844"/>
        <v/>
      </c>
      <c r="DG137" s="495" t="str">
        <f t="shared" si="660"/>
        <v/>
      </c>
      <c r="DH137" s="501" t="str">
        <f t="shared" si="909"/>
        <v/>
      </c>
      <c r="DI137" s="498" t="str">
        <f t="shared" si="910"/>
        <v/>
      </c>
      <c r="DJ137" s="494" t="str">
        <f t="shared" si="911"/>
        <v/>
      </c>
      <c r="DK137" s="495" t="str">
        <f t="shared" si="912"/>
        <v/>
      </c>
      <c r="DL137" s="496" t="str">
        <f t="shared" si="913"/>
        <v/>
      </c>
      <c r="DM137" s="502" t="str">
        <f t="shared" si="914"/>
        <v/>
      </c>
      <c r="DN137" s="508" t="str">
        <f t="shared" si="915"/>
        <v/>
      </c>
      <c r="DO137" s="496" t="str">
        <f t="shared" si="916"/>
        <v/>
      </c>
      <c r="DP137" s="502" t="str">
        <f t="shared" si="917"/>
        <v/>
      </c>
      <c r="DQ137" s="503" t="str">
        <f t="shared" si="918"/>
        <v/>
      </c>
      <c r="DR137" s="502" t="str">
        <f t="shared" si="919"/>
        <v/>
      </c>
      <c r="DS137" s="494" t="str">
        <f t="shared" si="920"/>
        <v/>
      </c>
      <c r="DT137" s="494" t="str">
        <f t="shared" si="921"/>
        <v/>
      </c>
      <c r="DU137" s="494" t="str">
        <f t="shared" si="922"/>
        <v/>
      </c>
      <c r="DV137" s="494" t="str">
        <f t="shared" si="923"/>
        <v/>
      </c>
      <c r="DW137" s="494" t="str">
        <f t="shared" si="924"/>
        <v/>
      </c>
      <c r="DX137" s="507" t="str">
        <f t="shared" si="925"/>
        <v/>
      </c>
      <c r="DY137" s="496" t="str">
        <f t="shared" si="926"/>
        <v/>
      </c>
      <c r="DZ137" s="494" t="str">
        <f t="shared" si="927"/>
        <v/>
      </c>
      <c r="EA137" s="495" t="str">
        <f t="shared" si="928"/>
        <v/>
      </c>
      <c r="EB137" s="497" t="str">
        <f t="shared" si="929"/>
        <v/>
      </c>
      <c r="EC137" s="502" t="str">
        <f t="shared" si="930"/>
        <v/>
      </c>
      <c r="ED137" s="494" t="str">
        <f t="shared" si="931"/>
        <v/>
      </c>
      <c r="EE137" s="498" t="str">
        <f t="shared" si="932"/>
        <v/>
      </c>
      <c r="EF137" s="494" t="str">
        <f t="shared" si="933"/>
        <v/>
      </c>
      <c r="EG137" s="495" t="str">
        <f t="shared" si="934"/>
        <v/>
      </c>
      <c r="EH137" s="496" t="str">
        <f t="shared" si="935"/>
        <v/>
      </c>
      <c r="EI137" s="494" t="str">
        <f t="shared" si="936"/>
        <v/>
      </c>
      <c r="EJ137" s="497" t="str">
        <f t="shared" si="937"/>
        <v/>
      </c>
      <c r="EK137" s="509" t="str">
        <f t="shared" si="690"/>
        <v/>
      </c>
      <c r="EL137" s="510" t="str">
        <f t="shared" si="691"/>
        <v/>
      </c>
      <c r="EM137" s="498" t="str">
        <f t="shared" si="938"/>
        <v/>
      </c>
      <c r="EN137" s="494" t="str">
        <f t="shared" si="939"/>
        <v/>
      </c>
      <c r="EO137" s="495" t="str">
        <f t="shared" si="940"/>
        <v/>
      </c>
      <c r="EP137" s="496" t="str">
        <f t="shared" si="941"/>
        <v/>
      </c>
      <c r="EQ137" s="494" t="str">
        <f t="shared" si="942"/>
        <v/>
      </c>
      <c r="ER137" s="500" t="str">
        <f t="shared" si="943"/>
        <v/>
      </c>
      <c r="ES137" s="493" t="str">
        <f t="shared" ref="ES137:ES150" si="1018">IF(ISNUMBER($AV137),AD137,"")</f>
        <v/>
      </c>
      <c r="ET137" s="494" t="str">
        <f t="shared" ref="ET137:ET150" si="1019">IF(ISNUMBER($AV137),AE137,"")</f>
        <v/>
      </c>
      <c r="EU137" s="495" t="str">
        <f t="shared" ref="EU137:EU150" si="1020">IF(ISNUMBER($AV137),AF137,"")</f>
        <v/>
      </c>
      <c r="EV137" s="174" t="str">
        <f t="shared" si="944"/>
        <v/>
      </c>
      <c r="EW137" s="496" t="str">
        <f t="shared" si="945"/>
        <v/>
      </c>
      <c r="EX137" s="494" t="str">
        <f t="shared" si="946"/>
        <v/>
      </c>
      <c r="EY137" s="497" t="str">
        <f t="shared" si="947"/>
        <v/>
      </c>
      <c r="EZ137" s="504" t="str">
        <f t="shared" si="699"/>
        <v/>
      </c>
      <c r="FA137" s="502" t="str">
        <f t="shared" si="764"/>
        <v/>
      </c>
      <c r="FB137" s="494" t="str">
        <f t="shared" si="765"/>
        <v/>
      </c>
      <c r="FC137" s="497" t="str">
        <f t="shared" si="766"/>
        <v/>
      </c>
      <c r="FD137" s="498" t="str">
        <f t="shared" si="948"/>
        <v/>
      </c>
      <c r="FE137" s="494" t="str">
        <f t="shared" si="949"/>
        <v/>
      </c>
      <c r="FF137" s="500" t="str">
        <f t="shared" si="950"/>
        <v/>
      </c>
      <c r="FG137" s="173" t="str">
        <f t="shared" si="951"/>
        <v/>
      </c>
      <c r="FH137" s="5" t="str">
        <f t="shared" si="952"/>
        <v/>
      </c>
      <c r="FI137" s="10" t="str">
        <f t="shared" si="953"/>
        <v/>
      </c>
      <c r="FJ137" s="279" t="str">
        <f t="shared" si="954"/>
        <v/>
      </c>
      <c r="FK137" s="4" t="str">
        <f t="shared" si="955"/>
        <v/>
      </c>
      <c r="FL137" s="5" t="str">
        <f t="shared" si="956"/>
        <v/>
      </c>
      <c r="FM137" s="8" t="str">
        <f t="shared" si="957"/>
        <v/>
      </c>
      <c r="FN137" s="9" t="str">
        <f t="shared" si="958"/>
        <v/>
      </c>
      <c r="FO137" s="10" t="str">
        <f t="shared" si="959"/>
        <v/>
      </c>
      <c r="FP137" s="277" t="str">
        <f t="shared" si="960"/>
        <v/>
      </c>
      <c r="FQ137" s="173" t="str">
        <f t="shared" si="961"/>
        <v/>
      </c>
      <c r="FR137" s="10" t="str">
        <f t="shared" si="962"/>
        <v/>
      </c>
      <c r="FS137" s="9" t="str">
        <f t="shared" si="963"/>
        <v/>
      </c>
      <c r="FT137" s="6" t="str">
        <f t="shared" si="964"/>
        <v/>
      </c>
      <c r="FU137" s="4" t="str">
        <f t="shared" si="965"/>
        <v/>
      </c>
      <c r="FV137" s="5" t="str">
        <f t="shared" si="966"/>
        <v/>
      </c>
      <c r="FW137" s="8" t="str">
        <f t="shared" si="967"/>
        <v/>
      </c>
      <c r="FX137" s="9" t="str">
        <f t="shared" si="968"/>
        <v/>
      </c>
      <c r="FY137" s="10" t="str">
        <f t="shared" si="969"/>
        <v/>
      </c>
      <c r="FZ137" s="277" t="str">
        <f t="shared" si="970"/>
        <v/>
      </c>
      <c r="GA137" s="177" t="str">
        <f t="shared" si="971"/>
        <v/>
      </c>
      <c r="GB137" s="4" t="str">
        <f t="shared" si="972"/>
        <v/>
      </c>
      <c r="GC137" s="5" t="str">
        <f t="shared" si="973"/>
        <v/>
      </c>
      <c r="GD137" s="10" t="str">
        <f t="shared" si="974"/>
        <v/>
      </c>
      <c r="GE137" s="311" t="str">
        <f t="shared" si="975"/>
        <v/>
      </c>
      <c r="GF137" s="341" t="str">
        <f t="shared" si="976"/>
        <v/>
      </c>
      <c r="GG137" s="306" t="str">
        <f t="shared" si="977"/>
        <v/>
      </c>
      <c r="GH137" s="307" t="str">
        <f t="shared" si="978"/>
        <v/>
      </c>
      <c r="GI137" s="308" t="str">
        <f t="shared" si="979"/>
        <v/>
      </c>
      <c r="GJ137" s="167" t="str">
        <f t="shared" si="980"/>
        <v/>
      </c>
      <c r="GK137" s="174" t="str">
        <f t="shared" si="778"/>
        <v/>
      </c>
      <c r="GL137" s="174" t="str">
        <f t="shared" si="981"/>
        <v/>
      </c>
      <c r="GM137" s="177" t="str">
        <f t="shared" si="982"/>
        <v/>
      </c>
      <c r="GN137" s="280" t="str">
        <f t="shared" si="983"/>
        <v/>
      </c>
      <c r="GO137" s="4" t="str">
        <f t="shared" si="984"/>
        <v/>
      </c>
      <c r="GP137" s="8" t="str">
        <f t="shared" si="985"/>
        <v/>
      </c>
      <c r="GQ137" s="177" t="str">
        <f t="shared" si="986"/>
        <v/>
      </c>
      <c r="GR137" s="371" t="str">
        <f t="shared" si="987"/>
        <v/>
      </c>
      <c r="GS137" s="342" t="str">
        <f t="shared" si="988"/>
        <v/>
      </c>
      <c r="GT137" s="343" t="str">
        <f t="shared" si="989"/>
        <v/>
      </c>
      <c r="GU137" s="344" t="str">
        <f t="shared" si="781"/>
        <v/>
      </c>
      <c r="GV137" s="343" t="str">
        <f t="shared" si="990"/>
        <v/>
      </c>
      <c r="GW137" s="345" t="str">
        <f t="shared" si="782"/>
        <v/>
      </c>
      <c r="GX137" s="346" t="str">
        <f t="shared" si="783"/>
        <v/>
      </c>
      <c r="GY137" s="344" t="str">
        <f t="shared" si="991"/>
        <v/>
      </c>
      <c r="GZ137" s="345" t="str">
        <f t="shared" si="992"/>
        <v/>
      </c>
      <c r="HA137" s="342" t="str">
        <f t="shared" si="786"/>
        <v/>
      </c>
      <c r="HB137" s="5" t="str">
        <f t="shared" si="726"/>
        <v/>
      </c>
      <c r="HC137" s="343" t="str">
        <f t="shared" si="993"/>
        <v/>
      </c>
      <c r="HD137" s="363" t="str">
        <f t="shared" si="994"/>
        <v/>
      </c>
      <c r="HE137" s="344" t="str">
        <f t="shared" si="787"/>
        <v/>
      </c>
      <c r="HF137" s="5" t="str">
        <f t="shared" si="788"/>
        <v/>
      </c>
      <c r="HG137" s="343" t="str">
        <f t="shared" si="995"/>
        <v/>
      </c>
      <c r="HH137" s="349" t="str">
        <f t="shared" si="996"/>
        <v/>
      </c>
      <c r="HI137" s="317" t="str">
        <f t="shared" ref="HI137:HI150" si="1021">IF(ISNUMBER($AV137),$M137,"")</f>
        <v/>
      </c>
      <c r="HK137" s="310" t="str">
        <f t="shared" si="840"/>
        <v/>
      </c>
      <c r="HL137" s="348" t="str">
        <f t="shared" ref="HL137:HL150" si="1022">IF(ISNUMBER($HS137),INDEX(HI$9:HI$150,MATCH($HS137,$GJ$9:$GJ$150,0)),"")</f>
        <v/>
      </c>
      <c r="HM137" s="909" t="str">
        <f t="shared" ref="HM137:HM150" si="1023">IF(ISNUMBER($HL137),INDEX(GO$9:GO$150,MATCH($HL137,$AV$9:$AV$150,0)),"")</f>
        <v/>
      </c>
      <c r="HN137" s="910" t="str">
        <f t="shared" ref="HN137:HN150" si="1024">IF(ISNUMBER($HL137),INDEX(AO$9:AO$150,MATCH($HL137,$AV$9:$AV$150,0)),"")</f>
        <v/>
      </c>
      <c r="HO137" s="911"/>
      <c r="HP137" s="912"/>
      <c r="HQ137" s="910" t="str">
        <f t="shared" ref="HQ137:HQ150" si="1025">IF(ISNUMBER($HL137),INDEX(GQ$9:GQ$150,MATCH($HL137,$AV$9:$AV$150,0)),"")</f>
        <v/>
      </c>
      <c r="HR137" s="913" t="str">
        <f t="shared" ref="HR137:HR150" si="1026">IF(ISNUMBER($HL137),INDEX(GP$9:GP$150,MATCH($HL137,$AV$9:$AV$150,0)),"")</f>
        <v/>
      </c>
      <c r="HS137" s="865" t="str">
        <f t="shared" si="997"/>
        <v/>
      </c>
      <c r="HT137" s="875" t="str">
        <f t="shared" ref="HT137:HT150" si="1027">IF(ISNUMBER($HL137),INDEX(GL$9:GL$150,MATCH($HL137,$AV$9:$AV$150,0)),"")</f>
        <v/>
      </c>
      <c r="HU137" s="876" t="str">
        <f t="shared" ref="HU137:HU150" si="1028">IF(ISNUMBER($HL137),INDEX(GM$9:GM$150,MATCH($HL137,$AV$9:$AV$150,0)),"")</f>
        <v/>
      </c>
      <c r="HV137" s="872" t="str">
        <f t="shared" ref="HV137:HV150" si="1029">IF(ISNUMBER($HL137),INDEX(GN$9:GN$150,MATCH($HL137,$AV$9:$AV$150,0)),"")</f>
        <v/>
      </c>
      <c r="HW137" s="866" t="str">
        <f t="shared" ref="HW137:HW150" si="1030">IF(ISNUMBER($HL137),INDEX(GW$9:GW$150,MATCH($HL137,$AV$9:$AV$150,0)),"")</f>
        <v/>
      </c>
      <c r="HX137" s="867" t="str">
        <f t="shared" ref="HX137:HX150" si="1031">IF(ISNUMBER($HL137),INDEX(GX$9:GX$150,MATCH($HL137,$AV$9:$AV$150,0)),"")</f>
        <v/>
      </c>
      <c r="HY137" s="866" t="str">
        <f t="shared" ref="HY137:HY150" si="1032">IF(ISNUMBER($HL137),INDEX(GS$9:GS$150,MATCH($HL137,$AV$9:$AV$150,0)),"")</f>
        <v/>
      </c>
      <c r="HZ137" s="868" t="str">
        <f t="shared" ref="HZ137:HZ150" si="1033">IF(ISNUMBER($HL137),INDEX(GU$9:GU$150,MATCH($HL137,$AV$9:$AV$150,0)),"")</f>
        <v/>
      </c>
      <c r="IA137" s="869" t="str">
        <f t="shared" ref="IA137:IA150" si="1034">IF(ISNUMBER($HL137),INDEX(GY$9:GY$150,MATCH($HL137,$AV$9:$AV$150,0)),"")</f>
        <v/>
      </c>
      <c r="IB137" s="870" t="str">
        <f t="shared" ref="IB137:IB150" si="1035">IF(ISNUMBER($HL137),INDEX(GR$9:GR$150,MATCH($HL137,$AV$9:$AV$150,0)),"")</f>
        <v/>
      </c>
      <c r="IC137" s="841" t="str">
        <f t="shared" ref="IC137:IC150" si="1036">IF(ISNUMBER($HL137),INDEX(GT$9:GT$150,MATCH($HL137,$AV$9:$AV$150,0)),"")</f>
        <v/>
      </c>
      <c r="ID137" s="351" t="str">
        <f t="shared" ref="ID137:ID150" si="1037">IF(ISNUMBER($HL137),INDEX(GV$9:GV$150,MATCH($HL137,$AV$9:$AV$150,0)),"")</f>
        <v/>
      </c>
      <c r="IE137" s="843" t="str">
        <f t="shared" ref="IE137:IE150" si="1038">IF(ISNUMBER($HL137),INDEX(GZ$9:GZ$150,MATCH($HL137,$AV$9:$AV$150,0)),"")</f>
        <v/>
      </c>
      <c r="IF137" s="844"/>
      <c r="IG137" s="790" t="str">
        <f>IFERROR(IF($IW137="","",IF($IW137&lt;(((Settings!$C$19/2)*-1)*$IG$8),"Taper","Nose")),"")</f>
        <v/>
      </c>
      <c r="IH137" s="482" t="str">
        <f>IFERROR(IF((((($IY137*COS(RADIANS(180-$JA137)))*COS(RADIANS($JA137)))-(($IZ137*SIN(RADIANS(180-$JA137)))*SIN(RADIANS($JA137))))+$IW137)&lt;(((Settings!$C$19+$IH$8)/2)*-1),"Gage",""),"")</f>
        <v/>
      </c>
      <c r="II137" s="788" t="str">
        <f t="shared" si="731"/>
        <v/>
      </c>
      <c r="IJ137" s="674" t="str" cm="1">
        <f t="array" ref="IJ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K137" s="677" t="str" cm="1">
        <f t="array" ref="IK137">IFERROR(ROUND(VALUE(IF($IJ137&lt;1,$IJ137+LARGE((IF($M$9:$M$150="",0,$M$9:$M$150)-MOD(IF($M$9:$M$150="",0,$M$9:$M$150),1)),1),$IJ137)),4),"")</f>
        <v/>
      </c>
      <c r="IL137" s="482" t="str">
        <f t="shared" ref="IL137:IL150" si="1039">IF(ISNUMBER($IK137),INDEX($K$9:$K$150,MATCH($IK137,$M$9:$M$150,0)),$K137)</f>
        <v/>
      </c>
      <c r="IM137" s="482" t="str">
        <f t="shared" si="732"/>
        <v/>
      </c>
      <c r="IN137" s="670" t="str">
        <f t="shared" ref="IN137:IN150" si="1040">IF(ISNUMBER($IK137),IFERROR(IF(INDEX($W$9:$W$150,MATCH($IK137,$M$9:$M$150,0))&lt;$W137,((INDEX($W$9:$W$150,MATCH($IK137,$M$9:$M$150,0))+360)-$W137),INDEX($W$9:$W$150,MATCH($IK137,$M$9:$M$150,0))-$W137),""),"")</f>
        <v/>
      </c>
      <c r="IO137" s="702"/>
      <c r="IP137" s="5" t="str">
        <f t="shared" ref="IP137:IP150" si="1041">IF(ISNUMBER($IK137),(($IQ137*12)/60)/$AS$3,"")</f>
        <v/>
      </c>
      <c r="IQ137" s="714"/>
      <c r="IR137" s="9" t="str">
        <f t="shared" ref="IR137:IR150" si="1042">IF(ISNUMBER($IK137),(INDEX($X$9:$X$150,MATCH($IK137,$M$9:$M$150,0))*-1),"")</f>
        <v/>
      </c>
      <c r="IS137" s="5" t="str">
        <f t="shared" ref="IS137:IS150" si="1043">IF(ISNUMBER($IK137),INDEX($Y$9:$Y$150,MATCH($IK137,$M$9:$M$150,0)),"")</f>
        <v/>
      </c>
      <c r="IT137" s="5" t="str">
        <f t="shared" ref="IT137:IT150" si="1044">IF(ISNUMBER($IK137),INDEX($H$9:$H$150,MATCH($IK137,$M$9:$M$150,0)),"")</f>
        <v/>
      </c>
      <c r="IU137" s="5" t="str">
        <f t="shared" ref="IU137:IU150" si="1045">IF(ISNUMBER($IK137),$IT137*COS(RADIANS(INDEX($AO$9:$AO$150,MATCH($IK137,$M$9:$M$150,0)))),"")</f>
        <v/>
      </c>
      <c r="IV137" s="670" t="str">
        <f t="shared" ref="IV137:IV150" si="1046">IF(ISNUMBER($IK137),(-1*INDEX($AN$9:$AN$150,MATCH($IK137,$M$9:$M$150,0))),"")</f>
        <v/>
      </c>
      <c r="IW137" s="9" t="str">
        <f t="shared" ref="IW137:IW150" si="1047">IF(ISNUMBER($IK137),-$X137,"")</f>
        <v/>
      </c>
      <c r="IX137" s="5" t="str">
        <f t="shared" ref="IX137:IX150" si="1048">IF(ISNUMBER($IK137),$Y137,"")</f>
        <v/>
      </c>
      <c r="IY137" s="5" t="str">
        <f t="shared" ref="IY137:IY150" si="1049">IF(ISNUMBER($IK137),$H137,"")</f>
        <v/>
      </c>
      <c r="IZ137" s="5" t="str">
        <f t="shared" ref="IZ137:IZ150" si="1050">IF(ISNUMBER($IK137),$IY137*COS(RADIANS($AO137)),"")</f>
        <v/>
      </c>
      <c r="JA137" s="705" t="str">
        <f t="shared" ref="JA137:JA150" si="1051">IF(ISNUMBER($IK137),(-1*$AN137),"")</f>
        <v/>
      </c>
    </row>
    <row r="138" spans="1:261" ht="15" customHeight="1" x14ac:dyDescent="0.25">
      <c r="A138" s="75" t="str">
        <f t="shared" si="736"/>
        <v/>
      </c>
      <c r="B138" s="578" t="str">
        <f t="shared" si="845"/>
        <v/>
      </c>
      <c r="C138" s="572" t="str">
        <f t="shared" si="846"/>
        <v/>
      </c>
      <c r="D138" s="576" t="str">
        <f t="shared" si="847"/>
        <v/>
      </c>
      <c r="E138" s="580" t="str">
        <f t="shared" si="848"/>
        <v/>
      </c>
      <c r="F138" s="572" t="str">
        <f t="shared" si="849"/>
        <v/>
      </c>
      <c r="G138" s="579" t="str">
        <f t="shared" si="850"/>
        <v/>
      </c>
      <c r="H138" s="580" t="str">
        <f t="shared" si="851"/>
        <v/>
      </c>
      <c r="I138" s="572" t="str">
        <f t="shared" si="852"/>
        <v/>
      </c>
      <c r="J138" s="483" t="str">
        <f t="shared" si="853"/>
        <v/>
      </c>
      <c r="K138" s="806" t="str">
        <f t="shared" si="854"/>
        <v/>
      </c>
      <c r="L138" s="309"/>
      <c r="M138" s="492" t="str">
        <f t="shared" si="998"/>
        <v/>
      </c>
      <c r="N138" s="581" t="str">
        <f t="shared" si="999"/>
        <v/>
      </c>
      <c r="O138" s="582" t="str">
        <f t="shared" si="1000"/>
        <v/>
      </c>
      <c r="P138" s="583" t="str">
        <f t="shared" si="1001"/>
        <v/>
      </c>
      <c r="Q138" s="536" t="str">
        <f t="shared" si="856"/>
        <v/>
      </c>
      <c r="R138" s="582" t="str">
        <f t="shared" si="857"/>
        <v/>
      </c>
      <c r="S138" s="584" t="str">
        <f t="shared" si="858"/>
        <v/>
      </c>
      <c r="T138" s="585" t="str">
        <f t="shared" si="859"/>
        <v/>
      </c>
      <c r="U138" s="582" t="str">
        <f t="shared" si="860"/>
        <v/>
      </c>
      <c r="V138" s="586" t="str">
        <f t="shared" si="861"/>
        <v/>
      </c>
      <c r="W138" s="536" t="str">
        <f t="shared" si="862"/>
        <v/>
      </c>
      <c r="X138" s="582" t="str">
        <f t="shared" si="863"/>
        <v/>
      </c>
      <c r="Y138" s="587" t="str">
        <f t="shared" si="864"/>
        <v/>
      </c>
      <c r="Z138" s="581" t="str">
        <f t="shared" si="1002"/>
        <v/>
      </c>
      <c r="AA138" s="582" t="str">
        <f t="shared" si="1003"/>
        <v/>
      </c>
      <c r="AB138" s="582" t="str">
        <f t="shared" si="1004"/>
        <v/>
      </c>
      <c r="AC138" s="586" t="str">
        <f t="shared" si="865"/>
        <v/>
      </c>
      <c r="AD138" s="588" t="str">
        <f t="shared" si="866"/>
        <v/>
      </c>
      <c r="AE138" s="582" t="str">
        <f t="shared" si="867"/>
        <v/>
      </c>
      <c r="AF138" s="583" t="str">
        <f t="shared" si="868"/>
        <v/>
      </c>
      <c r="AG138" s="547" t="str">
        <f t="shared" si="869"/>
        <v/>
      </c>
      <c r="AH138" s="548" t="str">
        <f t="shared" si="870"/>
        <v/>
      </c>
      <c r="AI138" s="536" t="str">
        <f t="shared" si="871"/>
        <v/>
      </c>
      <c r="AJ138" s="537" t="str">
        <f t="shared" si="872"/>
        <v/>
      </c>
      <c r="AK138" s="585" t="str">
        <f t="shared" si="873"/>
        <v/>
      </c>
      <c r="AL138" s="582" t="str">
        <f t="shared" si="874"/>
        <v/>
      </c>
      <c r="AM138" s="584" t="str">
        <f t="shared" si="875"/>
        <v/>
      </c>
      <c r="AN138" s="534" t="str">
        <f t="shared" si="876"/>
        <v/>
      </c>
      <c r="AO138" s="535" t="str">
        <f t="shared" si="855"/>
        <v/>
      </c>
      <c r="AP138" s="536" t="str">
        <f t="shared" si="877"/>
        <v/>
      </c>
      <c r="AQ138" s="537" t="str">
        <f t="shared" si="1005"/>
        <v/>
      </c>
      <c r="AS138" s="933" t="str">
        <f t="shared" si="842"/>
        <v/>
      </c>
      <c r="AT138" s="929" t="str">
        <f t="shared" si="1006"/>
        <v/>
      </c>
      <c r="AU138" s="418"/>
      <c r="AV138" s="164" t="str">
        <f t="shared" si="1007"/>
        <v/>
      </c>
      <c r="AW138" s="832" t="str">
        <f>IFERROR(INDEX(MassProp!C$9:C$150,MATCH($M138,MassProp!$B$9:$B$150,0)),"")</f>
        <v/>
      </c>
      <c r="AX138" s="833" t="str">
        <f>IFERROR(INDEX(MassProp!D$9:D$150,MATCH($M138,MassProp!$B$9:$B$150,0)),"")</f>
        <v/>
      </c>
      <c r="AY138" s="834" t="str">
        <f>IFERROR(INDEX(MassProp!E$9:E$150,MATCH($M138,MassProp!$B$9:$B$150,0)),"")</f>
        <v/>
      </c>
      <c r="AZ138" s="297" t="str">
        <f t="shared" si="878"/>
        <v/>
      </c>
      <c r="BA138" s="505" t="str">
        <f t="shared" si="879"/>
        <v/>
      </c>
      <c r="BB138" s="506" t="str">
        <f t="shared" si="610"/>
        <v/>
      </c>
      <c r="BC138" s="496"/>
      <c r="BD138" s="494" t="str">
        <f t="shared" si="880"/>
        <v/>
      </c>
      <c r="BE138" s="497" t="str">
        <f t="shared" si="1008"/>
        <v/>
      </c>
      <c r="BF138" s="498" t="str">
        <f t="shared" si="1009"/>
        <v/>
      </c>
      <c r="BG138" s="494" t="str">
        <f t="shared" si="1010"/>
        <v/>
      </c>
      <c r="BH138" s="495" t="str">
        <f t="shared" si="1011"/>
        <v/>
      </c>
      <c r="BI138" s="496" t="str">
        <f t="shared" si="881"/>
        <v/>
      </c>
      <c r="BJ138" s="494" t="str">
        <f t="shared" si="1012"/>
        <v/>
      </c>
      <c r="BK138" s="499" t="str">
        <f t="shared" si="1013"/>
        <v/>
      </c>
      <c r="BL138" s="502" t="str">
        <f t="shared" si="1014"/>
        <v/>
      </c>
      <c r="BM138" s="494" t="str">
        <f t="shared" si="1015"/>
        <v/>
      </c>
      <c r="BN138" s="497" t="str">
        <f t="shared" si="1016"/>
        <v/>
      </c>
      <c r="BO138" s="498" t="str">
        <f t="shared" si="882"/>
        <v/>
      </c>
      <c r="BP138" s="494" t="str">
        <f t="shared" si="734"/>
        <v/>
      </c>
      <c r="BQ138" s="494" t="str">
        <f t="shared" si="883"/>
        <v/>
      </c>
      <c r="BR138" s="497" t="str">
        <f t="shared" si="884"/>
        <v/>
      </c>
      <c r="BS138" s="498" t="str">
        <f t="shared" si="839"/>
        <v/>
      </c>
      <c r="BT138" s="494" t="str">
        <f t="shared" si="839"/>
        <v/>
      </c>
      <c r="BU138" s="495" t="str">
        <f t="shared" si="613"/>
        <v/>
      </c>
      <c r="BV138" s="496" t="str">
        <f t="shared" si="614"/>
        <v/>
      </c>
      <c r="BW138" s="494" t="str">
        <f t="shared" si="615"/>
        <v/>
      </c>
      <c r="BX138" s="499" t="str">
        <f t="shared" si="616"/>
        <v/>
      </c>
      <c r="BY138" s="502" t="str">
        <f t="shared" si="617"/>
        <v/>
      </c>
      <c r="BZ138" s="494" t="str">
        <f t="shared" si="618"/>
        <v/>
      </c>
      <c r="CA138" s="497" t="str">
        <f t="shared" si="619"/>
        <v/>
      </c>
      <c r="CB138" s="498" t="str">
        <f t="shared" si="885"/>
        <v/>
      </c>
      <c r="CC138" s="494" t="str">
        <f t="shared" si="886"/>
        <v/>
      </c>
      <c r="CD138" s="494" t="str">
        <f t="shared" si="887"/>
        <v/>
      </c>
      <c r="CE138" s="497" t="str">
        <f t="shared" si="888"/>
        <v/>
      </c>
      <c r="CF138" s="498" t="str">
        <f t="shared" si="889"/>
        <v/>
      </c>
      <c r="CG138" s="494" t="str">
        <f t="shared" si="890"/>
        <v/>
      </c>
      <c r="CH138" s="494" t="str">
        <f t="shared" si="891"/>
        <v/>
      </c>
      <c r="CI138" s="498" t="str">
        <f t="shared" si="620"/>
        <v/>
      </c>
      <c r="CJ138" s="494" t="str">
        <f t="shared" si="892"/>
        <v/>
      </c>
      <c r="CK138" s="499" t="str">
        <f t="shared" si="893"/>
        <v/>
      </c>
      <c r="CL138" s="502" t="str">
        <f t="shared" si="894"/>
        <v/>
      </c>
      <c r="CM138" s="494" t="str">
        <f t="shared" si="895"/>
        <v/>
      </c>
      <c r="CN138" s="497" t="str">
        <f t="shared" si="896"/>
        <v/>
      </c>
      <c r="CO138" s="507" t="str">
        <f t="shared" si="1017"/>
        <v/>
      </c>
      <c r="CP138" s="498" t="str">
        <f t="shared" si="897"/>
        <v/>
      </c>
      <c r="CQ138" s="494" t="str">
        <f t="shared" si="898"/>
        <v/>
      </c>
      <c r="CR138" s="494" t="str">
        <f t="shared" si="899"/>
        <v/>
      </c>
      <c r="CS138" s="499" t="str">
        <f t="shared" si="900"/>
        <v/>
      </c>
      <c r="CT138" s="496" t="str">
        <f t="shared" si="901"/>
        <v/>
      </c>
      <c r="CU138" s="497" t="str">
        <f t="shared" si="902"/>
        <v/>
      </c>
      <c r="CV138" s="498" t="str">
        <f t="shared" si="903"/>
        <v/>
      </c>
      <c r="CW138" s="494" t="str">
        <f t="shared" si="904"/>
        <v/>
      </c>
      <c r="CX138" s="499" t="str">
        <f t="shared" si="905"/>
        <v/>
      </c>
      <c r="CY138" s="496" t="str">
        <f t="shared" si="906"/>
        <v/>
      </c>
      <c r="CZ138" s="494" t="str">
        <f t="shared" si="907"/>
        <v/>
      </c>
      <c r="DA138" s="497" t="str">
        <f t="shared" si="908"/>
        <v/>
      </c>
      <c r="DB138" s="498" t="str">
        <f t="shared" si="843"/>
        <v/>
      </c>
      <c r="DC138" s="494" t="str">
        <f t="shared" si="843"/>
        <v/>
      </c>
      <c r="DD138" s="495" t="str">
        <f t="shared" si="658"/>
        <v/>
      </c>
      <c r="DE138" s="496" t="str">
        <f t="shared" si="844"/>
        <v/>
      </c>
      <c r="DF138" s="494" t="str">
        <f t="shared" si="844"/>
        <v/>
      </c>
      <c r="DG138" s="495" t="str">
        <f t="shared" si="660"/>
        <v/>
      </c>
      <c r="DH138" s="501" t="str">
        <f t="shared" si="909"/>
        <v/>
      </c>
      <c r="DI138" s="498" t="str">
        <f t="shared" si="910"/>
        <v/>
      </c>
      <c r="DJ138" s="494" t="str">
        <f t="shared" si="911"/>
        <v/>
      </c>
      <c r="DK138" s="495" t="str">
        <f t="shared" si="912"/>
        <v/>
      </c>
      <c r="DL138" s="496" t="str">
        <f t="shared" si="913"/>
        <v/>
      </c>
      <c r="DM138" s="502" t="str">
        <f t="shared" si="914"/>
        <v/>
      </c>
      <c r="DN138" s="508" t="str">
        <f t="shared" si="915"/>
        <v/>
      </c>
      <c r="DO138" s="496" t="str">
        <f t="shared" si="916"/>
        <v/>
      </c>
      <c r="DP138" s="502" t="str">
        <f t="shared" si="917"/>
        <v/>
      </c>
      <c r="DQ138" s="503" t="str">
        <f t="shared" si="918"/>
        <v/>
      </c>
      <c r="DR138" s="502" t="str">
        <f t="shared" si="919"/>
        <v/>
      </c>
      <c r="DS138" s="494" t="str">
        <f t="shared" si="920"/>
        <v/>
      </c>
      <c r="DT138" s="494" t="str">
        <f t="shared" si="921"/>
        <v/>
      </c>
      <c r="DU138" s="494" t="str">
        <f t="shared" si="922"/>
        <v/>
      </c>
      <c r="DV138" s="494" t="str">
        <f t="shared" si="923"/>
        <v/>
      </c>
      <c r="DW138" s="494" t="str">
        <f t="shared" si="924"/>
        <v/>
      </c>
      <c r="DX138" s="507" t="str">
        <f t="shared" si="925"/>
        <v/>
      </c>
      <c r="DY138" s="496" t="str">
        <f t="shared" si="926"/>
        <v/>
      </c>
      <c r="DZ138" s="494" t="str">
        <f t="shared" si="927"/>
        <v/>
      </c>
      <c r="EA138" s="495" t="str">
        <f t="shared" si="928"/>
        <v/>
      </c>
      <c r="EB138" s="497" t="str">
        <f t="shared" si="929"/>
        <v/>
      </c>
      <c r="EC138" s="502" t="str">
        <f t="shared" si="930"/>
        <v/>
      </c>
      <c r="ED138" s="494" t="str">
        <f t="shared" si="931"/>
        <v/>
      </c>
      <c r="EE138" s="498" t="str">
        <f t="shared" si="932"/>
        <v/>
      </c>
      <c r="EF138" s="494" t="str">
        <f t="shared" si="933"/>
        <v/>
      </c>
      <c r="EG138" s="495" t="str">
        <f t="shared" si="934"/>
        <v/>
      </c>
      <c r="EH138" s="496" t="str">
        <f t="shared" si="935"/>
        <v/>
      </c>
      <c r="EI138" s="494" t="str">
        <f t="shared" si="936"/>
        <v/>
      </c>
      <c r="EJ138" s="497" t="str">
        <f t="shared" si="937"/>
        <v/>
      </c>
      <c r="EK138" s="509" t="str">
        <f t="shared" si="690"/>
        <v/>
      </c>
      <c r="EL138" s="510" t="str">
        <f t="shared" si="691"/>
        <v/>
      </c>
      <c r="EM138" s="498" t="str">
        <f t="shared" si="938"/>
        <v/>
      </c>
      <c r="EN138" s="494" t="str">
        <f t="shared" si="939"/>
        <v/>
      </c>
      <c r="EO138" s="495" t="str">
        <f t="shared" si="940"/>
        <v/>
      </c>
      <c r="EP138" s="496" t="str">
        <f t="shared" si="941"/>
        <v/>
      </c>
      <c r="EQ138" s="494" t="str">
        <f t="shared" si="942"/>
        <v/>
      </c>
      <c r="ER138" s="500" t="str">
        <f t="shared" si="943"/>
        <v/>
      </c>
      <c r="ES138" s="493" t="str">
        <f t="shared" si="1018"/>
        <v/>
      </c>
      <c r="ET138" s="494" t="str">
        <f t="shared" si="1019"/>
        <v/>
      </c>
      <c r="EU138" s="495" t="str">
        <f t="shared" si="1020"/>
        <v/>
      </c>
      <c r="EV138" s="174" t="str">
        <f t="shared" si="944"/>
        <v/>
      </c>
      <c r="EW138" s="496" t="str">
        <f t="shared" si="945"/>
        <v/>
      </c>
      <c r="EX138" s="494" t="str">
        <f t="shared" si="946"/>
        <v/>
      </c>
      <c r="EY138" s="497" t="str">
        <f t="shared" si="947"/>
        <v/>
      </c>
      <c r="EZ138" s="504" t="str">
        <f t="shared" si="699"/>
        <v/>
      </c>
      <c r="FA138" s="502" t="str">
        <f t="shared" si="764"/>
        <v/>
      </c>
      <c r="FB138" s="494" t="str">
        <f t="shared" si="765"/>
        <v/>
      </c>
      <c r="FC138" s="497" t="str">
        <f t="shared" si="766"/>
        <v/>
      </c>
      <c r="FD138" s="498" t="str">
        <f t="shared" si="948"/>
        <v/>
      </c>
      <c r="FE138" s="494" t="str">
        <f t="shared" si="949"/>
        <v/>
      </c>
      <c r="FF138" s="500" t="str">
        <f t="shared" si="950"/>
        <v/>
      </c>
      <c r="FG138" s="173" t="str">
        <f t="shared" si="951"/>
        <v/>
      </c>
      <c r="FH138" s="5" t="str">
        <f t="shared" si="952"/>
        <v/>
      </c>
      <c r="FI138" s="10" t="str">
        <f t="shared" si="953"/>
        <v/>
      </c>
      <c r="FJ138" s="279" t="str">
        <f t="shared" si="954"/>
        <v/>
      </c>
      <c r="FK138" s="4" t="str">
        <f t="shared" si="955"/>
        <v/>
      </c>
      <c r="FL138" s="5" t="str">
        <f t="shared" si="956"/>
        <v/>
      </c>
      <c r="FM138" s="8" t="str">
        <f t="shared" si="957"/>
        <v/>
      </c>
      <c r="FN138" s="9" t="str">
        <f t="shared" si="958"/>
        <v/>
      </c>
      <c r="FO138" s="10" t="str">
        <f t="shared" si="959"/>
        <v/>
      </c>
      <c r="FP138" s="277" t="str">
        <f t="shared" si="960"/>
        <v/>
      </c>
      <c r="FQ138" s="173" t="str">
        <f t="shared" si="961"/>
        <v/>
      </c>
      <c r="FR138" s="10" t="str">
        <f t="shared" si="962"/>
        <v/>
      </c>
      <c r="FS138" s="9" t="str">
        <f t="shared" si="963"/>
        <v/>
      </c>
      <c r="FT138" s="6" t="str">
        <f t="shared" si="964"/>
        <v/>
      </c>
      <c r="FU138" s="4" t="str">
        <f t="shared" si="965"/>
        <v/>
      </c>
      <c r="FV138" s="5" t="str">
        <f t="shared" si="966"/>
        <v/>
      </c>
      <c r="FW138" s="8" t="str">
        <f t="shared" si="967"/>
        <v/>
      </c>
      <c r="FX138" s="9" t="str">
        <f t="shared" si="968"/>
        <v/>
      </c>
      <c r="FY138" s="10" t="str">
        <f t="shared" si="969"/>
        <v/>
      </c>
      <c r="FZ138" s="277" t="str">
        <f t="shared" si="970"/>
        <v/>
      </c>
      <c r="GA138" s="177" t="str">
        <f t="shared" si="971"/>
        <v/>
      </c>
      <c r="GB138" s="4" t="str">
        <f t="shared" si="972"/>
        <v/>
      </c>
      <c r="GC138" s="5" t="str">
        <f t="shared" si="973"/>
        <v/>
      </c>
      <c r="GD138" s="10" t="str">
        <f t="shared" si="974"/>
        <v/>
      </c>
      <c r="GE138" s="311" t="str">
        <f t="shared" si="975"/>
        <v/>
      </c>
      <c r="GF138" s="341" t="str">
        <f t="shared" si="976"/>
        <v/>
      </c>
      <c r="GG138" s="306" t="str">
        <f t="shared" si="977"/>
        <v/>
      </c>
      <c r="GH138" s="307" t="str">
        <f t="shared" si="978"/>
        <v/>
      </c>
      <c r="GI138" s="308" t="str">
        <f t="shared" si="979"/>
        <v/>
      </c>
      <c r="GJ138" s="167" t="str">
        <f t="shared" si="980"/>
        <v/>
      </c>
      <c r="GK138" s="174" t="str">
        <f t="shared" si="778"/>
        <v/>
      </c>
      <c r="GL138" s="174" t="str">
        <f t="shared" si="981"/>
        <v/>
      </c>
      <c r="GM138" s="177" t="str">
        <f t="shared" si="982"/>
        <v/>
      </c>
      <c r="GN138" s="280" t="str">
        <f t="shared" si="983"/>
        <v/>
      </c>
      <c r="GO138" s="4" t="str">
        <f t="shared" si="984"/>
        <v/>
      </c>
      <c r="GP138" s="8" t="str">
        <f t="shared" si="985"/>
        <v/>
      </c>
      <c r="GQ138" s="177" t="str">
        <f t="shared" si="986"/>
        <v/>
      </c>
      <c r="GR138" s="371" t="str">
        <f t="shared" si="987"/>
        <v/>
      </c>
      <c r="GS138" s="342" t="str">
        <f t="shared" si="988"/>
        <v/>
      </c>
      <c r="GT138" s="343" t="str">
        <f t="shared" si="989"/>
        <v/>
      </c>
      <c r="GU138" s="344" t="str">
        <f t="shared" si="781"/>
        <v/>
      </c>
      <c r="GV138" s="343" t="str">
        <f t="shared" si="990"/>
        <v/>
      </c>
      <c r="GW138" s="345" t="str">
        <f t="shared" si="782"/>
        <v/>
      </c>
      <c r="GX138" s="346" t="str">
        <f t="shared" si="783"/>
        <v/>
      </c>
      <c r="GY138" s="344" t="str">
        <f t="shared" si="991"/>
        <v/>
      </c>
      <c r="GZ138" s="345" t="str">
        <f t="shared" si="992"/>
        <v/>
      </c>
      <c r="HA138" s="342" t="str">
        <f t="shared" si="786"/>
        <v/>
      </c>
      <c r="HB138" s="5" t="str">
        <f t="shared" si="726"/>
        <v/>
      </c>
      <c r="HC138" s="343" t="str">
        <f t="shared" si="993"/>
        <v/>
      </c>
      <c r="HD138" s="363" t="str">
        <f t="shared" si="994"/>
        <v/>
      </c>
      <c r="HE138" s="344" t="str">
        <f t="shared" si="787"/>
        <v/>
      </c>
      <c r="HF138" s="5" t="str">
        <f t="shared" si="788"/>
        <v/>
      </c>
      <c r="HG138" s="343" t="str">
        <f t="shared" si="995"/>
        <v/>
      </c>
      <c r="HH138" s="349" t="str">
        <f t="shared" si="996"/>
        <v/>
      </c>
      <c r="HI138" s="317" t="str">
        <f t="shared" si="1021"/>
        <v/>
      </c>
      <c r="HK138" s="310" t="str">
        <f t="shared" ref="HK138:HK150" si="1052">IF(ISNUMBER(HS138),HK137+1,"")</f>
        <v/>
      </c>
      <c r="HL138" s="348" t="str">
        <f t="shared" si="1022"/>
        <v/>
      </c>
      <c r="HM138" s="909" t="str">
        <f t="shared" si="1023"/>
        <v/>
      </c>
      <c r="HN138" s="910" t="str">
        <f t="shared" si="1024"/>
        <v/>
      </c>
      <c r="HO138" s="911"/>
      <c r="HP138" s="912"/>
      <c r="HQ138" s="910" t="str">
        <f t="shared" si="1025"/>
        <v/>
      </c>
      <c r="HR138" s="913" t="str">
        <f t="shared" si="1026"/>
        <v/>
      </c>
      <c r="HS138" s="865" t="str">
        <f t="shared" si="997"/>
        <v/>
      </c>
      <c r="HT138" s="875" t="str">
        <f t="shared" si="1027"/>
        <v/>
      </c>
      <c r="HU138" s="876" t="str">
        <f t="shared" si="1028"/>
        <v/>
      </c>
      <c r="HV138" s="872" t="str">
        <f t="shared" si="1029"/>
        <v/>
      </c>
      <c r="HW138" s="866" t="str">
        <f t="shared" si="1030"/>
        <v/>
      </c>
      <c r="HX138" s="867" t="str">
        <f t="shared" si="1031"/>
        <v/>
      </c>
      <c r="HY138" s="866" t="str">
        <f t="shared" si="1032"/>
        <v/>
      </c>
      <c r="HZ138" s="868" t="str">
        <f t="shared" si="1033"/>
        <v/>
      </c>
      <c r="IA138" s="869" t="str">
        <f t="shared" si="1034"/>
        <v/>
      </c>
      <c r="IB138" s="870" t="str">
        <f t="shared" si="1035"/>
        <v/>
      </c>
      <c r="IC138" s="841" t="str">
        <f t="shared" si="1036"/>
        <v/>
      </c>
      <c r="ID138" s="351" t="str">
        <f t="shared" si="1037"/>
        <v/>
      </c>
      <c r="IE138" s="843" t="str">
        <f t="shared" si="1038"/>
        <v/>
      </c>
      <c r="IF138" s="844"/>
      <c r="IG138" s="790" t="str">
        <f>IFERROR(IF($IW138="","",IF($IW138&lt;(((Settings!$C$19/2)*-1)*$IG$8),"Taper","Nose")),"")</f>
        <v/>
      </c>
      <c r="IH138" s="482" t="str">
        <f>IFERROR(IF((((($IY138*COS(RADIANS(180-$JA138)))*COS(RADIANS($JA138)))-(($IZ138*SIN(RADIANS(180-$JA138)))*SIN(RADIANS($JA138))))+$IW138)&lt;(((Settings!$C$19+$IH$8)/2)*-1),"Gage",""),"")</f>
        <v/>
      </c>
      <c r="II138" s="788" t="str">
        <f t="shared" si="731"/>
        <v/>
      </c>
      <c r="IJ138" s="674" t="str" cm="1">
        <f t="array" ref="IJ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K138" s="677" t="str" cm="1">
        <f t="array" ref="IK138">IFERROR(ROUND(VALUE(IF($IJ138&lt;1,$IJ138+LARGE((IF($M$9:$M$150="",0,$M$9:$M$150)-MOD(IF($M$9:$M$150="",0,$M$9:$M$150),1)),1),$IJ138)),4),"")</f>
        <v/>
      </c>
      <c r="IL138" s="482" t="str">
        <f t="shared" si="1039"/>
        <v/>
      </c>
      <c r="IM138" s="482" t="str">
        <f t="shared" si="732"/>
        <v/>
      </c>
      <c r="IN138" s="670" t="str">
        <f t="shared" si="1040"/>
        <v/>
      </c>
      <c r="IO138" s="702"/>
      <c r="IP138" s="5" t="str">
        <f t="shared" si="1041"/>
        <v/>
      </c>
      <c r="IQ138" s="714"/>
      <c r="IR138" s="9" t="str">
        <f t="shared" si="1042"/>
        <v/>
      </c>
      <c r="IS138" s="5" t="str">
        <f t="shared" si="1043"/>
        <v/>
      </c>
      <c r="IT138" s="5" t="str">
        <f t="shared" si="1044"/>
        <v/>
      </c>
      <c r="IU138" s="5" t="str">
        <f t="shared" si="1045"/>
        <v/>
      </c>
      <c r="IV138" s="670" t="str">
        <f t="shared" si="1046"/>
        <v/>
      </c>
      <c r="IW138" s="9" t="str">
        <f t="shared" si="1047"/>
        <v/>
      </c>
      <c r="IX138" s="5" t="str">
        <f t="shared" si="1048"/>
        <v/>
      </c>
      <c r="IY138" s="5" t="str">
        <f t="shared" si="1049"/>
        <v/>
      </c>
      <c r="IZ138" s="5" t="str">
        <f t="shared" si="1050"/>
        <v/>
      </c>
      <c r="JA138" s="705" t="str">
        <f t="shared" si="1051"/>
        <v/>
      </c>
    </row>
    <row r="139" spans="1:261" ht="15" customHeight="1" x14ac:dyDescent="0.25">
      <c r="A139" s="75" t="str">
        <f t="shared" si="736"/>
        <v/>
      </c>
      <c r="B139" s="578" t="str">
        <f t="shared" si="845"/>
        <v/>
      </c>
      <c r="C139" s="572" t="str">
        <f t="shared" si="846"/>
        <v/>
      </c>
      <c r="D139" s="576" t="str">
        <f t="shared" si="847"/>
        <v/>
      </c>
      <c r="E139" s="580" t="str">
        <f t="shared" si="848"/>
        <v/>
      </c>
      <c r="F139" s="572" t="str">
        <f t="shared" si="849"/>
        <v/>
      </c>
      <c r="G139" s="579" t="str">
        <f t="shared" si="850"/>
        <v/>
      </c>
      <c r="H139" s="580" t="str">
        <f t="shared" si="851"/>
        <v/>
      </c>
      <c r="I139" s="572" t="str">
        <f t="shared" si="852"/>
        <v/>
      </c>
      <c r="J139" s="483" t="str">
        <f t="shared" si="853"/>
        <v/>
      </c>
      <c r="K139" s="806" t="str">
        <f t="shared" si="854"/>
        <v/>
      </c>
      <c r="L139" s="309"/>
      <c r="M139" s="492" t="str">
        <f t="shared" si="998"/>
        <v/>
      </c>
      <c r="N139" s="581" t="str">
        <f t="shared" si="999"/>
        <v/>
      </c>
      <c r="O139" s="582" t="str">
        <f t="shared" si="1000"/>
        <v/>
      </c>
      <c r="P139" s="583" t="str">
        <f t="shared" si="1001"/>
        <v/>
      </c>
      <c r="Q139" s="536" t="str">
        <f t="shared" si="856"/>
        <v/>
      </c>
      <c r="R139" s="582" t="str">
        <f t="shared" si="857"/>
        <v/>
      </c>
      <c r="S139" s="584" t="str">
        <f t="shared" si="858"/>
        <v/>
      </c>
      <c r="T139" s="585" t="str">
        <f t="shared" si="859"/>
        <v/>
      </c>
      <c r="U139" s="582" t="str">
        <f t="shared" si="860"/>
        <v/>
      </c>
      <c r="V139" s="586" t="str">
        <f t="shared" si="861"/>
        <v/>
      </c>
      <c r="W139" s="536" t="str">
        <f t="shared" si="862"/>
        <v/>
      </c>
      <c r="X139" s="582" t="str">
        <f t="shared" si="863"/>
        <v/>
      </c>
      <c r="Y139" s="587" t="str">
        <f t="shared" si="864"/>
        <v/>
      </c>
      <c r="Z139" s="581" t="str">
        <f t="shared" si="1002"/>
        <v/>
      </c>
      <c r="AA139" s="582" t="str">
        <f t="shared" si="1003"/>
        <v/>
      </c>
      <c r="AB139" s="582" t="str">
        <f t="shared" si="1004"/>
        <v/>
      </c>
      <c r="AC139" s="586" t="str">
        <f t="shared" si="865"/>
        <v/>
      </c>
      <c r="AD139" s="588" t="str">
        <f t="shared" si="866"/>
        <v/>
      </c>
      <c r="AE139" s="582" t="str">
        <f t="shared" si="867"/>
        <v/>
      </c>
      <c r="AF139" s="583" t="str">
        <f t="shared" si="868"/>
        <v/>
      </c>
      <c r="AG139" s="547" t="str">
        <f t="shared" si="869"/>
        <v/>
      </c>
      <c r="AH139" s="548" t="str">
        <f t="shared" si="870"/>
        <v/>
      </c>
      <c r="AI139" s="536" t="str">
        <f t="shared" si="871"/>
        <v/>
      </c>
      <c r="AJ139" s="537" t="str">
        <f t="shared" si="872"/>
        <v/>
      </c>
      <c r="AK139" s="585" t="str">
        <f t="shared" si="873"/>
        <v/>
      </c>
      <c r="AL139" s="582" t="str">
        <f t="shared" si="874"/>
        <v/>
      </c>
      <c r="AM139" s="584" t="str">
        <f t="shared" si="875"/>
        <v/>
      </c>
      <c r="AN139" s="534" t="str">
        <f t="shared" si="876"/>
        <v/>
      </c>
      <c r="AO139" s="535" t="str">
        <f t="shared" si="855"/>
        <v/>
      </c>
      <c r="AP139" s="536" t="str">
        <f t="shared" si="877"/>
        <v/>
      </c>
      <c r="AQ139" s="537" t="str">
        <f t="shared" si="1005"/>
        <v/>
      </c>
      <c r="AS139" s="933" t="str">
        <f t="shared" ref="AS139:AS150" si="1053">IF(G139="","",IF(AND(W139&lt;(AS138+180),W139&gt;(AS138-180)),W139,IF(W139&gt;(AS138+180),W139-360,IF(W139&lt;(AS138-180),W139+360,"Error"))))</f>
        <v/>
      </c>
      <c r="AT139" s="929" t="str">
        <f t="shared" si="1006"/>
        <v/>
      </c>
      <c r="AU139" s="418"/>
      <c r="AV139" s="164" t="str">
        <f t="shared" si="1007"/>
        <v/>
      </c>
      <c r="AW139" s="832" t="str">
        <f>IFERROR(INDEX(MassProp!C$9:C$150,MATCH($M139,MassProp!$B$9:$B$150,0)),"")</f>
        <v/>
      </c>
      <c r="AX139" s="833" t="str">
        <f>IFERROR(INDEX(MassProp!D$9:D$150,MATCH($M139,MassProp!$B$9:$B$150,0)),"")</f>
        <v/>
      </c>
      <c r="AY139" s="834" t="str">
        <f>IFERROR(INDEX(MassProp!E$9:E$150,MATCH($M139,MassProp!$B$9:$B$150,0)),"")</f>
        <v/>
      </c>
      <c r="AZ139" s="297" t="str">
        <f t="shared" si="878"/>
        <v/>
      </c>
      <c r="BA139" s="505" t="str">
        <f t="shared" si="879"/>
        <v/>
      </c>
      <c r="BB139" s="506" t="str">
        <f t="shared" si="610"/>
        <v/>
      </c>
      <c r="BC139" s="496"/>
      <c r="BD139" s="494" t="str">
        <f t="shared" si="880"/>
        <v/>
      </c>
      <c r="BE139" s="497" t="str">
        <f t="shared" si="1008"/>
        <v/>
      </c>
      <c r="BF139" s="498" t="str">
        <f t="shared" si="1009"/>
        <v/>
      </c>
      <c r="BG139" s="494" t="str">
        <f t="shared" si="1010"/>
        <v/>
      </c>
      <c r="BH139" s="495" t="str">
        <f t="shared" si="1011"/>
        <v/>
      </c>
      <c r="BI139" s="496" t="str">
        <f t="shared" si="881"/>
        <v/>
      </c>
      <c r="BJ139" s="494" t="str">
        <f t="shared" si="1012"/>
        <v/>
      </c>
      <c r="BK139" s="499" t="str">
        <f t="shared" si="1013"/>
        <v/>
      </c>
      <c r="BL139" s="502" t="str">
        <f t="shared" si="1014"/>
        <v/>
      </c>
      <c r="BM139" s="494" t="str">
        <f t="shared" si="1015"/>
        <v/>
      </c>
      <c r="BN139" s="497" t="str">
        <f t="shared" si="1016"/>
        <v/>
      </c>
      <c r="BO139" s="498" t="str">
        <f t="shared" si="882"/>
        <v/>
      </c>
      <c r="BP139" s="494" t="str">
        <f t="shared" si="734"/>
        <v/>
      </c>
      <c r="BQ139" s="494" t="str">
        <f t="shared" si="883"/>
        <v/>
      </c>
      <c r="BR139" s="497" t="str">
        <f t="shared" si="884"/>
        <v/>
      </c>
      <c r="BS139" s="498" t="str">
        <f t="shared" si="839"/>
        <v/>
      </c>
      <c r="BT139" s="494" t="str">
        <f t="shared" si="839"/>
        <v/>
      </c>
      <c r="BU139" s="495" t="str">
        <f t="shared" si="613"/>
        <v/>
      </c>
      <c r="BV139" s="496" t="str">
        <f t="shared" si="614"/>
        <v/>
      </c>
      <c r="BW139" s="494" t="str">
        <f t="shared" si="615"/>
        <v/>
      </c>
      <c r="BX139" s="499" t="str">
        <f t="shared" si="616"/>
        <v/>
      </c>
      <c r="BY139" s="502" t="str">
        <f t="shared" si="617"/>
        <v/>
      </c>
      <c r="BZ139" s="494" t="str">
        <f t="shared" si="618"/>
        <v/>
      </c>
      <c r="CA139" s="497" t="str">
        <f t="shared" si="619"/>
        <v/>
      </c>
      <c r="CB139" s="498" t="str">
        <f t="shared" si="885"/>
        <v/>
      </c>
      <c r="CC139" s="494" t="str">
        <f t="shared" si="886"/>
        <v/>
      </c>
      <c r="CD139" s="494" t="str">
        <f t="shared" si="887"/>
        <v/>
      </c>
      <c r="CE139" s="497" t="str">
        <f t="shared" si="888"/>
        <v/>
      </c>
      <c r="CF139" s="498" t="str">
        <f t="shared" si="889"/>
        <v/>
      </c>
      <c r="CG139" s="494" t="str">
        <f t="shared" si="890"/>
        <v/>
      </c>
      <c r="CH139" s="494" t="str">
        <f t="shared" si="891"/>
        <v/>
      </c>
      <c r="CI139" s="498" t="str">
        <f t="shared" si="620"/>
        <v/>
      </c>
      <c r="CJ139" s="494" t="str">
        <f t="shared" si="892"/>
        <v/>
      </c>
      <c r="CK139" s="499" t="str">
        <f t="shared" si="893"/>
        <v/>
      </c>
      <c r="CL139" s="502" t="str">
        <f t="shared" si="894"/>
        <v/>
      </c>
      <c r="CM139" s="494" t="str">
        <f t="shared" si="895"/>
        <v/>
      </c>
      <c r="CN139" s="497" t="str">
        <f t="shared" si="896"/>
        <v/>
      </c>
      <c r="CO139" s="507" t="str">
        <f t="shared" si="1017"/>
        <v/>
      </c>
      <c r="CP139" s="498" t="str">
        <f t="shared" si="897"/>
        <v/>
      </c>
      <c r="CQ139" s="494" t="str">
        <f t="shared" si="898"/>
        <v/>
      </c>
      <c r="CR139" s="494" t="str">
        <f t="shared" si="899"/>
        <v/>
      </c>
      <c r="CS139" s="499" t="str">
        <f t="shared" si="900"/>
        <v/>
      </c>
      <c r="CT139" s="496" t="str">
        <f t="shared" si="901"/>
        <v/>
      </c>
      <c r="CU139" s="497" t="str">
        <f t="shared" si="902"/>
        <v/>
      </c>
      <c r="CV139" s="498" t="str">
        <f t="shared" si="903"/>
        <v/>
      </c>
      <c r="CW139" s="494" t="str">
        <f t="shared" si="904"/>
        <v/>
      </c>
      <c r="CX139" s="499" t="str">
        <f t="shared" si="905"/>
        <v/>
      </c>
      <c r="CY139" s="496" t="str">
        <f t="shared" si="906"/>
        <v/>
      </c>
      <c r="CZ139" s="494" t="str">
        <f t="shared" si="907"/>
        <v/>
      </c>
      <c r="DA139" s="497" t="str">
        <f t="shared" si="908"/>
        <v/>
      </c>
      <c r="DB139" s="498" t="str">
        <f t="shared" si="843"/>
        <v/>
      </c>
      <c r="DC139" s="494" t="str">
        <f t="shared" si="843"/>
        <v/>
      </c>
      <c r="DD139" s="495" t="str">
        <f t="shared" si="658"/>
        <v/>
      </c>
      <c r="DE139" s="496" t="str">
        <f t="shared" si="844"/>
        <v/>
      </c>
      <c r="DF139" s="494" t="str">
        <f t="shared" si="844"/>
        <v/>
      </c>
      <c r="DG139" s="495" t="str">
        <f t="shared" si="660"/>
        <v/>
      </c>
      <c r="DH139" s="501" t="str">
        <f t="shared" si="909"/>
        <v/>
      </c>
      <c r="DI139" s="498" t="str">
        <f t="shared" si="910"/>
        <v/>
      </c>
      <c r="DJ139" s="494" t="str">
        <f t="shared" si="911"/>
        <v/>
      </c>
      <c r="DK139" s="495" t="str">
        <f t="shared" si="912"/>
        <v/>
      </c>
      <c r="DL139" s="496" t="str">
        <f t="shared" si="913"/>
        <v/>
      </c>
      <c r="DM139" s="502" t="str">
        <f t="shared" si="914"/>
        <v/>
      </c>
      <c r="DN139" s="508" t="str">
        <f t="shared" si="915"/>
        <v/>
      </c>
      <c r="DO139" s="496" t="str">
        <f t="shared" si="916"/>
        <v/>
      </c>
      <c r="DP139" s="502" t="str">
        <f t="shared" si="917"/>
        <v/>
      </c>
      <c r="DQ139" s="503" t="str">
        <f t="shared" si="918"/>
        <v/>
      </c>
      <c r="DR139" s="502" t="str">
        <f t="shared" si="919"/>
        <v/>
      </c>
      <c r="DS139" s="494" t="str">
        <f t="shared" si="920"/>
        <v/>
      </c>
      <c r="DT139" s="494" t="str">
        <f t="shared" si="921"/>
        <v/>
      </c>
      <c r="DU139" s="494" t="str">
        <f t="shared" si="922"/>
        <v/>
      </c>
      <c r="DV139" s="494" t="str">
        <f t="shared" si="923"/>
        <v/>
      </c>
      <c r="DW139" s="494" t="str">
        <f t="shared" si="924"/>
        <v/>
      </c>
      <c r="DX139" s="507" t="str">
        <f t="shared" si="925"/>
        <v/>
      </c>
      <c r="DY139" s="496" t="str">
        <f t="shared" si="926"/>
        <v/>
      </c>
      <c r="DZ139" s="494" t="str">
        <f t="shared" si="927"/>
        <v/>
      </c>
      <c r="EA139" s="495" t="str">
        <f t="shared" si="928"/>
        <v/>
      </c>
      <c r="EB139" s="497" t="str">
        <f t="shared" si="929"/>
        <v/>
      </c>
      <c r="EC139" s="502" t="str">
        <f t="shared" si="930"/>
        <v/>
      </c>
      <c r="ED139" s="494" t="str">
        <f t="shared" si="931"/>
        <v/>
      </c>
      <c r="EE139" s="498" t="str">
        <f t="shared" si="932"/>
        <v/>
      </c>
      <c r="EF139" s="494" t="str">
        <f t="shared" si="933"/>
        <v/>
      </c>
      <c r="EG139" s="495" t="str">
        <f t="shared" si="934"/>
        <v/>
      </c>
      <c r="EH139" s="496" t="str">
        <f t="shared" si="935"/>
        <v/>
      </c>
      <c r="EI139" s="494" t="str">
        <f t="shared" si="936"/>
        <v/>
      </c>
      <c r="EJ139" s="497" t="str">
        <f t="shared" si="937"/>
        <v/>
      </c>
      <c r="EK139" s="509" t="str">
        <f t="shared" si="690"/>
        <v/>
      </c>
      <c r="EL139" s="510" t="str">
        <f t="shared" si="691"/>
        <v/>
      </c>
      <c r="EM139" s="498" t="str">
        <f t="shared" si="938"/>
        <v/>
      </c>
      <c r="EN139" s="494" t="str">
        <f t="shared" si="939"/>
        <v/>
      </c>
      <c r="EO139" s="495" t="str">
        <f t="shared" si="940"/>
        <v/>
      </c>
      <c r="EP139" s="496" t="str">
        <f t="shared" si="941"/>
        <v/>
      </c>
      <c r="EQ139" s="494" t="str">
        <f t="shared" si="942"/>
        <v/>
      </c>
      <c r="ER139" s="500" t="str">
        <f t="shared" si="943"/>
        <v/>
      </c>
      <c r="ES139" s="493" t="str">
        <f t="shared" si="1018"/>
        <v/>
      </c>
      <c r="ET139" s="494" t="str">
        <f t="shared" si="1019"/>
        <v/>
      </c>
      <c r="EU139" s="495" t="str">
        <f t="shared" si="1020"/>
        <v/>
      </c>
      <c r="EV139" s="174" t="str">
        <f t="shared" si="944"/>
        <v/>
      </c>
      <c r="EW139" s="496" t="str">
        <f t="shared" si="945"/>
        <v/>
      </c>
      <c r="EX139" s="494" t="str">
        <f t="shared" si="946"/>
        <v/>
      </c>
      <c r="EY139" s="497" t="str">
        <f t="shared" si="947"/>
        <v/>
      </c>
      <c r="EZ139" s="504" t="str">
        <f t="shared" si="699"/>
        <v/>
      </c>
      <c r="FA139" s="502" t="str">
        <f t="shared" si="764"/>
        <v/>
      </c>
      <c r="FB139" s="494" t="str">
        <f t="shared" si="765"/>
        <v/>
      </c>
      <c r="FC139" s="497" t="str">
        <f t="shared" si="766"/>
        <v/>
      </c>
      <c r="FD139" s="498" t="str">
        <f t="shared" si="948"/>
        <v/>
      </c>
      <c r="FE139" s="494" t="str">
        <f t="shared" si="949"/>
        <v/>
      </c>
      <c r="FF139" s="500" t="str">
        <f t="shared" si="950"/>
        <v/>
      </c>
      <c r="FG139" s="173" t="str">
        <f t="shared" si="951"/>
        <v/>
      </c>
      <c r="FH139" s="5" t="str">
        <f t="shared" si="952"/>
        <v/>
      </c>
      <c r="FI139" s="10" t="str">
        <f t="shared" si="953"/>
        <v/>
      </c>
      <c r="FJ139" s="279" t="str">
        <f t="shared" si="954"/>
        <v/>
      </c>
      <c r="FK139" s="4" t="str">
        <f t="shared" si="955"/>
        <v/>
      </c>
      <c r="FL139" s="5" t="str">
        <f t="shared" si="956"/>
        <v/>
      </c>
      <c r="FM139" s="8" t="str">
        <f t="shared" si="957"/>
        <v/>
      </c>
      <c r="FN139" s="9" t="str">
        <f t="shared" si="958"/>
        <v/>
      </c>
      <c r="FO139" s="10" t="str">
        <f t="shared" si="959"/>
        <v/>
      </c>
      <c r="FP139" s="277" t="str">
        <f t="shared" si="960"/>
        <v/>
      </c>
      <c r="FQ139" s="173" t="str">
        <f t="shared" si="961"/>
        <v/>
      </c>
      <c r="FR139" s="10" t="str">
        <f t="shared" si="962"/>
        <v/>
      </c>
      <c r="FS139" s="9" t="str">
        <f t="shared" si="963"/>
        <v/>
      </c>
      <c r="FT139" s="6" t="str">
        <f t="shared" si="964"/>
        <v/>
      </c>
      <c r="FU139" s="4" t="str">
        <f t="shared" si="965"/>
        <v/>
      </c>
      <c r="FV139" s="5" t="str">
        <f t="shared" si="966"/>
        <v/>
      </c>
      <c r="FW139" s="8" t="str">
        <f t="shared" si="967"/>
        <v/>
      </c>
      <c r="FX139" s="9" t="str">
        <f t="shared" si="968"/>
        <v/>
      </c>
      <c r="FY139" s="10" t="str">
        <f t="shared" si="969"/>
        <v/>
      </c>
      <c r="FZ139" s="277" t="str">
        <f t="shared" si="970"/>
        <v/>
      </c>
      <c r="GA139" s="177" t="str">
        <f t="shared" si="971"/>
        <v/>
      </c>
      <c r="GB139" s="4" t="str">
        <f t="shared" si="972"/>
        <v/>
      </c>
      <c r="GC139" s="5" t="str">
        <f t="shared" si="973"/>
        <v/>
      </c>
      <c r="GD139" s="10" t="str">
        <f t="shared" si="974"/>
        <v/>
      </c>
      <c r="GE139" s="311" t="str">
        <f t="shared" si="975"/>
        <v/>
      </c>
      <c r="GF139" s="341" t="str">
        <f t="shared" si="976"/>
        <v/>
      </c>
      <c r="GG139" s="306" t="str">
        <f t="shared" si="977"/>
        <v/>
      </c>
      <c r="GH139" s="307" t="str">
        <f t="shared" si="978"/>
        <v/>
      </c>
      <c r="GI139" s="308" t="str">
        <f t="shared" si="979"/>
        <v/>
      </c>
      <c r="GJ139" s="167" t="str">
        <f t="shared" si="980"/>
        <v/>
      </c>
      <c r="GK139" s="174" t="str">
        <f t="shared" si="778"/>
        <v/>
      </c>
      <c r="GL139" s="174" t="str">
        <f t="shared" si="981"/>
        <v/>
      </c>
      <c r="GM139" s="177" t="str">
        <f t="shared" si="982"/>
        <v/>
      </c>
      <c r="GN139" s="280" t="str">
        <f t="shared" si="983"/>
        <v/>
      </c>
      <c r="GO139" s="4" t="str">
        <f t="shared" si="984"/>
        <v/>
      </c>
      <c r="GP139" s="8" t="str">
        <f t="shared" si="985"/>
        <v/>
      </c>
      <c r="GQ139" s="177" t="str">
        <f t="shared" si="986"/>
        <v/>
      </c>
      <c r="GR139" s="371" t="str">
        <f t="shared" si="987"/>
        <v/>
      </c>
      <c r="GS139" s="342" t="str">
        <f t="shared" si="988"/>
        <v/>
      </c>
      <c r="GT139" s="343" t="str">
        <f t="shared" si="989"/>
        <v/>
      </c>
      <c r="GU139" s="344" t="str">
        <f t="shared" si="781"/>
        <v/>
      </c>
      <c r="GV139" s="343" t="str">
        <f t="shared" si="990"/>
        <v/>
      </c>
      <c r="GW139" s="345" t="str">
        <f t="shared" si="782"/>
        <v/>
      </c>
      <c r="GX139" s="346" t="str">
        <f t="shared" si="783"/>
        <v/>
      </c>
      <c r="GY139" s="344" t="str">
        <f t="shared" si="991"/>
        <v/>
      </c>
      <c r="GZ139" s="345" t="str">
        <f t="shared" si="992"/>
        <v/>
      </c>
      <c r="HA139" s="342" t="str">
        <f t="shared" si="786"/>
        <v/>
      </c>
      <c r="HB139" s="5" t="str">
        <f t="shared" si="726"/>
        <v/>
      </c>
      <c r="HC139" s="343" t="str">
        <f t="shared" si="993"/>
        <v/>
      </c>
      <c r="HD139" s="363" t="str">
        <f t="shared" si="994"/>
        <v/>
      </c>
      <c r="HE139" s="344" t="str">
        <f t="shared" si="787"/>
        <v/>
      </c>
      <c r="HF139" s="5" t="str">
        <f t="shared" si="788"/>
        <v/>
      </c>
      <c r="HG139" s="343" t="str">
        <f t="shared" si="995"/>
        <v/>
      </c>
      <c r="HH139" s="349" t="str">
        <f t="shared" si="996"/>
        <v/>
      </c>
      <c r="HI139" s="317" t="str">
        <f t="shared" si="1021"/>
        <v/>
      </c>
      <c r="HK139" s="310" t="str">
        <f t="shared" si="1052"/>
        <v/>
      </c>
      <c r="HL139" s="348" t="str">
        <f t="shared" si="1022"/>
        <v/>
      </c>
      <c r="HM139" s="909" t="str">
        <f t="shared" si="1023"/>
        <v/>
      </c>
      <c r="HN139" s="910" t="str">
        <f t="shared" si="1024"/>
        <v/>
      </c>
      <c r="HO139" s="911"/>
      <c r="HP139" s="912"/>
      <c r="HQ139" s="910" t="str">
        <f t="shared" si="1025"/>
        <v/>
      </c>
      <c r="HR139" s="913" t="str">
        <f t="shared" si="1026"/>
        <v/>
      </c>
      <c r="HS139" s="865" t="str">
        <f t="shared" si="997"/>
        <v/>
      </c>
      <c r="HT139" s="875" t="str">
        <f t="shared" si="1027"/>
        <v/>
      </c>
      <c r="HU139" s="876" t="str">
        <f t="shared" si="1028"/>
        <v/>
      </c>
      <c r="HV139" s="872" t="str">
        <f t="shared" si="1029"/>
        <v/>
      </c>
      <c r="HW139" s="866" t="str">
        <f t="shared" si="1030"/>
        <v/>
      </c>
      <c r="HX139" s="867" t="str">
        <f t="shared" si="1031"/>
        <v/>
      </c>
      <c r="HY139" s="866" t="str">
        <f t="shared" si="1032"/>
        <v/>
      </c>
      <c r="HZ139" s="868" t="str">
        <f t="shared" si="1033"/>
        <v/>
      </c>
      <c r="IA139" s="869" t="str">
        <f t="shared" si="1034"/>
        <v/>
      </c>
      <c r="IB139" s="870" t="str">
        <f t="shared" si="1035"/>
        <v/>
      </c>
      <c r="IC139" s="841" t="str">
        <f t="shared" si="1036"/>
        <v/>
      </c>
      <c r="ID139" s="351" t="str">
        <f t="shared" si="1037"/>
        <v/>
      </c>
      <c r="IE139" s="843" t="str">
        <f t="shared" si="1038"/>
        <v/>
      </c>
      <c r="IF139" s="844"/>
      <c r="IG139" s="790" t="str">
        <f>IFERROR(IF($IW139="","",IF($IW139&lt;(((Settings!$C$19/2)*-1)*$IG$8),"Taper","Nose")),"")</f>
        <v/>
      </c>
      <c r="IH139" s="482" t="str">
        <f>IFERROR(IF((((($IY139*COS(RADIANS(180-$JA139)))*COS(RADIANS($JA139)))-(($IZ139*SIN(RADIANS(180-$JA139)))*SIN(RADIANS($JA139))))+$IW139)&lt;(((Settings!$C$19+$IH$8)/2)*-1),"Gage",""),"")</f>
        <v/>
      </c>
      <c r="II139" s="788" t="str">
        <f t="shared" ref="II139:II150" si="1054">$M139</f>
        <v/>
      </c>
      <c r="IJ139" s="674" t="str" cm="1">
        <f t="array" ref="IJ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K139" s="677" t="str" cm="1">
        <f t="array" ref="IK139">IFERROR(ROUND(VALUE(IF($IJ139&lt;1,$IJ139+LARGE((IF($M$9:$M$150="",0,$M$9:$M$150)-MOD(IF($M$9:$M$150="",0,$M$9:$M$150),1)),1),$IJ139)),4),"")</f>
        <v/>
      </c>
      <c r="IL139" s="482" t="str">
        <f t="shared" si="1039"/>
        <v/>
      </c>
      <c r="IM139" s="482" t="str">
        <f t="shared" ref="IM139:IM150" si="1055">IF(ISNUMBER($IK139),INDEX($K$9:$K$150,MATCH($II139,$M$9:$M$150,0)),"")</f>
        <v/>
      </c>
      <c r="IN139" s="670" t="str">
        <f t="shared" si="1040"/>
        <v/>
      </c>
      <c r="IO139" s="702"/>
      <c r="IP139" s="5" t="str">
        <f t="shared" si="1041"/>
        <v/>
      </c>
      <c r="IQ139" s="714"/>
      <c r="IR139" s="9" t="str">
        <f t="shared" si="1042"/>
        <v/>
      </c>
      <c r="IS139" s="5" t="str">
        <f t="shared" si="1043"/>
        <v/>
      </c>
      <c r="IT139" s="5" t="str">
        <f t="shared" si="1044"/>
        <v/>
      </c>
      <c r="IU139" s="5" t="str">
        <f t="shared" si="1045"/>
        <v/>
      </c>
      <c r="IV139" s="670" t="str">
        <f t="shared" si="1046"/>
        <v/>
      </c>
      <c r="IW139" s="9" t="str">
        <f t="shared" si="1047"/>
        <v/>
      </c>
      <c r="IX139" s="5" t="str">
        <f t="shared" si="1048"/>
        <v/>
      </c>
      <c r="IY139" s="5" t="str">
        <f t="shared" si="1049"/>
        <v/>
      </c>
      <c r="IZ139" s="5" t="str">
        <f t="shared" si="1050"/>
        <v/>
      </c>
      <c r="JA139" s="705" t="str">
        <f t="shared" si="1051"/>
        <v/>
      </c>
    </row>
    <row r="140" spans="1:261" ht="15" customHeight="1" x14ac:dyDescent="0.25">
      <c r="A140" s="75" t="str">
        <f t="shared" si="736"/>
        <v/>
      </c>
      <c r="B140" s="578" t="str">
        <f t="shared" si="845"/>
        <v/>
      </c>
      <c r="C140" s="572" t="str">
        <f t="shared" si="846"/>
        <v/>
      </c>
      <c r="D140" s="576" t="str">
        <f t="shared" si="847"/>
        <v/>
      </c>
      <c r="E140" s="580" t="str">
        <f t="shared" si="848"/>
        <v/>
      </c>
      <c r="F140" s="572" t="str">
        <f t="shared" si="849"/>
        <v/>
      </c>
      <c r="G140" s="579" t="str">
        <f t="shared" si="850"/>
        <v/>
      </c>
      <c r="H140" s="580" t="str">
        <f t="shared" si="851"/>
        <v/>
      </c>
      <c r="I140" s="572" t="str">
        <f t="shared" si="852"/>
        <v/>
      </c>
      <c r="J140" s="483" t="str">
        <f t="shared" si="853"/>
        <v/>
      </c>
      <c r="K140" s="806" t="str">
        <f t="shared" si="854"/>
        <v/>
      </c>
      <c r="L140" s="309"/>
      <c r="M140" s="492" t="str">
        <f t="shared" si="998"/>
        <v/>
      </c>
      <c r="N140" s="581" t="str">
        <f t="shared" si="999"/>
        <v/>
      </c>
      <c r="O140" s="582" t="str">
        <f t="shared" si="1000"/>
        <v/>
      </c>
      <c r="P140" s="583" t="str">
        <f t="shared" si="1001"/>
        <v/>
      </c>
      <c r="Q140" s="536" t="str">
        <f t="shared" si="856"/>
        <v/>
      </c>
      <c r="R140" s="582" t="str">
        <f t="shared" si="857"/>
        <v/>
      </c>
      <c r="S140" s="584" t="str">
        <f t="shared" si="858"/>
        <v/>
      </c>
      <c r="T140" s="585" t="str">
        <f t="shared" si="859"/>
        <v/>
      </c>
      <c r="U140" s="582" t="str">
        <f t="shared" si="860"/>
        <v/>
      </c>
      <c r="V140" s="586" t="str">
        <f t="shared" si="861"/>
        <v/>
      </c>
      <c r="W140" s="536" t="str">
        <f t="shared" si="862"/>
        <v/>
      </c>
      <c r="X140" s="582" t="str">
        <f t="shared" si="863"/>
        <v/>
      </c>
      <c r="Y140" s="587" t="str">
        <f t="shared" si="864"/>
        <v/>
      </c>
      <c r="Z140" s="581" t="str">
        <f t="shared" si="1002"/>
        <v/>
      </c>
      <c r="AA140" s="582" t="str">
        <f t="shared" si="1003"/>
        <v/>
      </c>
      <c r="AB140" s="582" t="str">
        <f t="shared" si="1004"/>
        <v/>
      </c>
      <c r="AC140" s="586" t="str">
        <f t="shared" si="865"/>
        <v/>
      </c>
      <c r="AD140" s="588" t="str">
        <f t="shared" si="866"/>
        <v/>
      </c>
      <c r="AE140" s="582" t="str">
        <f t="shared" si="867"/>
        <v/>
      </c>
      <c r="AF140" s="583" t="str">
        <f t="shared" si="868"/>
        <v/>
      </c>
      <c r="AG140" s="547" t="str">
        <f t="shared" si="869"/>
        <v/>
      </c>
      <c r="AH140" s="548" t="str">
        <f t="shared" si="870"/>
        <v/>
      </c>
      <c r="AI140" s="536" t="str">
        <f t="shared" si="871"/>
        <v/>
      </c>
      <c r="AJ140" s="537" t="str">
        <f t="shared" si="872"/>
        <v/>
      </c>
      <c r="AK140" s="585" t="str">
        <f t="shared" si="873"/>
        <v/>
      </c>
      <c r="AL140" s="582" t="str">
        <f t="shared" si="874"/>
        <v/>
      </c>
      <c r="AM140" s="584" t="str">
        <f t="shared" si="875"/>
        <v/>
      </c>
      <c r="AN140" s="534" t="str">
        <f t="shared" si="876"/>
        <v/>
      </c>
      <c r="AO140" s="535" t="str">
        <f t="shared" si="855"/>
        <v/>
      </c>
      <c r="AP140" s="536" t="str">
        <f t="shared" si="877"/>
        <v/>
      </c>
      <c r="AQ140" s="537" t="str">
        <f t="shared" si="1005"/>
        <v/>
      </c>
      <c r="AS140" s="933" t="str">
        <f t="shared" si="1053"/>
        <v/>
      </c>
      <c r="AT140" s="929" t="str">
        <f t="shared" si="1006"/>
        <v/>
      </c>
      <c r="AU140" s="418"/>
      <c r="AV140" s="164" t="str">
        <f t="shared" si="1007"/>
        <v/>
      </c>
      <c r="AW140" s="832" t="str">
        <f>IFERROR(INDEX(MassProp!C$9:C$150,MATCH($M140,MassProp!$B$9:$B$150,0)),"")</f>
        <v/>
      </c>
      <c r="AX140" s="833" t="str">
        <f>IFERROR(INDEX(MassProp!D$9:D$150,MATCH($M140,MassProp!$B$9:$B$150,0)),"")</f>
        <v/>
      </c>
      <c r="AY140" s="834" t="str">
        <f>IFERROR(INDEX(MassProp!E$9:E$150,MATCH($M140,MassProp!$B$9:$B$150,0)),"")</f>
        <v/>
      </c>
      <c r="AZ140" s="297" t="str">
        <f t="shared" si="878"/>
        <v/>
      </c>
      <c r="BA140" s="505" t="str">
        <f t="shared" si="879"/>
        <v/>
      </c>
      <c r="BB140" s="506" t="str">
        <f t="shared" si="610"/>
        <v/>
      </c>
      <c r="BC140" s="496"/>
      <c r="BD140" s="494" t="str">
        <f t="shared" si="880"/>
        <v/>
      </c>
      <c r="BE140" s="497" t="str">
        <f t="shared" si="1008"/>
        <v/>
      </c>
      <c r="BF140" s="498" t="str">
        <f t="shared" si="1009"/>
        <v/>
      </c>
      <c r="BG140" s="494" t="str">
        <f t="shared" si="1010"/>
        <v/>
      </c>
      <c r="BH140" s="495" t="str">
        <f t="shared" si="1011"/>
        <v/>
      </c>
      <c r="BI140" s="496" t="str">
        <f t="shared" si="881"/>
        <v/>
      </c>
      <c r="BJ140" s="494" t="str">
        <f t="shared" si="1012"/>
        <v/>
      </c>
      <c r="BK140" s="499" t="str">
        <f t="shared" si="1013"/>
        <v/>
      </c>
      <c r="BL140" s="502" t="str">
        <f t="shared" si="1014"/>
        <v/>
      </c>
      <c r="BM140" s="494" t="str">
        <f t="shared" si="1015"/>
        <v/>
      </c>
      <c r="BN140" s="497" t="str">
        <f t="shared" si="1016"/>
        <v/>
      </c>
      <c r="BO140" s="498" t="str">
        <f t="shared" si="882"/>
        <v/>
      </c>
      <c r="BP140" s="494" t="str">
        <f t="shared" ref="BP140:BP150" si="1056">IF(IF(ISNUMBER($AV140),BF140*(BN140-BK140)-(BI140*BN140-BL140*BK140)+BH140*(BI140-BL140),"")=0,IF(ISNUMBER($AV140),BF140*(BN140-BK140)-(BI140*BN140-BL140*BK140)+BH140*(BI140-BL140),"")+0.00001,IF(ISNUMBER($AV140),BF140*(BN140-BK140)-(BI140*BN140-BL140*BK140)+BH140*(BI140-BL140),""))</f>
        <v/>
      </c>
      <c r="BQ140" s="494" t="str">
        <f t="shared" si="883"/>
        <v/>
      </c>
      <c r="BR140" s="497" t="str">
        <f t="shared" si="884"/>
        <v/>
      </c>
      <c r="BS140" s="498" t="str">
        <f t="shared" si="839"/>
        <v/>
      </c>
      <c r="BT140" s="494" t="str">
        <f t="shared" si="839"/>
        <v/>
      </c>
      <c r="BU140" s="495" t="str">
        <f t="shared" si="613"/>
        <v/>
      </c>
      <c r="BV140" s="496" t="str">
        <f t="shared" si="614"/>
        <v/>
      </c>
      <c r="BW140" s="494" t="str">
        <f t="shared" si="615"/>
        <v/>
      </c>
      <c r="BX140" s="499" t="str">
        <f t="shared" si="616"/>
        <v/>
      </c>
      <c r="BY140" s="502" t="str">
        <f t="shared" si="617"/>
        <v/>
      </c>
      <c r="BZ140" s="494" t="str">
        <f t="shared" si="618"/>
        <v/>
      </c>
      <c r="CA140" s="497" t="str">
        <f t="shared" si="619"/>
        <v/>
      </c>
      <c r="CB140" s="498" t="str">
        <f t="shared" si="885"/>
        <v/>
      </c>
      <c r="CC140" s="494" t="str">
        <f t="shared" si="886"/>
        <v/>
      </c>
      <c r="CD140" s="494" t="str">
        <f t="shared" si="887"/>
        <v/>
      </c>
      <c r="CE140" s="497" t="str">
        <f t="shared" si="888"/>
        <v/>
      </c>
      <c r="CF140" s="498" t="str">
        <f t="shared" si="889"/>
        <v/>
      </c>
      <c r="CG140" s="494" t="str">
        <f t="shared" si="890"/>
        <v/>
      </c>
      <c r="CH140" s="494" t="str">
        <f t="shared" si="891"/>
        <v/>
      </c>
      <c r="CI140" s="498" t="str">
        <f t="shared" si="620"/>
        <v/>
      </c>
      <c r="CJ140" s="494" t="str">
        <f t="shared" si="892"/>
        <v/>
      </c>
      <c r="CK140" s="499" t="str">
        <f t="shared" si="893"/>
        <v/>
      </c>
      <c r="CL140" s="502" t="str">
        <f t="shared" si="894"/>
        <v/>
      </c>
      <c r="CM140" s="494" t="str">
        <f t="shared" si="895"/>
        <v/>
      </c>
      <c r="CN140" s="497" t="str">
        <f t="shared" si="896"/>
        <v/>
      </c>
      <c r="CO140" s="507" t="str">
        <f t="shared" si="1017"/>
        <v/>
      </c>
      <c r="CP140" s="498" t="str">
        <f t="shared" si="897"/>
        <v/>
      </c>
      <c r="CQ140" s="494" t="str">
        <f t="shared" si="898"/>
        <v/>
      </c>
      <c r="CR140" s="494" t="str">
        <f t="shared" si="899"/>
        <v/>
      </c>
      <c r="CS140" s="499" t="str">
        <f t="shared" si="900"/>
        <v/>
      </c>
      <c r="CT140" s="496" t="str">
        <f t="shared" si="901"/>
        <v/>
      </c>
      <c r="CU140" s="497" t="str">
        <f t="shared" si="902"/>
        <v/>
      </c>
      <c r="CV140" s="498" t="str">
        <f t="shared" si="903"/>
        <v/>
      </c>
      <c r="CW140" s="494" t="str">
        <f t="shared" si="904"/>
        <v/>
      </c>
      <c r="CX140" s="499" t="str">
        <f t="shared" si="905"/>
        <v/>
      </c>
      <c r="CY140" s="496" t="str">
        <f t="shared" si="906"/>
        <v/>
      </c>
      <c r="CZ140" s="494" t="str">
        <f t="shared" si="907"/>
        <v/>
      </c>
      <c r="DA140" s="497" t="str">
        <f t="shared" si="908"/>
        <v/>
      </c>
      <c r="DB140" s="498" t="str">
        <f t="shared" si="843"/>
        <v/>
      </c>
      <c r="DC140" s="494" t="str">
        <f t="shared" si="843"/>
        <v/>
      </c>
      <c r="DD140" s="495" t="str">
        <f t="shared" si="658"/>
        <v/>
      </c>
      <c r="DE140" s="496" t="str">
        <f t="shared" si="844"/>
        <v/>
      </c>
      <c r="DF140" s="494" t="str">
        <f t="shared" si="844"/>
        <v/>
      </c>
      <c r="DG140" s="495" t="str">
        <f t="shared" si="660"/>
        <v/>
      </c>
      <c r="DH140" s="501" t="str">
        <f t="shared" si="909"/>
        <v/>
      </c>
      <c r="DI140" s="498" t="str">
        <f t="shared" si="910"/>
        <v/>
      </c>
      <c r="DJ140" s="494" t="str">
        <f t="shared" si="911"/>
        <v/>
      </c>
      <c r="DK140" s="495" t="str">
        <f t="shared" si="912"/>
        <v/>
      </c>
      <c r="DL140" s="496" t="str">
        <f t="shared" si="913"/>
        <v/>
      </c>
      <c r="DM140" s="502" t="str">
        <f t="shared" si="914"/>
        <v/>
      </c>
      <c r="DN140" s="508" t="str">
        <f t="shared" si="915"/>
        <v/>
      </c>
      <c r="DO140" s="496" t="str">
        <f t="shared" si="916"/>
        <v/>
      </c>
      <c r="DP140" s="502" t="str">
        <f t="shared" si="917"/>
        <v/>
      </c>
      <c r="DQ140" s="503" t="str">
        <f t="shared" si="918"/>
        <v/>
      </c>
      <c r="DR140" s="502" t="str">
        <f t="shared" si="919"/>
        <v/>
      </c>
      <c r="DS140" s="494" t="str">
        <f t="shared" si="920"/>
        <v/>
      </c>
      <c r="DT140" s="494" t="str">
        <f t="shared" si="921"/>
        <v/>
      </c>
      <c r="DU140" s="494" t="str">
        <f t="shared" si="922"/>
        <v/>
      </c>
      <c r="DV140" s="494" t="str">
        <f t="shared" si="923"/>
        <v/>
      </c>
      <c r="DW140" s="494" t="str">
        <f t="shared" si="924"/>
        <v/>
      </c>
      <c r="DX140" s="507" t="str">
        <f t="shared" si="925"/>
        <v/>
      </c>
      <c r="DY140" s="496" t="str">
        <f t="shared" si="926"/>
        <v/>
      </c>
      <c r="DZ140" s="494" t="str">
        <f t="shared" si="927"/>
        <v/>
      </c>
      <c r="EA140" s="495" t="str">
        <f t="shared" si="928"/>
        <v/>
      </c>
      <c r="EB140" s="497" t="str">
        <f t="shared" si="929"/>
        <v/>
      </c>
      <c r="EC140" s="502" t="str">
        <f t="shared" si="930"/>
        <v/>
      </c>
      <c r="ED140" s="494" t="str">
        <f t="shared" si="931"/>
        <v/>
      </c>
      <c r="EE140" s="498" t="str">
        <f t="shared" si="932"/>
        <v/>
      </c>
      <c r="EF140" s="494" t="str">
        <f t="shared" si="933"/>
        <v/>
      </c>
      <c r="EG140" s="495" t="str">
        <f t="shared" si="934"/>
        <v/>
      </c>
      <c r="EH140" s="496" t="str">
        <f t="shared" si="935"/>
        <v/>
      </c>
      <c r="EI140" s="494" t="str">
        <f t="shared" si="936"/>
        <v/>
      </c>
      <c r="EJ140" s="497" t="str">
        <f t="shared" si="937"/>
        <v/>
      </c>
      <c r="EK140" s="509" t="str">
        <f t="shared" si="690"/>
        <v/>
      </c>
      <c r="EL140" s="510" t="str">
        <f t="shared" si="691"/>
        <v/>
      </c>
      <c r="EM140" s="498" t="str">
        <f t="shared" si="938"/>
        <v/>
      </c>
      <c r="EN140" s="494" t="str">
        <f t="shared" si="939"/>
        <v/>
      </c>
      <c r="EO140" s="495" t="str">
        <f t="shared" si="940"/>
        <v/>
      </c>
      <c r="EP140" s="496" t="str">
        <f t="shared" si="941"/>
        <v/>
      </c>
      <c r="EQ140" s="494" t="str">
        <f t="shared" si="942"/>
        <v/>
      </c>
      <c r="ER140" s="500" t="str">
        <f t="shared" si="943"/>
        <v/>
      </c>
      <c r="ES140" s="493" t="str">
        <f t="shared" si="1018"/>
        <v/>
      </c>
      <c r="ET140" s="494" t="str">
        <f t="shared" si="1019"/>
        <v/>
      </c>
      <c r="EU140" s="495" t="str">
        <f t="shared" si="1020"/>
        <v/>
      </c>
      <c r="EV140" s="174" t="str">
        <f t="shared" si="944"/>
        <v/>
      </c>
      <c r="EW140" s="496" t="str">
        <f t="shared" si="945"/>
        <v/>
      </c>
      <c r="EX140" s="494" t="str">
        <f t="shared" si="946"/>
        <v/>
      </c>
      <c r="EY140" s="497" t="str">
        <f t="shared" si="947"/>
        <v/>
      </c>
      <c r="EZ140" s="504" t="str">
        <f t="shared" si="699"/>
        <v/>
      </c>
      <c r="FA140" s="502" t="str">
        <f t="shared" si="764"/>
        <v/>
      </c>
      <c r="FB140" s="494" t="str">
        <f t="shared" si="765"/>
        <v/>
      </c>
      <c r="FC140" s="497" t="str">
        <f t="shared" si="766"/>
        <v/>
      </c>
      <c r="FD140" s="498" t="str">
        <f t="shared" si="948"/>
        <v/>
      </c>
      <c r="FE140" s="494" t="str">
        <f t="shared" si="949"/>
        <v/>
      </c>
      <c r="FF140" s="500" t="str">
        <f t="shared" si="950"/>
        <v/>
      </c>
      <c r="FG140" s="173" t="str">
        <f t="shared" si="951"/>
        <v/>
      </c>
      <c r="FH140" s="5" t="str">
        <f t="shared" si="952"/>
        <v/>
      </c>
      <c r="FI140" s="10" t="str">
        <f t="shared" si="953"/>
        <v/>
      </c>
      <c r="FJ140" s="279" t="str">
        <f t="shared" si="954"/>
        <v/>
      </c>
      <c r="FK140" s="4" t="str">
        <f t="shared" si="955"/>
        <v/>
      </c>
      <c r="FL140" s="5" t="str">
        <f t="shared" si="956"/>
        <v/>
      </c>
      <c r="FM140" s="8" t="str">
        <f t="shared" si="957"/>
        <v/>
      </c>
      <c r="FN140" s="9" t="str">
        <f t="shared" si="958"/>
        <v/>
      </c>
      <c r="FO140" s="10" t="str">
        <f t="shared" si="959"/>
        <v/>
      </c>
      <c r="FP140" s="277" t="str">
        <f t="shared" si="960"/>
        <v/>
      </c>
      <c r="FQ140" s="173" t="str">
        <f t="shared" si="961"/>
        <v/>
      </c>
      <c r="FR140" s="10" t="str">
        <f t="shared" si="962"/>
        <v/>
      </c>
      <c r="FS140" s="9" t="str">
        <f t="shared" si="963"/>
        <v/>
      </c>
      <c r="FT140" s="6" t="str">
        <f t="shared" si="964"/>
        <v/>
      </c>
      <c r="FU140" s="4" t="str">
        <f t="shared" si="965"/>
        <v/>
      </c>
      <c r="FV140" s="5" t="str">
        <f t="shared" si="966"/>
        <v/>
      </c>
      <c r="FW140" s="8" t="str">
        <f t="shared" si="967"/>
        <v/>
      </c>
      <c r="FX140" s="9" t="str">
        <f t="shared" si="968"/>
        <v/>
      </c>
      <c r="FY140" s="10" t="str">
        <f t="shared" si="969"/>
        <v/>
      </c>
      <c r="FZ140" s="277" t="str">
        <f t="shared" si="970"/>
        <v/>
      </c>
      <c r="GA140" s="177" t="str">
        <f t="shared" si="971"/>
        <v/>
      </c>
      <c r="GB140" s="4" t="str">
        <f t="shared" si="972"/>
        <v/>
      </c>
      <c r="GC140" s="5" t="str">
        <f t="shared" si="973"/>
        <v/>
      </c>
      <c r="GD140" s="10" t="str">
        <f t="shared" si="974"/>
        <v/>
      </c>
      <c r="GE140" s="311" t="str">
        <f t="shared" si="975"/>
        <v/>
      </c>
      <c r="GF140" s="341" t="str">
        <f t="shared" si="976"/>
        <v/>
      </c>
      <c r="GG140" s="306" t="str">
        <f t="shared" si="977"/>
        <v/>
      </c>
      <c r="GH140" s="307" t="str">
        <f t="shared" si="978"/>
        <v/>
      </c>
      <c r="GI140" s="308" t="str">
        <f t="shared" si="979"/>
        <v/>
      </c>
      <c r="GJ140" s="167" t="str">
        <f t="shared" si="980"/>
        <v/>
      </c>
      <c r="GK140" s="174" t="str">
        <f t="shared" si="778"/>
        <v/>
      </c>
      <c r="GL140" s="174" t="str">
        <f t="shared" si="981"/>
        <v/>
      </c>
      <c r="GM140" s="177" t="str">
        <f t="shared" si="982"/>
        <v/>
      </c>
      <c r="GN140" s="280" t="str">
        <f t="shared" si="983"/>
        <v/>
      </c>
      <c r="GO140" s="4" t="str">
        <f t="shared" si="984"/>
        <v/>
      </c>
      <c r="GP140" s="8" t="str">
        <f t="shared" si="985"/>
        <v/>
      </c>
      <c r="GQ140" s="177" t="str">
        <f t="shared" si="986"/>
        <v/>
      </c>
      <c r="GR140" s="371" t="str">
        <f t="shared" si="987"/>
        <v/>
      </c>
      <c r="GS140" s="342" t="str">
        <f t="shared" si="988"/>
        <v/>
      </c>
      <c r="GT140" s="343" t="str">
        <f t="shared" si="989"/>
        <v/>
      </c>
      <c r="GU140" s="344" t="str">
        <f t="shared" si="781"/>
        <v/>
      </c>
      <c r="GV140" s="343" t="str">
        <f t="shared" si="990"/>
        <v/>
      </c>
      <c r="GW140" s="345" t="str">
        <f t="shared" si="782"/>
        <v/>
      </c>
      <c r="GX140" s="346" t="str">
        <f t="shared" si="783"/>
        <v/>
      </c>
      <c r="GY140" s="344" t="str">
        <f t="shared" si="991"/>
        <v/>
      </c>
      <c r="GZ140" s="345" t="str">
        <f t="shared" si="992"/>
        <v/>
      </c>
      <c r="HA140" s="342" t="str">
        <f t="shared" si="786"/>
        <v/>
      </c>
      <c r="HB140" s="5" t="str">
        <f t="shared" si="726"/>
        <v/>
      </c>
      <c r="HC140" s="343" t="str">
        <f t="shared" si="993"/>
        <v/>
      </c>
      <c r="HD140" s="363" t="str">
        <f t="shared" si="994"/>
        <v/>
      </c>
      <c r="HE140" s="344" t="str">
        <f t="shared" si="787"/>
        <v/>
      </c>
      <c r="HF140" s="5" t="str">
        <f t="shared" si="788"/>
        <v/>
      </c>
      <c r="HG140" s="343" t="str">
        <f t="shared" si="995"/>
        <v/>
      </c>
      <c r="HH140" s="349" t="str">
        <f t="shared" si="996"/>
        <v/>
      </c>
      <c r="HI140" s="317" t="str">
        <f t="shared" si="1021"/>
        <v/>
      </c>
      <c r="HK140" s="310" t="str">
        <f t="shared" si="1052"/>
        <v/>
      </c>
      <c r="HL140" s="348" t="str">
        <f t="shared" si="1022"/>
        <v/>
      </c>
      <c r="HM140" s="909" t="str">
        <f t="shared" si="1023"/>
        <v/>
      </c>
      <c r="HN140" s="910" t="str">
        <f t="shared" si="1024"/>
        <v/>
      </c>
      <c r="HO140" s="911"/>
      <c r="HP140" s="912"/>
      <c r="HQ140" s="910" t="str">
        <f t="shared" si="1025"/>
        <v/>
      </c>
      <c r="HR140" s="913" t="str">
        <f t="shared" si="1026"/>
        <v/>
      </c>
      <c r="HS140" s="865" t="str">
        <f t="shared" si="997"/>
        <v/>
      </c>
      <c r="HT140" s="875" t="str">
        <f t="shared" si="1027"/>
        <v/>
      </c>
      <c r="HU140" s="876" t="str">
        <f t="shared" si="1028"/>
        <v/>
      </c>
      <c r="HV140" s="872" t="str">
        <f t="shared" si="1029"/>
        <v/>
      </c>
      <c r="HW140" s="866" t="str">
        <f t="shared" si="1030"/>
        <v/>
      </c>
      <c r="HX140" s="867" t="str">
        <f t="shared" si="1031"/>
        <v/>
      </c>
      <c r="HY140" s="866" t="str">
        <f t="shared" si="1032"/>
        <v/>
      </c>
      <c r="HZ140" s="868" t="str">
        <f t="shared" si="1033"/>
        <v/>
      </c>
      <c r="IA140" s="869" t="str">
        <f t="shared" si="1034"/>
        <v/>
      </c>
      <c r="IB140" s="870" t="str">
        <f t="shared" si="1035"/>
        <v/>
      </c>
      <c r="IC140" s="841" t="str">
        <f t="shared" si="1036"/>
        <v/>
      </c>
      <c r="ID140" s="351" t="str">
        <f t="shared" si="1037"/>
        <v/>
      </c>
      <c r="IE140" s="843" t="str">
        <f t="shared" si="1038"/>
        <v/>
      </c>
      <c r="IF140" s="844"/>
      <c r="IG140" s="790" t="str">
        <f>IFERROR(IF($IW140="","",IF($IW140&lt;(((Settings!$C$19/2)*-1)*$IG$8),"Taper","Nose")),"")</f>
        <v/>
      </c>
      <c r="IH140" s="482" t="str">
        <f>IFERROR(IF((((($IY140*COS(RADIANS(180-$JA140)))*COS(RADIANS($JA140)))-(($IZ140*SIN(RADIANS(180-$JA140)))*SIN(RADIANS($JA140))))+$IW140)&lt;(((Settings!$C$19+$IH$8)/2)*-1),"Gage",""),"")</f>
        <v/>
      </c>
      <c r="II140" s="788" t="str">
        <f t="shared" si="1054"/>
        <v/>
      </c>
      <c r="IJ140" s="674" t="str" cm="1">
        <f t="array" ref="IJ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K140" s="677" t="str" cm="1">
        <f t="array" ref="IK140">IFERROR(ROUND(VALUE(IF($IJ140&lt;1,$IJ140+LARGE((IF($M$9:$M$150="",0,$M$9:$M$150)-MOD(IF($M$9:$M$150="",0,$M$9:$M$150),1)),1),$IJ140)),4),"")</f>
        <v/>
      </c>
      <c r="IL140" s="482" t="str">
        <f t="shared" si="1039"/>
        <v/>
      </c>
      <c r="IM140" s="482" t="str">
        <f t="shared" si="1055"/>
        <v/>
      </c>
      <c r="IN140" s="670" t="str">
        <f t="shared" si="1040"/>
        <v/>
      </c>
      <c r="IO140" s="702"/>
      <c r="IP140" s="5" t="str">
        <f t="shared" si="1041"/>
        <v/>
      </c>
      <c r="IQ140" s="714"/>
      <c r="IR140" s="9" t="str">
        <f t="shared" si="1042"/>
        <v/>
      </c>
      <c r="IS140" s="5" t="str">
        <f t="shared" si="1043"/>
        <v/>
      </c>
      <c r="IT140" s="5" t="str">
        <f t="shared" si="1044"/>
        <v/>
      </c>
      <c r="IU140" s="5" t="str">
        <f t="shared" si="1045"/>
        <v/>
      </c>
      <c r="IV140" s="670" t="str">
        <f t="shared" si="1046"/>
        <v/>
      </c>
      <c r="IW140" s="9" t="str">
        <f t="shared" si="1047"/>
        <v/>
      </c>
      <c r="IX140" s="5" t="str">
        <f t="shared" si="1048"/>
        <v/>
      </c>
      <c r="IY140" s="5" t="str">
        <f t="shared" si="1049"/>
        <v/>
      </c>
      <c r="IZ140" s="5" t="str">
        <f t="shared" si="1050"/>
        <v/>
      </c>
      <c r="JA140" s="705" t="str">
        <f t="shared" si="1051"/>
        <v/>
      </c>
    </row>
    <row r="141" spans="1:261" ht="15" customHeight="1" x14ac:dyDescent="0.25">
      <c r="A141" s="75" t="str">
        <f t="shared" si="736"/>
        <v/>
      </c>
      <c r="B141" s="578" t="str">
        <f t="shared" si="845"/>
        <v/>
      </c>
      <c r="C141" s="572" t="str">
        <f t="shared" si="846"/>
        <v/>
      </c>
      <c r="D141" s="576" t="str">
        <f t="shared" si="847"/>
        <v/>
      </c>
      <c r="E141" s="580" t="str">
        <f t="shared" si="848"/>
        <v/>
      </c>
      <c r="F141" s="572" t="str">
        <f t="shared" si="849"/>
        <v/>
      </c>
      <c r="G141" s="579" t="str">
        <f t="shared" si="850"/>
        <v/>
      </c>
      <c r="H141" s="580" t="str">
        <f t="shared" si="851"/>
        <v/>
      </c>
      <c r="I141" s="572" t="str">
        <f t="shared" si="852"/>
        <v/>
      </c>
      <c r="J141" s="483" t="str">
        <f t="shared" si="853"/>
        <v/>
      </c>
      <c r="K141" s="806" t="str">
        <f t="shared" si="854"/>
        <v/>
      </c>
      <c r="L141" s="309"/>
      <c r="M141" s="492" t="str">
        <f t="shared" si="998"/>
        <v/>
      </c>
      <c r="N141" s="581" t="str">
        <f t="shared" si="999"/>
        <v/>
      </c>
      <c r="O141" s="582" t="str">
        <f t="shared" si="1000"/>
        <v/>
      </c>
      <c r="P141" s="583" t="str">
        <f t="shared" si="1001"/>
        <v/>
      </c>
      <c r="Q141" s="536" t="str">
        <f t="shared" si="856"/>
        <v/>
      </c>
      <c r="R141" s="582" t="str">
        <f t="shared" si="857"/>
        <v/>
      </c>
      <c r="S141" s="584" t="str">
        <f t="shared" si="858"/>
        <v/>
      </c>
      <c r="T141" s="585" t="str">
        <f t="shared" si="859"/>
        <v/>
      </c>
      <c r="U141" s="582" t="str">
        <f t="shared" si="860"/>
        <v/>
      </c>
      <c r="V141" s="586" t="str">
        <f t="shared" si="861"/>
        <v/>
      </c>
      <c r="W141" s="536" t="str">
        <f t="shared" si="862"/>
        <v/>
      </c>
      <c r="X141" s="582" t="str">
        <f t="shared" si="863"/>
        <v/>
      </c>
      <c r="Y141" s="587" t="str">
        <f t="shared" si="864"/>
        <v/>
      </c>
      <c r="Z141" s="581" t="str">
        <f t="shared" si="1002"/>
        <v/>
      </c>
      <c r="AA141" s="582" t="str">
        <f t="shared" si="1003"/>
        <v/>
      </c>
      <c r="AB141" s="582" t="str">
        <f t="shared" si="1004"/>
        <v/>
      </c>
      <c r="AC141" s="586" t="str">
        <f t="shared" si="865"/>
        <v/>
      </c>
      <c r="AD141" s="588" t="str">
        <f t="shared" si="866"/>
        <v/>
      </c>
      <c r="AE141" s="582" t="str">
        <f t="shared" si="867"/>
        <v/>
      </c>
      <c r="AF141" s="583" t="str">
        <f t="shared" si="868"/>
        <v/>
      </c>
      <c r="AG141" s="547" t="str">
        <f t="shared" si="869"/>
        <v/>
      </c>
      <c r="AH141" s="548" t="str">
        <f t="shared" si="870"/>
        <v/>
      </c>
      <c r="AI141" s="536" t="str">
        <f t="shared" si="871"/>
        <v/>
      </c>
      <c r="AJ141" s="537" t="str">
        <f t="shared" si="872"/>
        <v/>
      </c>
      <c r="AK141" s="585" t="str">
        <f t="shared" si="873"/>
        <v/>
      </c>
      <c r="AL141" s="582" t="str">
        <f t="shared" si="874"/>
        <v/>
      </c>
      <c r="AM141" s="584" t="str">
        <f t="shared" si="875"/>
        <v/>
      </c>
      <c r="AN141" s="534" t="str">
        <f t="shared" si="876"/>
        <v/>
      </c>
      <c r="AO141" s="535" t="str">
        <f t="shared" si="855"/>
        <v/>
      </c>
      <c r="AP141" s="536" t="str">
        <f t="shared" si="877"/>
        <v/>
      </c>
      <c r="AQ141" s="537" t="str">
        <f t="shared" si="1005"/>
        <v/>
      </c>
      <c r="AS141" s="933" t="str">
        <f t="shared" si="1053"/>
        <v/>
      </c>
      <c r="AT141" s="929" t="str">
        <f t="shared" si="1006"/>
        <v/>
      </c>
      <c r="AU141" s="418"/>
      <c r="AV141" s="164" t="str">
        <f t="shared" si="1007"/>
        <v/>
      </c>
      <c r="AW141" s="832" t="str">
        <f>IFERROR(INDEX(MassProp!C$9:C$150,MATCH($M141,MassProp!$B$9:$B$150,0)),"")</f>
        <v/>
      </c>
      <c r="AX141" s="833" t="str">
        <f>IFERROR(INDEX(MassProp!D$9:D$150,MATCH($M141,MassProp!$B$9:$B$150,0)),"")</f>
        <v/>
      </c>
      <c r="AY141" s="834" t="str">
        <f>IFERROR(INDEX(MassProp!E$9:E$150,MATCH($M141,MassProp!$B$9:$B$150,0)),"")</f>
        <v/>
      </c>
      <c r="AZ141" s="297" t="str">
        <f t="shared" si="878"/>
        <v/>
      </c>
      <c r="BA141" s="505" t="str">
        <f t="shared" si="879"/>
        <v/>
      </c>
      <c r="BB141" s="506" t="str">
        <f t="shared" si="610"/>
        <v/>
      </c>
      <c r="BC141" s="496"/>
      <c r="BD141" s="494" t="str">
        <f t="shared" si="880"/>
        <v/>
      </c>
      <c r="BE141" s="497" t="str">
        <f t="shared" si="1008"/>
        <v/>
      </c>
      <c r="BF141" s="498" t="str">
        <f t="shared" si="1009"/>
        <v/>
      </c>
      <c r="BG141" s="494" t="str">
        <f t="shared" si="1010"/>
        <v/>
      </c>
      <c r="BH141" s="495" t="str">
        <f t="shared" si="1011"/>
        <v/>
      </c>
      <c r="BI141" s="496" t="str">
        <f t="shared" si="881"/>
        <v/>
      </c>
      <c r="BJ141" s="494" t="str">
        <f t="shared" si="1012"/>
        <v/>
      </c>
      <c r="BK141" s="499" t="str">
        <f t="shared" si="1013"/>
        <v/>
      </c>
      <c r="BL141" s="502" t="str">
        <f t="shared" si="1014"/>
        <v/>
      </c>
      <c r="BM141" s="494" t="str">
        <f t="shared" si="1015"/>
        <v/>
      </c>
      <c r="BN141" s="497" t="str">
        <f t="shared" si="1016"/>
        <v/>
      </c>
      <c r="BO141" s="498" t="str">
        <f t="shared" si="882"/>
        <v/>
      </c>
      <c r="BP141" s="494" t="str">
        <f t="shared" si="1056"/>
        <v/>
      </c>
      <c r="BQ141" s="494" t="str">
        <f t="shared" si="883"/>
        <v/>
      </c>
      <c r="BR141" s="497" t="str">
        <f t="shared" si="884"/>
        <v/>
      </c>
      <c r="BS141" s="498" t="str">
        <f t="shared" si="839"/>
        <v/>
      </c>
      <c r="BT141" s="494" t="str">
        <f t="shared" si="839"/>
        <v/>
      </c>
      <c r="BU141" s="495" t="str">
        <f t="shared" si="613"/>
        <v/>
      </c>
      <c r="BV141" s="496" t="str">
        <f t="shared" si="614"/>
        <v/>
      </c>
      <c r="BW141" s="494" t="str">
        <f t="shared" si="615"/>
        <v/>
      </c>
      <c r="BX141" s="499" t="str">
        <f t="shared" si="616"/>
        <v/>
      </c>
      <c r="BY141" s="502" t="str">
        <f t="shared" si="617"/>
        <v/>
      </c>
      <c r="BZ141" s="494" t="str">
        <f t="shared" si="618"/>
        <v/>
      </c>
      <c r="CA141" s="497" t="str">
        <f t="shared" si="619"/>
        <v/>
      </c>
      <c r="CB141" s="498" t="str">
        <f t="shared" si="885"/>
        <v/>
      </c>
      <c r="CC141" s="494" t="str">
        <f t="shared" si="886"/>
        <v/>
      </c>
      <c r="CD141" s="494" t="str">
        <f t="shared" si="887"/>
        <v/>
      </c>
      <c r="CE141" s="497" t="str">
        <f t="shared" si="888"/>
        <v/>
      </c>
      <c r="CF141" s="498" t="str">
        <f t="shared" si="889"/>
        <v/>
      </c>
      <c r="CG141" s="494" t="str">
        <f t="shared" si="890"/>
        <v/>
      </c>
      <c r="CH141" s="494" t="str">
        <f t="shared" si="891"/>
        <v/>
      </c>
      <c r="CI141" s="498" t="str">
        <f t="shared" si="620"/>
        <v/>
      </c>
      <c r="CJ141" s="494" t="str">
        <f t="shared" si="892"/>
        <v/>
      </c>
      <c r="CK141" s="499" t="str">
        <f t="shared" si="893"/>
        <v/>
      </c>
      <c r="CL141" s="502" t="str">
        <f t="shared" si="894"/>
        <v/>
      </c>
      <c r="CM141" s="494" t="str">
        <f t="shared" si="895"/>
        <v/>
      </c>
      <c r="CN141" s="497" t="str">
        <f t="shared" si="896"/>
        <v/>
      </c>
      <c r="CO141" s="507" t="str">
        <f t="shared" si="1017"/>
        <v/>
      </c>
      <c r="CP141" s="498" t="str">
        <f t="shared" si="897"/>
        <v/>
      </c>
      <c r="CQ141" s="494" t="str">
        <f t="shared" si="898"/>
        <v/>
      </c>
      <c r="CR141" s="494" t="str">
        <f t="shared" si="899"/>
        <v/>
      </c>
      <c r="CS141" s="499" t="str">
        <f t="shared" si="900"/>
        <v/>
      </c>
      <c r="CT141" s="496" t="str">
        <f t="shared" si="901"/>
        <v/>
      </c>
      <c r="CU141" s="497" t="str">
        <f t="shared" si="902"/>
        <v/>
      </c>
      <c r="CV141" s="498" t="str">
        <f t="shared" si="903"/>
        <v/>
      </c>
      <c r="CW141" s="494" t="str">
        <f t="shared" si="904"/>
        <v/>
      </c>
      <c r="CX141" s="499" t="str">
        <f t="shared" si="905"/>
        <v/>
      </c>
      <c r="CY141" s="496" t="str">
        <f t="shared" si="906"/>
        <v/>
      </c>
      <c r="CZ141" s="494" t="str">
        <f t="shared" si="907"/>
        <v/>
      </c>
      <c r="DA141" s="497" t="str">
        <f t="shared" si="908"/>
        <v/>
      </c>
      <c r="DB141" s="498" t="str">
        <f t="shared" si="843"/>
        <v/>
      </c>
      <c r="DC141" s="494" t="str">
        <f t="shared" si="843"/>
        <v/>
      </c>
      <c r="DD141" s="495" t="str">
        <f t="shared" si="658"/>
        <v/>
      </c>
      <c r="DE141" s="496" t="str">
        <f t="shared" si="844"/>
        <v/>
      </c>
      <c r="DF141" s="494" t="str">
        <f t="shared" si="844"/>
        <v/>
      </c>
      <c r="DG141" s="495" t="str">
        <f t="shared" si="660"/>
        <v/>
      </c>
      <c r="DH141" s="501" t="str">
        <f t="shared" si="909"/>
        <v/>
      </c>
      <c r="DI141" s="498" t="str">
        <f t="shared" si="910"/>
        <v/>
      </c>
      <c r="DJ141" s="494" t="str">
        <f t="shared" si="911"/>
        <v/>
      </c>
      <c r="DK141" s="495" t="str">
        <f t="shared" si="912"/>
        <v/>
      </c>
      <c r="DL141" s="496" t="str">
        <f t="shared" si="913"/>
        <v/>
      </c>
      <c r="DM141" s="502" t="str">
        <f t="shared" si="914"/>
        <v/>
      </c>
      <c r="DN141" s="508" t="str">
        <f t="shared" si="915"/>
        <v/>
      </c>
      <c r="DO141" s="496" t="str">
        <f t="shared" si="916"/>
        <v/>
      </c>
      <c r="DP141" s="502" t="str">
        <f t="shared" si="917"/>
        <v/>
      </c>
      <c r="DQ141" s="503" t="str">
        <f t="shared" si="918"/>
        <v/>
      </c>
      <c r="DR141" s="502" t="str">
        <f t="shared" si="919"/>
        <v/>
      </c>
      <c r="DS141" s="494" t="str">
        <f t="shared" si="920"/>
        <v/>
      </c>
      <c r="DT141" s="494" t="str">
        <f t="shared" si="921"/>
        <v/>
      </c>
      <c r="DU141" s="494" t="str">
        <f t="shared" si="922"/>
        <v/>
      </c>
      <c r="DV141" s="494" t="str">
        <f t="shared" si="923"/>
        <v/>
      </c>
      <c r="DW141" s="494" t="str">
        <f t="shared" si="924"/>
        <v/>
      </c>
      <c r="DX141" s="507" t="str">
        <f t="shared" si="925"/>
        <v/>
      </c>
      <c r="DY141" s="496" t="str">
        <f t="shared" si="926"/>
        <v/>
      </c>
      <c r="DZ141" s="494" t="str">
        <f t="shared" si="927"/>
        <v/>
      </c>
      <c r="EA141" s="495" t="str">
        <f t="shared" si="928"/>
        <v/>
      </c>
      <c r="EB141" s="497" t="str">
        <f t="shared" si="929"/>
        <v/>
      </c>
      <c r="EC141" s="502" t="str">
        <f t="shared" si="930"/>
        <v/>
      </c>
      <c r="ED141" s="494" t="str">
        <f t="shared" si="931"/>
        <v/>
      </c>
      <c r="EE141" s="498" t="str">
        <f t="shared" si="932"/>
        <v/>
      </c>
      <c r="EF141" s="494" t="str">
        <f t="shared" si="933"/>
        <v/>
      </c>
      <c r="EG141" s="495" t="str">
        <f t="shared" si="934"/>
        <v/>
      </c>
      <c r="EH141" s="496" t="str">
        <f t="shared" si="935"/>
        <v/>
      </c>
      <c r="EI141" s="494" t="str">
        <f t="shared" si="936"/>
        <v/>
      </c>
      <c r="EJ141" s="497" t="str">
        <f t="shared" si="937"/>
        <v/>
      </c>
      <c r="EK141" s="509" t="str">
        <f t="shared" si="690"/>
        <v/>
      </c>
      <c r="EL141" s="510" t="str">
        <f t="shared" si="691"/>
        <v/>
      </c>
      <c r="EM141" s="498" t="str">
        <f t="shared" si="938"/>
        <v/>
      </c>
      <c r="EN141" s="494" t="str">
        <f t="shared" si="939"/>
        <v/>
      </c>
      <c r="EO141" s="495" t="str">
        <f t="shared" si="940"/>
        <v/>
      </c>
      <c r="EP141" s="496" t="str">
        <f t="shared" si="941"/>
        <v/>
      </c>
      <c r="EQ141" s="494" t="str">
        <f t="shared" si="942"/>
        <v/>
      </c>
      <c r="ER141" s="500" t="str">
        <f t="shared" si="943"/>
        <v/>
      </c>
      <c r="ES141" s="493" t="str">
        <f t="shared" si="1018"/>
        <v/>
      </c>
      <c r="ET141" s="494" t="str">
        <f t="shared" si="1019"/>
        <v/>
      </c>
      <c r="EU141" s="495" t="str">
        <f t="shared" si="1020"/>
        <v/>
      </c>
      <c r="EV141" s="174" t="str">
        <f t="shared" si="944"/>
        <v/>
      </c>
      <c r="EW141" s="496" t="str">
        <f t="shared" si="945"/>
        <v/>
      </c>
      <c r="EX141" s="494" t="str">
        <f t="shared" si="946"/>
        <v/>
      </c>
      <c r="EY141" s="497" t="str">
        <f t="shared" si="947"/>
        <v/>
      </c>
      <c r="EZ141" s="504" t="str">
        <f t="shared" si="699"/>
        <v/>
      </c>
      <c r="FA141" s="502" t="str">
        <f t="shared" si="764"/>
        <v/>
      </c>
      <c r="FB141" s="494" t="str">
        <f t="shared" si="765"/>
        <v/>
      </c>
      <c r="FC141" s="497" t="str">
        <f t="shared" si="766"/>
        <v/>
      </c>
      <c r="FD141" s="498" t="str">
        <f t="shared" si="948"/>
        <v/>
      </c>
      <c r="FE141" s="494" t="str">
        <f t="shared" si="949"/>
        <v/>
      </c>
      <c r="FF141" s="500" t="str">
        <f t="shared" si="950"/>
        <v/>
      </c>
      <c r="FG141" s="173" t="str">
        <f t="shared" si="951"/>
        <v/>
      </c>
      <c r="FH141" s="5" t="str">
        <f t="shared" si="952"/>
        <v/>
      </c>
      <c r="FI141" s="10" t="str">
        <f t="shared" si="953"/>
        <v/>
      </c>
      <c r="FJ141" s="279" t="str">
        <f t="shared" si="954"/>
        <v/>
      </c>
      <c r="FK141" s="4" t="str">
        <f t="shared" si="955"/>
        <v/>
      </c>
      <c r="FL141" s="5" t="str">
        <f t="shared" si="956"/>
        <v/>
      </c>
      <c r="FM141" s="8" t="str">
        <f t="shared" si="957"/>
        <v/>
      </c>
      <c r="FN141" s="9" t="str">
        <f t="shared" si="958"/>
        <v/>
      </c>
      <c r="FO141" s="10" t="str">
        <f t="shared" si="959"/>
        <v/>
      </c>
      <c r="FP141" s="277" t="str">
        <f t="shared" si="960"/>
        <v/>
      </c>
      <c r="FQ141" s="173" t="str">
        <f t="shared" si="961"/>
        <v/>
      </c>
      <c r="FR141" s="10" t="str">
        <f t="shared" si="962"/>
        <v/>
      </c>
      <c r="FS141" s="9" t="str">
        <f t="shared" si="963"/>
        <v/>
      </c>
      <c r="FT141" s="6" t="str">
        <f t="shared" si="964"/>
        <v/>
      </c>
      <c r="FU141" s="4" t="str">
        <f t="shared" si="965"/>
        <v/>
      </c>
      <c r="FV141" s="5" t="str">
        <f t="shared" si="966"/>
        <v/>
      </c>
      <c r="FW141" s="8" t="str">
        <f t="shared" si="967"/>
        <v/>
      </c>
      <c r="FX141" s="9" t="str">
        <f t="shared" si="968"/>
        <v/>
      </c>
      <c r="FY141" s="10" t="str">
        <f t="shared" si="969"/>
        <v/>
      </c>
      <c r="FZ141" s="277" t="str">
        <f t="shared" si="970"/>
        <v/>
      </c>
      <c r="GA141" s="177" t="str">
        <f t="shared" si="971"/>
        <v/>
      </c>
      <c r="GB141" s="4" t="str">
        <f t="shared" si="972"/>
        <v/>
      </c>
      <c r="GC141" s="5" t="str">
        <f t="shared" si="973"/>
        <v/>
      </c>
      <c r="GD141" s="10" t="str">
        <f t="shared" si="974"/>
        <v/>
      </c>
      <c r="GE141" s="311" t="str">
        <f t="shared" si="975"/>
        <v/>
      </c>
      <c r="GF141" s="341" t="str">
        <f t="shared" si="976"/>
        <v/>
      </c>
      <c r="GG141" s="306" t="str">
        <f t="shared" si="977"/>
        <v/>
      </c>
      <c r="GH141" s="307" t="str">
        <f t="shared" si="978"/>
        <v/>
      </c>
      <c r="GI141" s="308" t="str">
        <f t="shared" si="979"/>
        <v/>
      </c>
      <c r="GJ141" s="167" t="str">
        <f t="shared" si="980"/>
        <v/>
      </c>
      <c r="GK141" s="174" t="str">
        <f t="shared" si="778"/>
        <v/>
      </c>
      <c r="GL141" s="174" t="str">
        <f t="shared" si="981"/>
        <v/>
      </c>
      <c r="GM141" s="177" t="str">
        <f t="shared" si="982"/>
        <v/>
      </c>
      <c r="GN141" s="280" t="str">
        <f t="shared" si="983"/>
        <v/>
      </c>
      <c r="GO141" s="4" t="str">
        <f t="shared" si="984"/>
        <v/>
      </c>
      <c r="GP141" s="8" t="str">
        <f t="shared" si="985"/>
        <v/>
      </c>
      <c r="GQ141" s="177" t="str">
        <f t="shared" si="986"/>
        <v/>
      </c>
      <c r="GR141" s="371" t="str">
        <f t="shared" si="987"/>
        <v/>
      </c>
      <c r="GS141" s="342" t="str">
        <f t="shared" si="988"/>
        <v/>
      </c>
      <c r="GT141" s="343" t="str">
        <f t="shared" si="989"/>
        <v/>
      </c>
      <c r="GU141" s="344" t="str">
        <f t="shared" si="781"/>
        <v/>
      </c>
      <c r="GV141" s="343" t="str">
        <f t="shared" si="990"/>
        <v/>
      </c>
      <c r="GW141" s="345" t="str">
        <f t="shared" si="782"/>
        <v/>
      </c>
      <c r="GX141" s="346" t="str">
        <f t="shared" si="783"/>
        <v/>
      </c>
      <c r="GY141" s="344" t="str">
        <f t="shared" si="991"/>
        <v/>
      </c>
      <c r="GZ141" s="345" t="str">
        <f t="shared" si="992"/>
        <v/>
      </c>
      <c r="HA141" s="342" t="str">
        <f t="shared" si="786"/>
        <v/>
      </c>
      <c r="HB141" s="5" t="str">
        <f t="shared" si="726"/>
        <v/>
      </c>
      <c r="HC141" s="343" t="str">
        <f t="shared" si="993"/>
        <v/>
      </c>
      <c r="HD141" s="363" t="str">
        <f t="shared" si="994"/>
        <v/>
      </c>
      <c r="HE141" s="344" t="str">
        <f t="shared" si="787"/>
        <v/>
      </c>
      <c r="HF141" s="5" t="str">
        <f t="shared" si="788"/>
        <v/>
      </c>
      <c r="HG141" s="343" t="str">
        <f t="shared" si="995"/>
        <v/>
      </c>
      <c r="HH141" s="349" t="str">
        <f t="shared" si="996"/>
        <v/>
      </c>
      <c r="HI141" s="317" t="str">
        <f t="shared" si="1021"/>
        <v/>
      </c>
      <c r="HK141" s="310" t="str">
        <f t="shared" si="1052"/>
        <v/>
      </c>
      <c r="HL141" s="348" t="str">
        <f t="shared" si="1022"/>
        <v/>
      </c>
      <c r="HM141" s="909" t="str">
        <f t="shared" si="1023"/>
        <v/>
      </c>
      <c r="HN141" s="910" t="str">
        <f t="shared" si="1024"/>
        <v/>
      </c>
      <c r="HO141" s="911"/>
      <c r="HP141" s="912"/>
      <c r="HQ141" s="910" t="str">
        <f t="shared" si="1025"/>
        <v/>
      </c>
      <c r="HR141" s="913" t="str">
        <f t="shared" si="1026"/>
        <v/>
      </c>
      <c r="HS141" s="865" t="str">
        <f t="shared" si="997"/>
        <v/>
      </c>
      <c r="HT141" s="875" t="str">
        <f t="shared" si="1027"/>
        <v/>
      </c>
      <c r="HU141" s="876" t="str">
        <f t="shared" si="1028"/>
        <v/>
      </c>
      <c r="HV141" s="872" t="str">
        <f t="shared" si="1029"/>
        <v/>
      </c>
      <c r="HW141" s="866" t="str">
        <f t="shared" si="1030"/>
        <v/>
      </c>
      <c r="HX141" s="867" t="str">
        <f t="shared" si="1031"/>
        <v/>
      </c>
      <c r="HY141" s="866" t="str">
        <f t="shared" si="1032"/>
        <v/>
      </c>
      <c r="HZ141" s="868" t="str">
        <f t="shared" si="1033"/>
        <v/>
      </c>
      <c r="IA141" s="869" t="str">
        <f t="shared" si="1034"/>
        <v/>
      </c>
      <c r="IB141" s="870" t="str">
        <f t="shared" si="1035"/>
        <v/>
      </c>
      <c r="IC141" s="841" t="str">
        <f t="shared" si="1036"/>
        <v/>
      </c>
      <c r="ID141" s="351" t="str">
        <f t="shared" si="1037"/>
        <v/>
      </c>
      <c r="IE141" s="843" t="str">
        <f t="shared" si="1038"/>
        <v/>
      </c>
      <c r="IF141" s="844"/>
      <c r="IG141" s="790" t="str">
        <f>IFERROR(IF($IW141="","",IF($IW141&lt;(((Settings!$C$19/2)*-1)*$IG$8),"Taper","Nose")),"")</f>
        <v/>
      </c>
      <c r="IH141" s="482" t="str">
        <f>IFERROR(IF((((($IY141*COS(RADIANS(180-$JA141)))*COS(RADIANS($JA141)))-(($IZ141*SIN(RADIANS(180-$JA141)))*SIN(RADIANS($JA141))))+$IW141)&lt;(((Settings!$C$19+$IH$8)/2)*-1),"Gage",""),"")</f>
        <v/>
      </c>
      <c r="II141" s="788" t="str">
        <f t="shared" si="1054"/>
        <v/>
      </c>
      <c r="IJ141" s="674" t="str" cm="1">
        <f t="array" ref="IJ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K141" s="677" t="str" cm="1">
        <f t="array" ref="IK141">IFERROR(ROUND(VALUE(IF($IJ141&lt;1,$IJ141+LARGE((IF($M$9:$M$150="",0,$M$9:$M$150)-MOD(IF($M$9:$M$150="",0,$M$9:$M$150),1)),1),$IJ141)),4),"")</f>
        <v/>
      </c>
      <c r="IL141" s="482" t="str">
        <f t="shared" si="1039"/>
        <v/>
      </c>
      <c r="IM141" s="482" t="str">
        <f t="shared" si="1055"/>
        <v/>
      </c>
      <c r="IN141" s="670" t="str">
        <f t="shared" si="1040"/>
        <v/>
      </c>
      <c r="IO141" s="702"/>
      <c r="IP141" s="5" t="str">
        <f t="shared" si="1041"/>
        <v/>
      </c>
      <c r="IQ141" s="714"/>
      <c r="IR141" s="9" t="str">
        <f t="shared" si="1042"/>
        <v/>
      </c>
      <c r="IS141" s="5" t="str">
        <f t="shared" si="1043"/>
        <v/>
      </c>
      <c r="IT141" s="5" t="str">
        <f t="shared" si="1044"/>
        <v/>
      </c>
      <c r="IU141" s="5" t="str">
        <f t="shared" si="1045"/>
        <v/>
      </c>
      <c r="IV141" s="670" t="str">
        <f t="shared" si="1046"/>
        <v/>
      </c>
      <c r="IW141" s="9" t="str">
        <f t="shared" si="1047"/>
        <v/>
      </c>
      <c r="IX141" s="5" t="str">
        <f t="shared" si="1048"/>
        <v/>
      </c>
      <c r="IY141" s="5" t="str">
        <f t="shared" si="1049"/>
        <v/>
      </c>
      <c r="IZ141" s="5" t="str">
        <f t="shared" si="1050"/>
        <v/>
      </c>
      <c r="JA141" s="705" t="str">
        <f t="shared" si="1051"/>
        <v/>
      </c>
    </row>
    <row r="142" spans="1:261" ht="15" customHeight="1" x14ac:dyDescent="0.25">
      <c r="A142" s="75" t="str">
        <f t="shared" si="736"/>
        <v/>
      </c>
      <c r="B142" s="578" t="str">
        <f t="shared" si="845"/>
        <v/>
      </c>
      <c r="C142" s="572" t="str">
        <f t="shared" si="846"/>
        <v/>
      </c>
      <c r="D142" s="576" t="str">
        <f t="shared" si="847"/>
        <v/>
      </c>
      <c r="E142" s="580" t="str">
        <f t="shared" si="848"/>
        <v/>
      </c>
      <c r="F142" s="572" t="str">
        <f t="shared" si="849"/>
        <v/>
      </c>
      <c r="G142" s="579" t="str">
        <f t="shared" si="850"/>
        <v/>
      </c>
      <c r="H142" s="580" t="str">
        <f t="shared" si="851"/>
        <v/>
      </c>
      <c r="I142" s="572" t="str">
        <f t="shared" si="852"/>
        <v/>
      </c>
      <c r="J142" s="483" t="str">
        <f t="shared" si="853"/>
        <v/>
      </c>
      <c r="K142" s="806" t="str">
        <f t="shared" si="854"/>
        <v/>
      </c>
      <c r="L142" s="309"/>
      <c r="M142" s="492" t="str">
        <f t="shared" si="998"/>
        <v/>
      </c>
      <c r="N142" s="581" t="str">
        <f t="shared" si="999"/>
        <v/>
      </c>
      <c r="O142" s="582" t="str">
        <f t="shared" si="1000"/>
        <v/>
      </c>
      <c r="P142" s="583" t="str">
        <f t="shared" si="1001"/>
        <v/>
      </c>
      <c r="Q142" s="536" t="str">
        <f t="shared" si="856"/>
        <v/>
      </c>
      <c r="R142" s="582" t="str">
        <f t="shared" si="857"/>
        <v/>
      </c>
      <c r="S142" s="584" t="str">
        <f t="shared" si="858"/>
        <v/>
      </c>
      <c r="T142" s="585" t="str">
        <f t="shared" si="859"/>
        <v/>
      </c>
      <c r="U142" s="582" t="str">
        <f t="shared" si="860"/>
        <v/>
      </c>
      <c r="V142" s="586" t="str">
        <f t="shared" si="861"/>
        <v/>
      </c>
      <c r="W142" s="536" t="str">
        <f t="shared" si="862"/>
        <v/>
      </c>
      <c r="X142" s="582" t="str">
        <f t="shared" si="863"/>
        <v/>
      </c>
      <c r="Y142" s="587" t="str">
        <f t="shared" si="864"/>
        <v/>
      </c>
      <c r="Z142" s="581" t="str">
        <f t="shared" si="1002"/>
        <v/>
      </c>
      <c r="AA142" s="582" t="str">
        <f t="shared" si="1003"/>
        <v/>
      </c>
      <c r="AB142" s="582" t="str">
        <f t="shared" si="1004"/>
        <v/>
      </c>
      <c r="AC142" s="586" t="str">
        <f t="shared" si="865"/>
        <v/>
      </c>
      <c r="AD142" s="588" t="str">
        <f t="shared" si="866"/>
        <v/>
      </c>
      <c r="AE142" s="582" t="str">
        <f t="shared" si="867"/>
        <v/>
      </c>
      <c r="AF142" s="583" t="str">
        <f t="shared" si="868"/>
        <v/>
      </c>
      <c r="AG142" s="547" t="str">
        <f t="shared" si="869"/>
        <v/>
      </c>
      <c r="AH142" s="548" t="str">
        <f t="shared" si="870"/>
        <v/>
      </c>
      <c r="AI142" s="536" t="str">
        <f t="shared" si="871"/>
        <v/>
      </c>
      <c r="AJ142" s="537" t="str">
        <f t="shared" si="872"/>
        <v/>
      </c>
      <c r="AK142" s="585" t="str">
        <f t="shared" si="873"/>
        <v/>
      </c>
      <c r="AL142" s="582" t="str">
        <f t="shared" si="874"/>
        <v/>
      </c>
      <c r="AM142" s="584" t="str">
        <f t="shared" si="875"/>
        <v/>
      </c>
      <c r="AN142" s="534" t="str">
        <f t="shared" si="876"/>
        <v/>
      </c>
      <c r="AO142" s="535" t="str">
        <f t="shared" si="855"/>
        <v/>
      </c>
      <c r="AP142" s="536" t="str">
        <f t="shared" si="877"/>
        <v/>
      </c>
      <c r="AQ142" s="537" t="str">
        <f t="shared" si="1005"/>
        <v/>
      </c>
      <c r="AS142" s="933" t="str">
        <f t="shared" si="1053"/>
        <v/>
      </c>
      <c r="AT142" s="929" t="str">
        <f t="shared" si="1006"/>
        <v/>
      </c>
      <c r="AU142" s="418"/>
      <c r="AV142" s="164" t="str">
        <f t="shared" si="1007"/>
        <v/>
      </c>
      <c r="AW142" s="832" t="str">
        <f>IFERROR(INDEX(MassProp!C$9:C$150,MATCH($M142,MassProp!$B$9:$B$150,0)),"")</f>
        <v/>
      </c>
      <c r="AX142" s="833" t="str">
        <f>IFERROR(INDEX(MassProp!D$9:D$150,MATCH($M142,MassProp!$B$9:$B$150,0)),"")</f>
        <v/>
      </c>
      <c r="AY142" s="834" t="str">
        <f>IFERROR(INDEX(MassProp!E$9:E$150,MATCH($M142,MassProp!$B$9:$B$150,0)),"")</f>
        <v/>
      </c>
      <c r="AZ142" s="297" t="str">
        <f t="shared" si="878"/>
        <v/>
      </c>
      <c r="BA142" s="505" t="str">
        <f t="shared" si="879"/>
        <v/>
      </c>
      <c r="BB142" s="506" t="str">
        <f t="shared" si="610"/>
        <v/>
      </c>
      <c r="BC142" s="496"/>
      <c r="BD142" s="494" t="str">
        <f t="shared" si="880"/>
        <v/>
      </c>
      <c r="BE142" s="497" t="str">
        <f t="shared" si="1008"/>
        <v/>
      </c>
      <c r="BF142" s="498" t="str">
        <f t="shared" si="1009"/>
        <v/>
      </c>
      <c r="BG142" s="494" t="str">
        <f t="shared" si="1010"/>
        <v/>
      </c>
      <c r="BH142" s="495" t="str">
        <f t="shared" si="1011"/>
        <v/>
      </c>
      <c r="BI142" s="496" t="str">
        <f t="shared" si="881"/>
        <v/>
      </c>
      <c r="BJ142" s="494" t="str">
        <f t="shared" si="1012"/>
        <v/>
      </c>
      <c r="BK142" s="499" t="str">
        <f t="shared" si="1013"/>
        <v/>
      </c>
      <c r="BL142" s="502" t="str">
        <f t="shared" si="1014"/>
        <v/>
      </c>
      <c r="BM142" s="494" t="str">
        <f t="shared" si="1015"/>
        <v/>
      </c>
      <c r="BN142" s="497" t="str">
        <f t="shared" si="1016"/>
        <v/>
      </c>
      <c r="BO142" s="498" t="str">
        <f t="shared" si="882"/>
        <v/>
      </c>
      <c r="BP142" s="494" t="str">
        <f t="shared" si="1056"/>
        <v/>
      </c>
      <c r="BQ142" s="494" t="str">
        <f t="shared" si="883"/>
        <v/>
      </c>
      <c r="BR142" s="497" t="str">
        <f t="shared" si="884"/>
        <v/>
      </c>
      <c r="BS142" s="498" t="str">
        <f t="shared" si="839"/>
        <v/>
      </c>
      <c r="BT142" s="494" t="str">
        <f t="shared" si="839"/>
        <v/>
      </c>
      <c r="BU142" s="495" t="str">
        <f t="shared" si="613"/>
        <v/>
      </c>
      <c r="BV142" s="496" t="str">
        <f t="shared" si="614"/>
        <v/>
      </c>
      <c r="BW142" s="494" t="str">
        <f t="shared" si="615"/>
        <v/>
      </c>
      <c r="BX142" s="499" t="str">
        <f t="shared" si="616"/>
        <v/>
      </c>
      <c r="BY142" s="502" t="str">
        <f t="shared" si="617"/>
        <v/>
      </c>
      <c r="BZ142" s="494" t="str">
        <f t="shared" si="618"/>
        <v/>
      </c>
      <c r="CA142" s="497" t="str">
        <f t="shared" si="619"/>
        <v/>
      </c>
      <c r="CB142" s="498" t="str">
        <f t="shared" si="885"/>
        <v/>
      </c>
      <c r="CC142" s="494" t="str">
        <f t="shared" si="886"/>
        <v/>
      </c>
      <c r="CD142" s="494" t="str">
        <f t="shared" si="887"/>
        <v/>
      </c>
      <c r="CE142" s="497" t="str">
        <f t="shared" si="888"/>
        <v/>
      </c>
      <c r="CF142" s="498" t="str">
        <f t="shared" si="889"/>
        <v/>
      </c>
      <c r="CG142" s="494" t="str">
        <f t="shared" si="890"/>
        <v/>
      </c>
      <c r="CH142" s="494" t="str">
        <f t="shared" si="891"/>
        <v/>
      </c>
      <c r="CI142" s="498" t="str">
        <f t="shared" si="620"/>
        <v/>
      </c>
      <c r="CJ142" s="494" t="str">
        <f t="shared" si="892"/>
        <v/>
      </c>
      <c r="CK142" s="499" t="str">
        <f t="shared" si="893"/>
        <v/>
      </c>
      <c r="CL142" s="502" t="str">
        <f t="shared" si="894"/>
        <v/>
      </c>
      <c r="CM142" s="494" t="str">
        <f t="shared" si="895"/>
        <v/>
      </c>
      <c r="CN142" s="497" t="str">
        <f t="shared" si="896"/>
        <v/>
      </c>
      <c r="CO142" s="507" t="str">
        <f t="shared" si="1017"/>
        <v/>
      </c>
      <c r="CP142" s="498" t="str">
        <f t="shared" si="897"/>
        <v/>
      </c>
      <c r="CQ142" s="494" t="str">
        <f t="shared" si="898"/>
        <v/>
      </c>
      <c r="CR142" s="494" t="str">
        <f t="shared" si="899"/>
        <v/>
      </c>
      <c r="CS142" s="499" t="str">
        <f t="shared" si="900"/>
        <v/>
      </c>
      <c r="CT142" s="496" t="str">
        <f t="shared" si="901"/>
        <v/>
      </c>
      <c r="CU142" s="497" t="str">
        <f t="shared" si="902"/>
        <v/>
      </c>
      <c r="CV142" s="498" t="str">
        <f t="shared" si="903"/>
        <v/>
      </c>
      <c r="CW142" s="494" t="str">
        <f t="shared" si="904"/>
        <v/>
      </c>
      <c r="CX142" s="499" t="str">
        <f t="shared" si="905"/>
        <v/>
      </c>
      <c r="CY142" s="496" t="str">
        <f t="shared" si="906"/>
        <v/>
      </c>
      <c r="CZ142" s="494" t="str">
        <f t="shared" si="907"/>
        <v/>
      </c>
      <c r="DA142" s="497" t="str">
        <f t="shared" si="908"/>
        <v/>
      </c>
      <c r="DB142" s="498" t="str">
        <f t="shared" si="843"/>
        <v/>
      </c>
      <c r="DC142" s="494" t="str">
        <f t="shared" si="843"/>
        <v/>
      </c>
      <c r="DD142" s="495" t="str">
        <f t="shared" si="658"/>
        <v/>
      </c>
      <c r="DE142" s="496" t="str">
        <f t="shared" si="844"/>
        <v/>
      </c>
      <c r="DF142" s="494" t="str">
        <f t="shared" si="844"/>
        <v/>
      </c>
      <c r="DG142" s="495" t="str">
        <f t="shared" si="660"/>
        <v/>
      </c>
      <c r="DH142" s="501" t="str">
        <f t="shared" si="909"/>
        <v/>
      </c>
      <c r="DI142" s="498" t="str">
        <f t="shared" si="910"/>
        <v/>
      </c>
      <c r="DJ142" s="494" t="str">
        <f t="shared" si="911"/>
        <v/>
      </c>
      <c r="DK142" s="495" t="str">
        <f t="shared" si="912"/>
        <v/>
      </c>
      <c r="DL142" s="496" t="str">
        <f t="shared" si="913"/>
        <v/>
      </c>
      <c r="DM142" s="502" t="str">
        <f t="shared" si="914"/>
        <v/>
      </c>
      <c r="DN142" s="508" t="str">
        <f t="shared" si="915"/>
        <v/>
      </c>
      <c r="DO142" s="496" t="str">
        <f t="shared" si="916"/>
        <v/>
      </c>
      <c r="DP142" s="502" t="str">
        <f t="shared" si="917"/>
        <v/>
      </c>
      <c r="DQ142" s="503" t="str">
        <f t="shared" si="918"/>
        <v/>
      </c>
      <c r="DR142" s="502" t="str">
        <f t="shared" si="919"/>
        <v/>
      </c>
      <c r="DS142" s="494" t="str">
        <f t="shared" si="920"/>
        <v/>
      </c>
      <c r="DT142" s="494" t="str">
        <f t="shared" si="921"/>
        <v/>
      </c>
      <c r="DU142" s="494" t="str">
        <f t="shared" si="922"/>
        <v/>
      </c>
      <c r="DV142" s="494" t="str">
        <f t="shared" si="923"/>
        <v/>
      </c>
      <c r="DW142" s="494" t="str">
        <f t="shared" si="924"/>
        <v/>
      </c>
      <c r="DX142" s="507" t="str">
        <f t="shared" si="925"/>
        <v/>
      </c>
      <c r="DY142" s="496" t="str">
        <f t="shared" si="926"/>
        <v/>
      </c>
      <c r="DZ142" s="494" t="str">
        <f t="shared" si="927"/>
        <v/>
      </c>
      <c r="EA142" s="495" t="str">
        <f t="shared" si="928"/>
        <v/>
      </c>
      <c r="EB142" s="497" t="str">
        <f t="shared" si="929"/>
        <v/>
      </c>
      <c r="EC142" s="502" t="str">
        <f t="shared" si="930"/>
        <v/>
      </c>
      <c r="ED142" s="494" t="str">
        <f t="shared" si="931"/>
        <v/>
      </c>
      <c r="EE142" s="498" t="str">
        <f t="shared" si="932"/>
        <v/>
      </c>
      <c r="EF142" s="494" t="str">
        <f t="shared" si="933"/>
        <v/>
      </c>
      <c r="EG142" s="495" t="str">
        <f t="shared" si="934"/>
        <v/>
      </c>
      <c r="EH142" s="496" t="str">
        <f t="shared" si="935"/>
        <v/>
      </c>
      <c r="EI142" s="494" t="str">
        <f t="shared" si="936"/>
        <v/>
      </c>
      <c r="EJ142" s="497" t="str">
        <f t="shared" si="937"/>
        <v/>
      </c>
      <c r="EK142" s="509" t="str">
        <f t="shared" si="690"/>
        <v/>
      </c>
      <c r="EL142" s="510" t="str">
        <f t="shared" si="691"/>
        <v/>
      </c>
      <c r="EM142" s="498" t="str">
        <f t="shared" si="938"/>
        <v/>
      </c>
      <c r="EN142" s="494" t="str">
        <f t="shared" si="939"/>
        <v/>
      </c>
      <c r="EO142" s="495" t="str">
        <f t="shared" si="940"/>
        <v/>
      </c>
      <c r="EP142" s="496" t="str">
        <f t="shared" si="941"/>
        <v/>
      </c>
      <c r="EQ142" s="494" t="str">
        <f t="shared" si="942"/>
        <v/>
      </c>
      <c r="ER142" s="500" t="str">
        <f t="shared" si="943"/>
        <v/>
      </c>
      <c r="ES142" s="493" t="str">
        <f t="shared" si="1018"/>
        <v/>
      </c>
      <c r="ET142" s="494" t="str">
        <f t="shared" si="1019"/>
        <v/>
      </c>
      <c r="EU142" s="495" t="str">
        <f t="shared" si="1020"/>
        <v/>
      </c>
      <c r="EV142" s="174" t="str">
        <f t="shared" si="944"/>
        <v/>
      </c>
      <c r="EW142" s="496" t="str">
        <f t="shared" si="945"/>
        <v/>
      </c>
      <c r="EX142" s="494" t="str">
        <f t="shared" si="946"/>
        <v/>
      </c>
      <c r="EY142" s="497" t="str">
        <f t="shared" si="947"/>
        <v/>
      </c>
      <c r="EZ142" s="504" t="str">
        <f t="shared" si="699"/>
        <v/>
      </c>
      <c r="FA142" s="502" t="str">
        <f t="shared" si="764"/>
        <v/>
      </c>
      <c r="FB142" s="494" t="str">
        <f t="shared" si="765"/>
        <v/>
      </c>
      <c r="FC142" s="497" t="str">
        <f t="shared" si="766"/>
        <v/>
      </c>
      <c r="FD142" s="498" t="str">
        <f t="shared" si="948"/>
        <v/>
      </c>
      <c r="FE142" s="494" t="str">
        <f t="shared" si="949"/>
        <v/>
      </c>
      <c r="FF142" s="500" t="str">
        <f t="shared" si="950"/>
        <v/>
      </c>
      <c r="FG142" s="173" t="str">
        <f t="shared" si="951"/>
        <v/>
      </c>
      <c r="FH142" s="5" t="str">
        <f t="shared" si="952"/>
        <v/>
      </c>
      <c r="FI142" s="10" t="str">
        <f t="shared" si="953"/>
        <v/>
      </c>
      <c r="FJ142" s="279" t="str">
        <f t="shared" si="954"/>
        <v/>
      </c>
      <c r="FK142" s="4" t="str">
        <f t="shared" si="955"/>
        <v/>
      </c>
      <c r="FL142" s="5" t="str">
        <f t="shared" si="956"/>
        <v/>
      </c>
      <c r="FM142" s="8" t="str">
        <f t="shared" si="957"/>
        <v/>
      </c>
      <c r="FN142" s="9" t="str">
        <f t="shared" si="958"/>
        <v/>
      </c>
      <c r="FO142" s="10" t="str">
        <f t="shared" si="959"/>
        <v/>
      </c>
      <c r="FP142" s="277" t="str">
        <f t="shared" si="960"/>
        <v/>
      </c>
      <c r="FQ142" s="173" t="str">
        <f t="shared" si="961"/>
        <v/>
      </c>
      <c r="FR142" s="10" t="str">
        <f t="shared" si="962"/>
        <v/>
      </c>
      <c r="FS142" s="9" t="str">
        <f t="shared" si="963"/>
        <v/>
      </c>
      <c r="FT142" s="6" t="str">
        <f t="shared" si="964"/>
        <v/>
      </c>
      <c r="FU142" s="4" t="str">
        <f t="shared" si="965"/>
        <v/>
      </c>
      <c r="FV142" s="5" t="str">
        <f t="shared" si="966"/>
        <v/>
      </c>
      <c r="FW142" s="8" t="str">
        <f t="shared" si="967"/>
        <v/>
      </c>
      <c r="FX142" s="9" t="str">
        <f t="shared" si="968"/>
        <v/>
      </c>
      <c r="FY142" s="10" t="str">
        <f t="shared" si="969"/>
        <v/>
      </c>
      <c r="FZ142" s="277" t="str">
        <f t="shared" si="970"/>
        <v/>
      </c>
      <c r="GA142" s="177" t="str">
        <f t="shared" si="971"/>
        <v/>
      </c>
      <c r="GB142" s="4" t="str">
        <f t="shared" si="972"/>
        <v/>
      </c>
      <c r="GC142" s="5" t="str">
        <f t="shared" si="973"/>
        <v/>
      </c>
      <c r="GD142" s="10" t="str">
        <f t="shared" si="974"/>
        <v/>
      </c>
      <c r="GE142" s="311" t="str">
        <f t="shared" si="975"/>
        <v/>
      </c>
      <c r="GF142" s="341" t="str">
        <f t="shared" si="976"/>
        <v/>
      </c>
      <c r="GG142" s="306" t="str">
        <f t="shared" si="977"/>
        <v/>
      </c>
      <c r="GH142" s="307" t="str">
        <f t="shared" si="978"/>
        <v/>
      </c>
      <c r="GI142" s="308" t="str">
        <f t="shared" si="979"/>
        <v/>
      </c>
      <c r="GJ142" s="167" t="str">
        <f t="shared" si="980"/>
        <v/>
      </c>
      <c r="GK142" s="174" t="str">
        <f t="shared" si="778"/>
        <v/>
      </c>
      <c r="GL142" s="174" t="str">
        <f t="shared" si="981"/>
        <v/>
      </c>
      <c r="GM142" s="177" t="str">
        <f t="shared" si="982"/>
        <v/>
      </c>
      <c r="GN142" s="280" t="str">
        <f t="shared" si="983"/>
        <v/>
      </c>
      <c r="GO142" s="4" t="str">
        <f t="shared" si="984"/>
        <v/>
      </c>
      <c r="GP142" s="8" t="str">
        <f t="shared" si="985"/>
        <v/>
      </c>
      <c r="GQ142" s="177" t="str">
        <f t="shared" si="986"/>
        <v/>
      </c>
      <c r="GR142" s="371" t="str">
        <f t="shared" si="987"/>
        <v/>
      </c>
      <c r="GS142" s="342" t="str">
        <f t="shared" si="988"/>
        <v/>
      </c>
      <c r="GT142" s="343" t="str">
        <f t="shared" si="989"/>
        <v/>
      </c>
      <c r="GU142" s="344" t="str">
        <f t="shared" si="781"/>
        <v/>
      </c>
      <c r="GV142" s="343" t="str">
        <f t="shared" si="990"/>
        <v/>
      </c>
      <c r="GW142" s="345" t="str">
        <f t="shared" si="782"/>
        <v/>
      </c>
      <c r="GX142" s="346" t="str">
        <f t="shared" si="783"/>
        <v/>
      </c>
      <c r="GY142" s="344" t="str">
        <f t="shared" si="991"/>
        <v/>
      </c>
      <c r="GZ142" s="345" t="str">
        <f t="shared" si="992"/>
        <v/>
      </c>
      <c r="HA142" s="342" t="str">
        <f t="shared" si="786"/>
        <v/>
      </c>
      <c r="HB142" s="5" t="str">
        <f t="shared" si="726"/>
        <v/>
      </c>
      <c r="HC142" s="343" t="str">
        <f t="shared" si="993"/>
        <v/>
      </c>
      <c r="HD142" s="363" t="str">
        <f t="shared" si="994"/>
        <v/>
      </c>
      <c r="HE142" s="344" t="str">
        <f t="shared" si="787"/>
        <v/>
      </c>
      <c r="HF142" s="5" t="str">
        <f t="shared" si="788"/>
        <v/>
      </c>
      <c r="HG142" s="343" t="str">
        <f t="shared" si="995"/>
        <v/>
      </c>
      <c r="HH142" s="349" t="str">
        <f t="shared" si="996"/>
        <v/>
      </c>
      <c r="HI142" s="317" t="str">
        <f t="shared" si="1021"/>
        <v/>
      </c>
      <c r="HK142" s="310" t="str">
        <f t="shared" si="1052"/>
        <v/>
      </c>
      <c r="HL142" s="348" t="str">
        <f t="shared" si="1022"/>
        <v/>
      </c>
      <c r="HM142" s="909" t="str">
        <f t="shared" si="1023"/>
        <v/>
      </c>
      <c r="HN142" s="910" t="str">
        <f t="shared" si="1024"/>
        <v/>
      </c>
      <c r="HO142" s="911"/>
      <c r="HP142" s="912"/>
      <c r="HQ142" s="910" t="str">
        <f t="shared" si="1025"/>
        <v/>
      </c>
      <c r="HR142" s="913" t="str">
        <f t="shared" si="1026"/>
        <v/>
      </c>
      <c r="HS142" s="865" t="str">
        <f t="shared" si="997"/>
        <v/>
      </c>
      <c r="HT142" s="875" t="str">
        <f t="shared" si="1027"/>
        <v/>
      </c>
      <c r="HU142" s="876" t="str">
        <f t="shared" si="1028"/>
        <v/>
      </c>
      <c r="HV142" s="872" t="str">
        <f t="shared" si="1029"/>
        <v/>
      </c>
      <c r="HW142" s="866" t="str">
        <f t="shared" si="1030"/>
        <v/>
      </c>
      <c r="HX142" s="867" t="str">
        <f t="shared" si="1031"/>
        <v/>
      </c>
      <c r="HY142" s="866" t="str">
        <f t="shared" si="1032"/>
        <v/>
      </c>
      <c r="HZ142" s="868" t="str">
        <f t="shared" si="1033"/>
        <v/>
      </c>
      <c r="IA142" s="869" t="str">
        <f t="shared" si="1034"/>
        <v/>
      </c>
      <c r="IB142" s="870" t="str">
        <f t="shared" si="1035"/>
        <v/>
      </c>
      <c r="IC142" s="841" t="str">
        <f t="shared" si="1036"/>
        <v/>
      </c>
      <c r="ID142" s="351" t="str">
        <f t="shared" si="1037"/>
        <v/>
      </c>
      <c r="IE142" s="843" t="str">
        <f t="shared" si="1038"/>
        <v/>
      </c>
      <c r="IF142" s="844"/>
      <c r="IG142" s="790" t="str">
        <f>IFERROR(IF($IW142="","",IF($IW142&lt;(((Settings!$C$19/2)*-1)*$IG$8),"Taper","Nose")),"")</f>
        <v/>
      </c>
      <c r="IH142" s="482" t="str">
        <f>IFERROR(IF((((($IY142*COS(RADIANS(180-$JA142)))*COS(RADIANS($JA142)))-(($IZ142*SIN(RADIANS(180-$JA142)))*SIN(RADIANS($JA142))))+$IW142)&lt;(((Settings!$C$19+$IH$8)/2)*-1),"Gage",""),"")</f>
        <v/>
      </c>
      <c r="II142" s="788" t="str">
        <f t="shared" si="1054"/>
        <v/>
      </c>
      <c r="IJ142" s="674" t="str" cm="1">
        <f t="array" ref="IJ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K142" s="677" t="str" cm="1">
        <f t="array" ref="IK142">IFERROR(ROUND(VALUE(IF($IJ142&lt;1,$IJ142+LARGE((IF($M$9:$M$150="",0,$M$9:$M$150)-MOD(IF($M$9:$M$150="",0,$M$9:$M$150),1)),1),$IJ142)),4),"")</f>
        <v/>
      </c>
      <c r="IL142" s="482" t="str">
        <f t="shared" si="1039"/>
        <v/>
      </c>
      <c r="IM142" s="482" t="str">
        <f t="shared" si="1055"/>
        <v/>
      </c>
      <c r="IN142" s="670" t="str">
        <f t="shared" si="1040"/>
        <v/>
      </c>
      <c r="IO142" s="702"/>
      <c r="IP142" s="5" t="str">
        <f t="shared" si="1041"/>
        <v/>
      </c>
      <c r="IQ142" s="714"/>
      <c r="IR142" s="9" t="str">
        <f t="shared" si="1042"/>
        <v/>
      </c>
      <c r="IS142" s="5" t="str">
        <f t="shared" si="1043"/>
        <v/>
      </c>
      <c r="IT142" s="5" t="str">
        <f t="shared" si="1044"/>
        <v/>
      </c>
      <c r="IU142" s="5" t="str">
        <f t="shared" si="1045"/>
        <v/>
      </c>
      <c r="IV142" s="670" t="str">
        <f t="shared" si="1046"/>
        <v/>
      </c>
      <c r="IW142" s="9" t="str">
        <f t="shared" si="1047"/>
        <v/>
      </c>
      <c r="IX142" s="5" t="str">
        <f t="shared" si="1048"/>
        <v/>
      </c>
      <c r="IY142" s="5" t="str">
        <f t="shared" si="1049"/>
        <v/>
      </c>
      <c r="IZ142" s="5" t="str">
        <f t="shared" si="1050"/>
        <v/>
      </c>
      <c r="JA142" s="705" t="str">
        <f t="shared" si="1051"/>
        <v/>
      </c>
    </row>
    <row r="143" spans="1:261" ht="15" customHeight="1" x14ac:dyDescent="0.25">
      <c r="A143" s="75" t="str">
        <f t="shared" si="736"/>
        <v/>
      </c>
      <c r="B143" s="578" t="str">
        <f t="shared" si="845"/>
        <v/>
      </c>
      <c r="C143" s="572" t="str">
        <f t="shared" si="846"/>
        <v/>
      </c>
      <c r="D143" s="576" t="str">
        <f t="shared" si="847"/>
        <v/>
      </c>
      <c r="E143" s="580" t="str">
        <f t="shared" si="848"/>
        <v/>
      </c>
      <c r="F143" s="572" t="str">
        <f t="shared" si="849"/>
        <v/>
      </c>
      <c r="G143" s="579" t="str">
        <f t="shared" si="850"/>
        <v/>
      </c>
      <c r="H143" s="580" t="str">
        <f t="shared" si="851"/>
        <v/>
      </c>
      <c r="I143" s="572" t="str">
        <f t="shared" si="852"/>
        <v/>
      </c>
      <c r="J143" s="483" t="str">
        <f t="shared" si="853"/>
        <v/>
      </c>
      <c r="K143" s="806" t="str">
        <f t="shared" si="854"/>
        <v/>
      </c>
      <c r="L143" s="309"/>
      <c r="M143" s="492" t="str">
        <f t="shared" si="998"/>
        <v/>
      </c>
      <c r="N143" s="581" t="str">
        <f t="shared" si="999"/>
        <v/>
      </c>
      <c r="O143" s="582" t="str">
        <f t="shared" si="1000"/>
        <v/>
      </c>
      <c r="P143" s="583" t="str">
        <f t="shared" si="1001"/>
        <v/>
      </c>
      <c r="Q143" s="536" t="str">
        <f t="shared" si="856"/>
        <v/>
      </c>
      <c r="R143" s="582" t="str">
        <f t="shared" si="857"/>
        <v/>
      </c>
      <c r="S143" s="584" t="str">
        <f t="shared" si="858"/>
        <v/>
      </c>
      <c r="T143" s="585" t="str">
        <f t="shared" si="859"/>
        <v/>
      </c>
      <c r="U143" s="582" t="str">
        <f t="shared" si="860"/>
        <v/>
      </c>
      <c r="V143" s="586" t="str">
        <f t="shared" si="861"/>
        <v/>
      </c>
      <c r="W143" s="536" t="str">
        <f t="shared" si="862"/>
        <v/>
      </c>
      <c r="X143" s="582" t="str">
        <f t="shared" si="863"/>
        <v/>
      </c>
      <c r="Y143" s="587" t="str">
        <f t="shared" si="864"/>
        <v/>
      </c>
      <c r="Z143" s="581" t="str">
        <f t="shared" si="1002"/>
        <v/>
      </c>
      <c r="AA143" s="582" t="str">
        <f t="shared" si="1003"/>
        <v/>
      </c>
      <c r="AB143" s="582" t="str">
        <f t="shared" si="1004"/>
        <v/>
      </c>
      <c r="AC143" s="586" t="str">
        <f t="shared" si="865"/>
        <v/>
      </c>
      <c r="AD143" s="588" t="str">
        <f t="shared" si="866"/>
        <v/>
      </c>
      <c r="AE143" s="582" t="str">
        <f t="shared" si="867"/>
        <v/>
      </c>
      <c r="AF143" s="583" t="str">
        <f t="shared" si="868"/>
        <v/>
      </c>
      <c r="AG143" s="547" t="str">
        <f t="shared" si="869"/>
        <v/>
      </c>
      <c r="AH143" s="548" t="str">
        <f t="shared" si="870"/>
        <v/>
      </c>
      <c r="AI143" s="536" t="str">
        <f t="shared" si="871"/>
        <v/>
      </c>
      <c r="AJ143" s="537" t="str">
        <f t="shared" si="872"/>
        <v/>
      </c>
      <c r="AK143" s="585" t="str">
        <f t="shared" si="873"/>
        <v/>
      </c>
      <c r="AL143" s="582" t="str">
        <f t="shared" si="874"/>
        <v/>
      </c>
      <c r="AM143" s="584" t="str">
        <f t="shared" si="875"/>
        <v/>
      </c>
      <c r="AN143" s="534" t="str">
        <f t="shared" si="876"/>
        <v/>
      </c>
      <c r="AO143" s="535" t="str">
        <f t="shared" si="855"/>
        <v/>
      </c>
      <c r="AP143" s="536" t="str">
        <f t="shared" si="877"/>
        <v/>
      </c>
      <c r="AQ143" s="537" t="str">
        <f t="shared" si="1005"/>
        <v/>
      </c>
      <c r="AS143" s="933" t="str">
        <f t="shared" si="1053"/>
        <v/>
      </c>
      <c r="AT143" s="929" t="str">
        <f t="shared" si="1006"/>
        <v/>
      </c>
      <c r="AU143" s="418"/>
      <c r="AV143" s="164" t="str">
        <f t="shared" si="1007"/>
        <v/>
      </c>
      <c r="AW143" s="832" t="str">
        <f>IFERROR(INDEX(MassProp!C$9:C$150,MATCH($M143,MassProp!$B$9:$B$150,0)),"")</f>
        <v/>
      </c>
      <c r="AX143" s="833" t="str">
        <f>IFERROR(INDEX(MassProp!D$9:D$150,MATCH($M143,MassProp!$B$9:$B$150,0)),"")</f>
        <v/>
      </c>
      <c r="AY143" s="834" t="str">
        <f>IFERROR(INDEX(MassProp!E$9:E$150,MATCH($M143,MassProp!$B$9:$B$150,0)),"")</f>
        <v/>
      </c>
      <c r="AZ143" s="297" t="str">
        <f t="shared" si="878"/>
        <v/>
      </c>
      <c r="BA143" s="505" t="str">
        <f t="shared" si="879"/>
        <v/>
      </c>
      <c r="BB143" s="506" t="str">
        <f t="shared" si="610"/>
        <v/>
      </c>
      <c r="BC143" s="496"/>
      <c r="BD143" s="494" t="str">
        <f t="shared" si="880"/>
        <v/>
      </c>
      <c r="BE143" s="497" t="str">
        <f t="shared" si="1008"/>
        <v/>
      </c>
      <c r="BF143" s="498" t="str">
        <f t="shared" si="1009"/>
        <v/>
      </c>
      <c r="BG143" s="494" t="str">
        <f t="shared" si="1010"/>
        <v/>
      </c>
      <c r="BH143" s="495" t="str">
        <f t="shared" si="1011"/>
        <v/>
      </c>
      <c r="BI143" s="496" t="str">
        <f t="shared" si="881"/>
        <v/>
      </c>
      <c r="BJ143" s="494" t="str">
        <f t="shared" si="1012"/>
        <v/>
      </c>
      <c r="BK143" s="499" t="str">
        <f t="shared" si="1013"/>
        <v/>
      </c>
      <c r="BL143" s="502" t="str">
        <f t="shared" si="1014"/>
        <v/>
      </c>
      <c r="BM143" s="494" t="str">
        <f t="shared" si="1015"/>
        <v/>
      </c>
      <c r="BN143" s="497" t="str">
        <f t="shared" si="1016"/>
        <v/>
      </c>
      <c r="BO143" s="498" t="str">
        <f t="shared" si="882"/>
        <v/>
      </c>
      <c r="BP143" s="494" t="str">
        <f t="shared" si="1056"/>
        <v/>
      </c>
      <c r="BQ143" s="494" t="str">
        <f t="shared" si="883"/>
        <v/>
      </c>
      <c r="BR143" s="497" t="str">
        <f t="shared" si="884"/>
        <v/>
      </c>
      <c r="BS143" s="498" t="str">
        <f t="shared" si="839"/>
        <v/>
      </c>
      <c r="BT143" s="494" t="str">
        <f t="shared" si="839"/>
        <v/>
      </c>
      <c r="BU143" s="495" t="str">
        <f t="shared" si="613"/>
        <v/>
      </c>
      <c r="BV143" s="496" t="str">
        <f t="shared" si="614"/>
        <v/>
      </c>
      <c r="BW143" s="494" t="str">
        <f t="shared" si="615"/>
        <v/>
      </c>
      <c r="BX143" s="499" t="str">
        <f t="shared" si="616"/>
        <v/>
      </c>
      <c r="BY143" s="502" t="str">
        <f t="shared" si="617"/>
        <v/>
      </c>
      <c r="BZ143" s="494" t="str">
        <f t="shared" si="618"/>
        <v/>
      </c>
      <c r="CA143" s="497" t="str">
        <f t="shared" si="619"/>
        <v/>
      </c>
      <c r="CB143" s="498" t="str">
        <f t="shared" si="885"/>
        <v/>
      </c>
      <c r="CC143" s="494" t="str">
        <f t="shared" si="886"/>
        <v/>
      </c>
      <c r="CD143" s="494" t="str">
        <f t="shared" si="887"/>
        <v/>
      </c>
      <c r="CE143" s="497" t="str">
        <f t="shared" si="888"/>
        <v/>
      </c>
      <c r="CF143" s="498" t="str">
        <f t="shared" si="889"/>
        <v/>
      </c>
      <c r="CG143" s="494" t="str">
        <f t="shared" si="890"/>
        <v/>
      </c>
      <c r="CH143" s="494" t="str">
        <f t="shared" si="891"/>
        <v/>
      </c>
      <c r="CI143" s="498" t="str">
        <f t="shared" si="620"/>
        <v/>
      </c>
      <c r="CJ143" s="494" t="str">
        <f t="shared" si="892"/>
        <v/>
      </c>
      <c r="CK143" s="499" t="str">
        <f t="shared" si="893"/>
        <v/>
      </c>
      <c r="CL143" s="502" t="str">
        <f t="shared" si="894"/>
        <v/>
      </c>
      <c r="CM143" s="494" t="str">
        <f t="shared" si="895"/>
        <v/>
      </c>
      <c r="CN143" s="497" t="str">
        <f t="shared" si="896"/>
        <v/>
      </c>
      <c r="CO143" s="507" t="str">
        <f t="shared" si="1017"/>
        <v/>
      </c>
      <c r="CP143" s="498" t="str">
        <f t="shared" si="897"/>
        <v/>
      </c>
      <c r="CQ143" s="494" t="str">
        <f t="shared" si="898"/>
        <v/>
      </c>
      <c r="CR143" s="494" t="str">
        <f t="shared" si="899"/>
        <v/>
      </c>
      <c r="CS143" s="499" t="str">
        <f t="shared" si="900"/>
        <v/>
      </c>
      <c r="CT143" s="496" t="str">
        <f t="shared" si="901"/>
        <v/>
      </c>
      <c r="CU143" s="497" t="str">
        <f t="shared" si="902"/>
        <v/>
      </c>
      <c r="CV143" s="498" t="str">
        <f t="shared" si="903"/>
        <v/>
      </c>
      <c r="CW143" s="494" t="str">
        <f t="shared" si="904"/>
        <v/>
      </c>
      <c r="CX143" s="499" t="str">
        <f t="shared" si="905"/>
        <v/>
      </c>
      <c r="CY143" s="496" t="str">
        <f t="shared" si="906"/>
        <v/>
      </c>
      <c r="CZ143" s="494" t="str">
        <f t="shared" si="907"/>
        <v/>
      </c>
      <c r="DA143" s="497" t="str">
        <f t="shared" si="908"/>
        <v/>
      </c>
      <c r="DB143" s="498" t="str">
        <f t="shared" si="843"/>
        <v/>
      </c>
      <c r="DC143" s="494" t="str">
        <f t="shared" si="843"/>
        <v/>
      </c>
      <c r="DD143" s="495" t="str">
        <f t="shared" si="658"/>
        <v/>
      </c>
      <c r="DE143" s="496" t="str">
        <f t="shared" si="844"/>
        <v/>
      </c>
      <c r="DF143" s="494" t="str">
        <f t="shared" si="844"/>
        <v/>
      </c>
      <c r="DG143" s="495" t="str">
        <f t="shared" si="660"/>
        <v/>
      </c>
      <c r="DH143" s="501" t="str">
        <f t="shared" si="909"/>
        <v/>
      </c>
      <c r="DI143" s="498" t="str">
        <f t="shared" si="910"/>
        <v/>
      </c>
      <c r="DJ143" s="494" t="str">
        <f t="shared" si="911"/>
        <v/>
      </c>
      <c r="DK143" s="495" t="str">
        <f t="shared" si="912"/>
        <v/>
      </c>
      <c r="DL143" s="496" t="str">
        <f t="shared" si="913"/>
        <v/>
      </c>
      <c r="DM143" s="502" t="str">
        <f t="shared" si="914"/>
        <v/>
      </c>
      <c r="DN143" s="508" t="str">
        <f t="shared" si="915"/>
        <v/>
      </c>
      <c r="DO143" s="496" t="str">
        <f t="shared" si="916"/>
        <v/>
      </c>
      <c r="DP143" s="502" t="str">
        <f t="shared" si="917"/>
        <v/>
      </c>
      <c r="DQ143" s="503" t="str">
        <f t="shared" si="918"/>
        <v/>
      </c>
      <c r="DR143" s="502" t="str">
        <f t="shared" si="919"/>
        <v/>
      </c>
      <c r="DS143" s="494" t="str">
        <f t="shared" si="920"/>
        <v/>
      </c>
      <c r="DT143" s="494" t="str">
        <f t="shared" si="921"/>
        <v/>
      </c>
      <c r="DU143" s="494" t="str">
        <f t="shared" si="922"/>
        <v/>
      </c>
      <c r="DV143" s="494" t="str">
        <f t="shared" si="923"/>
        <v/>
      </c>
      <c r="DW143" s="494" t="str">
        <f t="shared" si="924"/>
        <v/>
      </c>
      <c r="DX143" s="507" t="str">
        <f t="shared" si="925"/>
        <v/>
      </c>
      <c r="DY143" s="496" t="str">
        <f t="shared" si="926"/>
        <v/>
      </c>
      <c r="DZ143" s="494" t="str">
        <f t="shared" si="927"/>
        <v/>
      </c>
      <c r="EA143" s="495" t="str">
        <f t="shared" si="928"/>
        <v/>
      </c>
      <c r="EB143" s="497" t="str">
        <f t="shared" si="929"/>
        <v/>
      </c>
      <c r="EC143" s="502" t="str">
        <f t="shared" si="930"/>
        <v/>
      </c>
      <c r="ED143" s="494" t="str">
        <f t="shared" si="931"/>
        <v/>
      </c>
      <c r="EE143" s="498" t="str">
        <f t="shared" si="932"/>
        <v/>
      </c>
      <c r="EF143" s="494" t="str">
        <f t="shared" si="933"/>
        <v/>
      </c>
      <c r="EG143" s="495" t="str">
        <f t="shared" si="934"/>
        <v/>
      </c>
      <c r="EH143" s="496" t="str">
        <f t="shared" si="935"/>
        <v/>
      </c>
      <c r="EI143" s="494" t="str">
        <f t="shared" si="936"/>
        <v/>
      </c>
      <c r="EJ143" s="497" t="str">
        <f t="shared" si="937"/>
        <v/>
      </c>
      <c r="EK143" s="509" t="str">
        <f t="shared" si="690"/>
        <v/>
      </c>
      <c r="EL143" s="510" t="str">
        <f t="shared" si="691"/>
        <v/>
      </c>
      <c r="EM143" s="498" t="str">
        <f t="shared" si="938"/>
        <v/>
      </c>
      <c r="EN143" s="494" t="str">
        <f t="shared" si="939"/>
        <v/>
      </c>
      <c r="EO143" s="495" t="str">
        <f t="shared" si="940"/>
        <v/>
      </c>
      <c r="EP143" s="496" t="str">
        <f t="shared" si="941"/>
        <v/>
      </c>
      <c r="EQ143" s="494" t="str">
        <f t="shared" si="942"/>
        <v/>
      </c>
      <c r="ER143" s="500" t="str">
        <f t="shared" si="943"/>
        <v/>
      </c>
      <c r="ES143" s="493" t="str">
        <f t="shared" si="1018"/>
        <v/>
      </c>
      <c r="ET143" s="494" t="str">
        <f t="shared" si="1019"/>
        <v/>
      </c>
      <c r="EU143" s="495" t="str">
        <f t="shared" si="1020"/>
        <v/>
      </c>
      <c r="EV143" s="174" t="str">
        <f t="shared" si="944"/>
        <v/>
      </c>
      <c r="EW143" s="496" t="str">
        <f t="shared" si="945"/>
        <v/>
      </c>
      <c r="EX143" s="494" t="str">
        <f t="shared" si="946"/>
        <v/>
      </c>
      <c r="EY143" s="497" t="str">
        <f t="shared" si="947"/>
        <v/>
      </c>
      <c r="EZ143" s="504" t="str">
        <f t="shared" si="699"/>
        <v/>
      </c>
      <c r="FA143" s="502" t="str">
        <f t="shared" si="764"/>
        <v/>
      </c>
      <c r="FB143" s="494" t="str">
        <f t="shared" si="765"/>
        <v/>
      </c>
      <c r="FC143" s="497" t="str">
        <f t="shared" si="766"/>
        <v/>
      </c>
      <c r="FD143" s="498" t="str">
        <f t="shared" si="948"/>
        <v/>
      </c>
      <c r="FE143" s="494" t="str">
        <f t="shared" si="949"/>
        <v/>
      </c>
      <c r="FF143" s="500" t="str">
        <f t="shared" si="950"/>
        <v/>
      </c>
      <c r="FG143" s="173" t="str">
        <f t="shared" si="951"/>
        <v/>
      </c>
      <c r="FH143" s="5" t="str">
        <f t="shared" si="952"/>
        <v/>
      </c>
      <c r="FI143" s="10" t="str">
        <f t="shared" si="953"/>
        <v/>
      </c>
      <c r="FJ143" s="279" t="str">
        <f t="shared" si="954"/>
        <v/>
      </c>
      <c r="FK143" s="4" t="str">
        <f t="shared" si="955"/>
        <v/>
      </c>
      <c r="FL143" s="5" t="str">
        <f t="shared" si="956"/>
        <v/>
      </c>
      <c r="FM143" s="8" t="str">
        <f t="shared" si="957"/>
        <v/>
      </c>
      <c r="FN143" s="9" t="str">
        <f t="shared" si="958"/>
        <v/>
      </c>
      <c r="FO143" s="10" t="str">
        <f t="shared" si="959"/>
        <v/>
      </c>
      <c r="FP143" s="277" t="str">
        <f t="shared" si="960"/>
        <v/>
      </c>
      <c r="FQ143" s="173" t="str">
        <f t="shared" si="961"/>
        <v/>
      </c>
      <c r="FR143" s="10" t="str">
        <f t="shared" si="962"/>
        <v/>
      </c>
      <c r="FS143" s="9" t="str">
        <f t="shared" si="963"/>
        <v/>
      </c>
      <c r="FT143" s="6" t="str">
        <f t="shared" si="964"/>
        <v/>
      </c>
      <c r="FU143" s="4" t="str">
        <f t="shared" si="965"/>
        <v/>
      </c>
      <c r="FV143" s="5" t="str">
        <f t="shared" si="966"/>
        <v/>
      </c>
      <c r="FW143" s="8" t="str">
        <f t="shared" si="967"/>
        <v/>
      </c>
      <c r="FX143" s="9" t="str">
        <f t="shared" si="968"/>
        <v/>
      </c>
      <c r="FY143" s="10" t="str">
        <f t="shared" si="969"/>
        <v/>
      </c>
      <c r="FZ143" s="277" t="str">
        <f t="shared" si="970"/>
        <v/>
      </c>
      <c r="GA143" s="177" t="str">
        <f t="shared" si="971"/>
        <v/>
      </c>
      <c r="GB143" s="4" t="str">
        <f t="shared" si="972"/>
        <v/>
      </c>
      <c r="GC143" s="5" t="str">
        <f t="shared" si="973"/>
        <v/>
      </c>
      <c r="GD143" s="10" t="str">
        <f t="shared" si="974"/>
        <v/>
      </c>
      <c r="GE143" s="311" t="str">
        <f t="shared" si="975"/>
        <v/>
      </c>
      <c r="GF143" s="341" t="str">
        <f t="shared" si="976"/>
        <v/>
      </c>
      <c r="GG143" s="306" t="str">
        <f t="shared" si="977"/>
        <v/>
      </c>
      <c r="GH143" s="307" t="str">
        <f t="shared" si="978"/>
        <v/>
      </c>
      <c r="GI143" s="308" t="str">
        <f t="shared" si="979"/>
        <v/>
      </c>
      <c r="GJ143" s="167" t="str">
        <f t="shared" si="980"/>
        <v/>
      </c>
      <c r="GK143" s="174" t="str">
        <f t="shared" si="778"/>
        <v/>
      </c>
      <c r="GL143" s="174" t="str">
        <f t="shared" si="981"/>
        <v/>
      </c>
      <c r="GM143" s="177" t="str">
        <f t="shared" si="982"/>
        <v/>
      </c>
      <c r="GN143" s="280" t="str">
        <f t="shared" si="983"/>
        <v/>
      </c>
      <c r="GO143" s="4" t="str">
        <f t="shared" si="984"/>
        <v/>
      </c>
      <c r="GP143" s="8" t="str">
        <f t="shared" si="985"/>
        <v/>
      </c>
      <c r="GQ143" s="177" t="str">
        <f t="shared" si="986"/>
        <v/>
      </c>
      <c r="GR143" s="371" t="str">
        <f t="shared" si="987"/>
        <v/>
      </c>
      <c r="GS143" s="342" t="str">
        <f t="shared" si="988"/>
        <v/>
      </c>
      <c r="GT143" s="343" t="str">
        <f t="shared" si="989"/>
        <v/>
      </c>
      <c r="GU143" s="344" t="str">
        <f t="shared" si="781"/>
        <v/>
      </c>
      <c r="GV143" s="343" t="str">
        <f t="shared" si="990"/>
        <v/>
      </c>
      <c r="GW143" s="345" t="str">
        <f t="shared" si="782"/>
        <v/>
      </c>
      <c r="GX143" s="346" t="str">
        <f t="shared" si="783"/>
        <v/>
      </c>
      <c r="GY143" s="344" t="str">
        <f t="shared" si="991"/>
        <v/>
      </c>
      <c r="GZ143" s="345" t="str">
        <f t="shared" si="992"/>
        <v/>
      </c>
      <c r="HA143" s="342" t="str">
        <f t="shared" si="786"/>
        <v/>
      </c>
      <c r="HB143" s="5" t="str">
        <f t="shared" si="726"/>
        <v/>
      </c>
      <c r="HC143" s="343" t="str">
        <f t="shared" si="993"/>
        <v/>
      </c>
      <c r="HD143" s="363" t="str">
        <f t="shared" si="994"/>
        <v/>
      </c>
      <c r="HE143" s="344" t="str">
        <f t="shared" si="787"/>
        <v/>
      </c>
      <c r="HF143" s="5" t="str">
        <f t="shared" si="788"/>
        <v/>
      </c>
      <c r="HG143" s="343" t="str">
        <f t="shared" si="995"/>
        <v/>
      </c>
      <c r="HH143" s="349" t="str">
        <f t="shared" si="996"/>
        <v/>
      </c>
      <c r="HI143" s="317" t="str">
        <f t="shared" si="1021"/>
        <v/>
      </c>
      <c r="HK143" s="310" t="str">
        <f t="shared" si="1052"/>
        <v/>
      </c>
      <c r="HL143" s="348" t="str">
        <f t="shared" si="1022"/>
        <v/>
      </c>
      <c r="HM143" s="909" t="str">
        <f t="shared" si="1023"/>
        <v/>
      </c>
      <c r="HN143" s="910" t="str">
        <f t="shared" si="1024"/>
        <v/>
      </c>
      <c r="HO143" s="911"/>
      <c r="HP143" s="912"/>
      <c r="HQ143" s="910" t="str">
        <f t="shared" si="1025"/>
        <v/>
      </c>
      <c r="HR143" s="913" t="str">
        <f t="shared" si="1026"/>
        <v/>
      </c>
      <c r="HS143" s="865" t="str">
        <f t="shared" si="997"/>
        <v/>
      </c>
      <c r="HT143" s="875" t="str">
        <f t="shared" si="1027"/>
        <v/>
      </c>
      <c r="HU143" s="876" t="str">
        <f t="shared" si="1028"/>
        <v/>
      </c>
      <c r="HV143" s="872" t="str">
        <f t="shared" si="1029"/>
        <v/>
      </c>
      <c r="HW143" s="866" t="str">
        <f t="shared" si="1030"/>
        <v/>
      </c>
      <c r="HX143" s="867" t="str">
        <f t="shared" si="1031"/>
        <v/>
      </c>
      <c r="HY143" s="866" t="str">
        <f t="shared" si="1032"/>
        <v/>
      </c>
      <c r="HZ143" s="868" t="str">
        <f t="shared" si="1033"/>
        <v/>
      </c>
      <c r="IA143" s="869" t="str">
        <f t="shared" si="1034"/>
        <v/>
      </c>
      <c r="IB143" s="870" t="str">
        <f t="shared" si="1035"/>
        <v/>
      </c>
      <c r="IC143" s="841" t="str">
        <f t="shared" si="1036"/>
        <v/>
      </c>
      <c r="ID143" s="351" t="str">
        <f t="shared" si="1037"/>
        <v/>
      </c>
      <c r="IE143" s="843" t="str">
        <f t="shared" si="1038"/>
        <v/>
      </c>
      <c r="IF143" s="844"/>
      <c r="IG143" s="790" t="str">
        <f>IFERROR(IF($IW143="","",IF($IW143&lt;(((Settings!$C$19/2)*-1)*$IG$8),"Taper","Nose")),"")</f>
        <v/>
      </c>
      <c r="IH143" s="482" t="str">
        <f>IFERROR(IF((((($IY143*COS(RADIANS(180-$JA143)))*COS(RADIANS($JA143)))-(($IZ143*SIN(RADIANS(180-$JA143)))*SIN(RADIANS($JA143))))+$IW143)&lt;(((Settings!$C$19+$IH$8)/2)*-1),"Gage",""),"")</f>
        <v/>
      </c>
      <c r="II143" s="788" t="str">
        <f t="shared" si="1054"/>
        <v/>
      </c>
      <c r="IJ143" s="674" t="str" cm="1">
        <f t="array" ref="IJ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K143" s="677" t="str" cm="1">
        <f t="array" ref="IK143">IFERROR(ROUND(VALUE(IF($IJ143&lt;1,$IJ143+LARGE((IF($M$9:$M$150="",0,$M$9:$M$150)-MOD(IF($M$9:$M$150="",0,$M$9:$M$150),1)),1),$IJ143)),4),"")</f>
        <v/>
      </c>
      <c r="IL143" s="482" t="str">
        <f t="shared" si="1039"/>
        <v/>
      </c>
      <c r="IM143" s="482" t="str">
        <f t="shared" si="1055"/>
        <v/>
      </c>
      <c r="IN143" s="670" t="str">
        <f t="shared" si="1040"/>
        <v/>
      </c>
      <c r="IO143" s="702"/>
      <c r="IP143" s="5" t="str">
        <f t="shared" si="1041"/>
        <v/>
      </c>
      <c r="IQ143" s="714"/>
      <c r="IR143" s="9" t="str">
        <f t="shared" si="1042"/>
        <v/>
      </c>
      <c r="IS143" s="5" t="str">
        <f t="shared" si="1043"/>
        <v/>
      </c>
      <c r="IT143" s="5" t="str">
        <f t="shared" si="1044"/>
        <v/>
      </c>
      <c r="IU143" s="5" t="str">
        <f t="shared" si="1045"/>
        <v/>
      </c>
      <c r="IV143" s="670" t="str">
        <f t="shared" si="1046"/>
        <v/>
      </c>
      <c r="IW143" s="9" t="str">
        <f t="shared" si="1047"/>
        <v/>
      </c>
      <c r="IX143" s="5" t="str">
        <f t="shared" si="1048"/>
        <v/>
      </c>
      <c r="IY143" s="5" t="str">
        <f t="shared" si="1049"/>
        <v/>
      </c>
      <c r="IZ143" s="5" t="str">
        <f t="shared" si="1050"/>
        <v/>
      </c>
      <c r="JA143" s="705" t="str">
        <f t="shared" si="1051"/>
        <v/>
      </c>
    </row>
    <row r="144" spans="1:261" ht="15" customHeight="1" x14ac:dyDescent="0.25">
      <c r="A144" s="75" t="str">
        <f t="shared" si="736"/>
        <v/>
      </c>
      <c r="B144" s="578" t="str">
        <f t="shared" si="845"/>
        <v/>
      </c>
      <c r="C144" s="572" t="str">
        <f t="shared" si="846"/>
        <v/>
      </c>
      <c r="D144" s="576" t="str">
        <f t="shared" si="847"/>
        <v/>
      </c>
      <c r="E144" s="580" t="str">
        <f t="shared" si="848"/>
        <v/>
      </c>
      <c r="F144" s="572" t="str">
        <f t="shared" si="849"/>
        <v/>
      </c>
      <c r="G144" s="579" t="str">
        <f t="shared" si="850"/>
        <v/>
      </c>
      <c r="H144" s="580" t="str">
        <f t="shared" si="851"/>
        <v/>
      </c>
      <c r="I144" s="572" t="str">
        <f t="shared" si="852"/>
        <v/>
      </c>
      <c r="J144" s="483" t="str">
        <f t="shared" si="853"/>
        <v/>
      </c>
      <c r="K144" s="806" t="str">
        <f t="shared" si="854"/>
        <v/>
      </c>
      <c r="L144" s="309"/>
      <c r="M144" s="492" t="str">
        <f t="shared" si="998"/>
        <v/>
      </c>
      <c r="N144" s="581" t="str">
        <f t="shared" si="999"/>
        <v/>
      </c>
      <c r="O144" s="582" t="str">
        <f t="shared" si="1000"/>
        <v/>
      </c>
      <c r="P144" s="583" t="str">
        <f t="shared" si="1001"/>
        <v/>
      </c>
      <c r="Q144" s="536" t="str">
        <f t="shared" si="856"/>
        <v/>
      </c>
      <c r="R144" s="582" t="str">
        <f t="shared" si="857"/>
        <v/>
      </c>
      <c r="S144" s="584" t="str">
        <f t="shared" si="858"/>
        <v/>
      </c>
      <c r="T144" s="585" t="str">
        <f t="shared" si="859"/>
        <v/>
      </c>
      <c r="U144" s="582" t="str">
        <f t="shared" si="860"/>
        <v/>
      </c>
      <c r="V144" s="586" t="str">
        <f t="shared" si="861"/>
        <v/>
      </c>
      <c r="W144" s="536" t="str">
        <f t="shared" si="862"/>
        <v/>
      </c>
      <c r="X144" s="582" t="str">
        <f t="shared" si="863"/>
        <v/>
      </c>
      <c r="Y144" s="587" t="str">
        <f t="shared" si="864"/>
        <v/>
      </c>
      <c r="Z144" s="581" t="str">
        <f t="shared" si="1002"/>
        <v/>
      </c>
      <c r="AA144" s="582" t="str">
        <f t="shared" si="1003"/>
        <v/>
      </c>
      <c r="AB144" s="582" t="str">
        <f t="shared" si="1004"/>
        <v/>
      </c>
      <c r="AC144" s="586" t="str">
        <f t="shared" si="865"/>
        <v/>
      </c>
      <c r="AD144" s="588" t="str">
        <f t="shared" si="866"/>
        <v/>
      </c>
      <c r="AE144" s="582" t="str">
        <f t="shared" si="867"/>
        <v/>
      </c>
      <c r="AF144" s="583" t="str">
        <f t="shared" si="868"/>
        <v/>
      </c>
      <c r="AG144" s="547" t="str">
        <f t="shared" si="869"/>
        <v/>
      </c>
      <c r="AH144" s="548" t="str">
        <f t="shared" si="870"/>
        <v/>
      </c>
      <c r="AI144" s="536" t="str">
        <f t="shared" si="871"/>
        <v/>
      </c>
      <c r="AJ144" s="537" t="str">
        <f t="shared" si="872"/>
        <v/>
      </c>
      <c r="AK144" s="585" t="str">
        <f t="shared" si="873"/>
        <v/>
      </c>
      <c r="AL144" s="582" t="str">
        <f t="shared" si="874"/>
        <v/>
      </c>
      <c r="AM144" s="584" t="str">
        <f t="shared" si="875"/>
        <v/>
      </c>
      <c r="AN144" s="534" t="str">
        <f t="shared" si="876"/>
        <v/>
      </c>
      <c r="AO144" s="535" t="str">
        <f t="shared" si="855"/>
        <v/>
      </c>
      <c r="AP144" s="536" t="str">
        <f t="shared" si="877"/>
        <v/>
      </c>
      <c r="AQ144" s="537" t="str">
        <f t="shared" si="1005"/>
        <v/>
      </c>
      <c r="AS144" s="933" t="str">
        <f t="shared" si="1053"/>
        <v/>
      </c>
      <c r="AT144" s="929" t="str">
        <f t="shared" si="1006"/>
        <v/>
      </c>
      <c r="AU144" s="418"/>
      <c r="AV144" s="164" t="str">
        <f t="shared" si="1007"/>
        <v/>
      </c>
      <c r="AW144" s="832" t="str">
        <f>IFERROR(INDEX(MassProp!C$9:C$150,MATCH($M144,MassProp!$B$9:$B$150,0)),"")</f>
        <v/>
      </c>
      <c r="AX144" s="833" t="str">
        <f>IFERROR(INDEX(MassProp!D$9:D$150,MATCH($M144,MassProp!$B$9:$B$150,0)),"")</f>
        <v/>
      </c>
      <c r="AY144" s="834" t="str">
        <f>IFERROR(INDEX(MassProp!E$9:E$150,MATCH($M144,MassProp!$B$9:$B$150,0)),"")</f>
        <v/>
      </c>
      <c r="AZ144" s="297" t="str">
        <f t="shared" si="878"/>
        <v/>
      </c>
      <c r="BA144" s="505" t="str">
        <f t="shared" si="879"/>
        <v/>
      </c>
      <c r="BB144" s="506" t="str">
        <f t="shared" si="610"/>
        <v/>
      </c>
      <c r="BC144" s="496"/>
      <c r="BD144" s="494" t="str">
        <f t="shared" si="880"/>
        <v/>
      </c>
      <c r="BE144" s="497" t="str">
        <f t="shared" si="1008"/>
        <v/>
      </c>
      <c r="BF144" s="498" t="str">
        <f t="shared" si="1009"/>
        <v/>
      </c>
      <c r="BG144" s="494" t="str">
        <f t="shared" si="1010"/>
        <v/>
      </c>
      <c r="BH144" s="495" t="str">
        <f t="shared" si="1011"/>
        <v/>
      </c>
      <c r="BI144" s="496" t="str">
        <f t="shared" si="881"/>
        <v/>
      </c>
      <c r="BJ144" s="494" t="str">
        <f t="shared" si="1012"/>
        <v/>
      </c>
      <c r="BK144" s="499" t="str">
        <f t="shared" si="1013"/>
        <v/>
      </c>
      <c r="BL144" s="502" t="str">
        <f t="shared" si="1014"/>
        <v/>
      </c>
      <c r="BM144" s="494" t="str">
        <f t="shared" si="1015"/>
        <v/>
      </c>
      <c r="BN144" s="497" t="str">
        <f t="shared" si="1016"/>
        <v/>
      </c>
      <c r="BO144" s="498" t="str">
        <f t="shared" si="882"/>
        <v/>
      </c>
      <c r="BP144" s="494" t="str">
        <f t="shared" si="1056"/>
        <v/>
      </c>
      <c r="BQ144" s="494" t="str">
        <f t="shared" si="883"/>
        <v/>
      </c>
      <c r="BR144" s="497" t="str">
        <f t="shared" si="884"/>
        <v/>
      </c>
      <c r="BS144" s="498" t="str">
        <f t="shared" si="839"/>
        <v/>
      </c>
      <c r="BT144" s="494" t="str">
        <f t="shared" si="839"/>
        <v/>
      </c>
      <c r="BU144" s="495" t="str">
        <f t="shared" si="613"/>
        <v/>
      </c>
      <c r="BV144" s="496" t="str">
        <f t="shared" si="614"/>
        <v/>
      </c>
      <c r="BW144" s="494" t="str">
        <f t="shared" si="615"/>
        <v/>
      </c>
      <c r="BX144" s="499" t="str">
        <f t="shared" si="616"/>
        <v/>
      </c>
      <c r="BY144" s="502" t="str">
        <f t="shared" si="617"/>
        <v/>
      </c>
      <c r="BZ144" s="494" t="str">
        <f t="shared" si="618"/>
        <v/>
      </c>
      <c r="CA144" s="497" t="str">
        <f t="shared" si="619"/>
        <v/>
      </c>
      <c r="CB144" s="498" t="str">
        <f t="shared" si="885"/>
        <v/>
      </c>
      <c r="CC144" s="494" t="str">
        <f t="shared" si="886"/>
        <v/>
      </c>
      <c r="CD144" s="494" t="str">
        <f t="shared" si="887"/>
        <v/>
      </c>
      <c r="CE144" s="497" t="str">
        <f t="shared" si="888"/>
        <v/>
      </c>
      <c r="CF144" s="498" t="str">
        <f t="shared" si="889"/>
        <v/>
      </c>
      <c r="CG144" s="494" t="str">
        <f t="shared" si="890"/>
        <v/>
      </c>
      <c r="CH144" s="494" t="str">
        <f t="shared" si="891"/>
        <v/>
      </c>
      <c r="CI144" s="498" t="str">
        <f t="shared" si="620"/>
        <v/>
      </c>
      <c r="CJ144" s="494" t="str">
        <f t="shared" si="892"/>
        <v/>
      </c>
      <c r="CK144" s="499" t="str">
        <f t="shared" si="893"/>
        <v/>
      </c>
      <c r="CL144" s="502" t="str">
        <f t="shared" si="894"/>
        <v/>
      </c>
      <c r="CM144" s="494" t="str">
        <f t="shared" si="895"/>
        <v/>
      </c>
      <c r="CN144" s="497" t="str">
        <f t="shared" si="896"/>
        <v/>
      </c>
      <c r="CO144" s="507" t="str">
        <f t="shared" si="1017"/>
        <v/>
      </c>
      <c r="CP144" s="498" t="str">
        <f t="shared" si="897"/>
        <v/>
      </c>
      <c r="CQ144" s="494" t="str">
        <f t="shared" si="898"/>
        <v/>
      </c>
      <c r="CR144" s="494" t="str">
        <f t="shared" si="899"/>
        <v/>
      </c>
      <c r="CS144" s="499" t="str">
        <f t="shared" si="900"/>
        <v/>
      </c>
      <c r="CT144" s="496" t="str">
        <f t="shared" si="901"/>
        <v/>
      </c>
      <c r="CU144" s="497" t="str">
        <f t="shared" si="902"/>
        <v/>
      </c>
      <c r="CV144" s="498" t="str">
        <f t="shared" si="903"/>
        <v/>
      </c>
      <c r="CW144" s="494" t="str">
        <f t="shared" si="904"/>
        <v/>
      </c>
      <c r="CX144" s="499" t="str">
        <f t="shared" si="905"/>
        <v/>
      </c>
      <c r="CY144" s="496" t="str">
        <f t="shared" si="906"/>
        <v/>
      </c>
      <c r="CZ144" s="494" t="str">
        <f t="shared" si="907"/>
        <v/>
      </c>
      <c r="DA144" s="497" t="str">
        <f t="shared" si="908"/>
        <v/>
      </c>
      <c r="DB144" s="498" t="str">
        <f t="shared" si="843"/>
        <v/>
      </c>
      <c r="DC144" s="494" t="str">
        <f t="shared" si="843"/>
        <v/>
      </c>
      <c r="DD144" s="495" t="str">
        <f t="shared" si="658"/>
        <v/>
      </c>
      <c r="DE144" s="496" t="str">
        <f t="shared" si="844"/>
        <v/>
      </c>
      <c r="DF144" s="494" t="str">
        <f t="shared" si="844"/>
        <v/>
      </c>
      <c r="DG144" s="495" t="str">
        <f t="shared" si="660"/>
        <v/>
      </c>
      <c r="DH144" s="501" t="str">
        <f t="shared" si="909"/>
        <v/>
      </c>
      <c r="DI144" s="498" t="str">
        <f t="shared" si="910"/>
        <v/>
      </c>
      <c r="DJ144" s="494" t="str">
        <f t="shared" si="911"/>
        <v/>
      </c>
      <c r="DK144" s="495" t="str">
        <f t="shared" si="912"/>
        <v/>
      </c>
      <c r="DL144" s="496" t="str">
        <f t="shared" si="913"/>
        <v/>
      </c>
      <c r="DM144" s="502" t="str">
        <f t="shared" si="914"/>
        <v/>
      </c>
      <c r="DN144" s="508" t="str">
        <f t="shared" si="915"/>
        <v/>
      </c>
      <c r="DO144" s="496" t="str">
        <f t="shared" si="916"/>
        <v/>
      </c>
      <c r="DP144" s="502" t="str">
        <f t="shared" si="917"/>
        <v/>
      </c>
      <c r="DQ144" s="503" t="str">
        <f t="shared" si="918"/>
        <v/>
      </c>
      <c r="DR144" s="502" t="str">
        <f t="shared" si="919"/>
        <v/>
      </c>
      <c r="DS144" s="494" t="str">
        <f t="shared" si="920"/>
        <v/>
      </c>
      <c r="DT144" s="494" t="str">
        <f t="shared" si="921"/>
        <v/>
      </c>
      <c r="DU144" s="494" t="str">
        <f t="shared" si="922"/>
        <v/>
      </c>
      <c r="DV144" s="494" t="str">
        <f t="shared" si="923"/>
        <v/>
      </c>
      <c r="DW144" s="494" t="str">
        <f t="shared" si="924"/>
        <v/>
      </c>
      <c r="DX144" s="507" t="str">
        <f t="shared" si="925"/>
        <v/>
      </c>
      <c r="DY144" s="496" t="str">
        <f t="shared" si="926"/>
        <v/>
      </c>
      <c r="DZ144" s="494" t="str">
        <f t="shared" si="927"/>
        <v/>
      </c>
      <c r="EA144" s="495" t="str">
        <f t="shared" si="928"/>
        <v/>
      </c>
      <c r="EB144" s="497" t="str">
        <f t="shared" si="929"/>
        <v/>
      </c>
      <c r="EC144" s="502" t="str">
        <f t="shared" si="930"/>
        <v/>
      </c>
      <c r="ED144" s="494" t="str">
        <f t="shared" si="931"/>
        <v/>
      </c>
      <c r="EE144" s="498" t="str">
        <f t="shared" si="932"/>
        <v/>
      </c>
      <c r="EF144" s="494" t="str">
        <f t="shared" si="933"/>
        <v/>
      </c>
      <c r="EG144" s="495" t="str">
        <f t="shared" si="934"/>
        <v/>
      </c>
      <c r="EH144" s="496" t="str">
        <f t="shared" si="935"/>
        <v/>
      </c>
      <c r="EI144" s="494" t="str">
        <f t="shared" si="936"/>
        <v/>
      </c>
      <c r="EJ144" s="497" t="str">
        <f t="shared" si="937"/>
        <v/>
      </c>
      <c r="EK144" s="509" t="str">
        <f t="shared" si="690"/>
        <v/>
      </c>
      <c r="EL144" s="510" t="str">
        <f t="shared" si="691"/>
        <v/>
      </c>
      <c r="EM144" s="498" t="str">
        <f t="shared" si="938"/>
        <v/>
      </c>
      <c r="EN144" s="494" t="str">
        <f t="shared" si="939"/>
        <v/>
      </c>
      <c r="EO144" s="495" t="str">
        <f t="shared" si="940"/>
        <v/>
      </c>
      <c r="EP144" s="496" t="str">
        <f t="shared" si="941"/>
        <v/>
      </c>
      <c r="EQ144" s="494" t="str">
        <f t="shared" si="942"/>
        <v/>
      </c>
      <c r="ER144" s="500" t="str">
        <f t="shared" si="943"/>
        <v/>
      </c>
      <c r="ES144" s="493" t="str">
        <f t="shared" si="1018"/>
        <v/>
      </c>
      <c r="ET144" s="494" t="str">
        <f t="shared" si="1019"/>
        <v/>
      </c>
      <c r="EU144" s="495" t="str">
        <f t="shared" si="1020"/>
        <v/>
      </c>
      <c r="EV144" s="174" t="str">
        <f t="shared" si="944"/>
        <v/>
      </c>
      <c r="EW144" s="496" t="str">
        <f t="shared" si="945"/>
        <v/>
      </c>
      <c r="EX144" s="494" t="str">
        <f t="shared" si="946"/>
        <v/>
      </c>
      <c r="EY144" s="497" t="str">
        <f t="shared" si="947"/>
        <v/>
      </c>
      <c r="EZ144" s="504" t="str">
        <f t="shared" si="699"/>
        <v/>
      </c>
      <c r="FA144" s="502" t="str">
        <f t="shared" si="764"/>
        <v/>
      </c>
      <c r="FB144" s="494" t="str">
        <f t="shared" si="765"/>
        <v/>
      </c>
      <c r="FC144" s="497" t="str">
        <f t="shared" si="766"/>
        <v/>
      </c>
      <c r="FD144" s="498" t="str">
        <f t="shared" si="948"/>
        <v/>
      </c>
      <c r="FE144" s="494" t="str">
        <f t="shared" si="949"/>
        <v/>
      </c>
      <c r="FF144" s="500" t="str">
        <f t="shared" si="950"/>
        <v/>
      </c>
      <c r="FG144" s="173" t="str">
        <f t="shared" si="951"/>
        <v/>
      </c>
      <c r="FH144" s="5" t="str">
        <f t="shared" si="952"/>
        <v/>
      </c>
      <c r="FI144" s="10" t="str">
        <f t="shared" si="953"/>
        <v/>
      </c>
      <c r="FJ144" s="279" t="str">
        <f t="shared" si="954"/>
        <v/>
      </c>
      <c r="FK144" s="4" t="str">
        <f t="shared" si="955"/>
        <v/>
      </c>
      <c r="FL144" s="5" t="str">
        <f t="shared" si="956"/>
        <v/>
      </c>
      <c r="FM144" s="8" t="str">
        <f t="shared" si="957"/>
        <v/>
      </c>
      <c r="FN144" s="9" t="str">
        <f t="shared" si="958"/>
        <v/>
      </c>
      <c r="FO144" s="10" t="str">
        <f t="shared" si="959"/>
        <v/>
      </c>
      <c r="FP144" s="277" t="str">
        <f t="shared" si="960"/>
        <v/>
      </c>
      <c r="FQ144" s="173" t="str">
        <f t="shared" si="961"/>
        <v/>
      </c>
      <c r="FR144" s="10" t="str">
        <f t="shared" si="962"/>
        <v/>
      </c>
      <c r="FS144" s="9" t="str">
        <f t="shared" si="963"/>
        <v/>
      </c>
      <c r="FT144" s="6" t="str">
        <f t="shared" si="964"/>
        <v/>
      </c>
      <c r="FU144" s="4" t="str">
        <f t="shared" si="965"/>
        <v/>
      </c>
      <c r="FV144" s="5" t="str">
        <f t="shared" si="966"/>
        <v/>
      </c>
      <c r="FW144" s="8" t="str">
        <f t="shared" si="967"/>
        <v/>
      </c>
      <c r="FX144" s="9" t="str">
        <f t="shared" si="968"/>
        <v/>
      </c>
      <c r="FY144" s="10" t="str">
        <f t="shared" si="969"/>
        <v/>
      </c>
      <c r="FZ144" s="277" t="str">
        <f t="shared" si="970"/>
        <v/>
      </c>
      <c r="GA144" s="177" t="str">
        <f t="shared" si="971"/>
        <v/>
      </c>
      <c r="GB144" s="4" t="str">
        <f t="shared" si="972"/>
        <v/>
      </c>
      <c r="GC144" s="5" t="str">
        <f t="shared" si="973"/>
        <v/>
      </c>
      <c r="GD144" s="10" t="str">
        <f t="shared" si="974"/>
        <v/>
      </c>
      <c r="GE144" s="311" t="str">
        <f t="shared" si="975"/>
        <v/>
      </c>
      <c r="GF144" s="341" t="str">
        <f t="shared" si="976"/>
        <v/>
      </c>
      <c r="GG144" s="306" t="str">
        <f t="shared" si="977"/>
        <v/>
      </c>
      <c r="GH144" s="307" t="str">
        <f t="shared" si="978"/>
        <v/>
      </c>
      <c r="GI144" s="308" t="str">
        <f t="shared" si="979"/>
        <v/>
      </c>
      <c r="GJ144" s="167" t="str">
        <f t="shared" si="980"/>
        <v/>
      </c>
      <c r="GK144" s="174" t="str">
        <f t="shared" si="778"/>
        <v/>
      </c>
      <c r="GL144" s="174" t="str">
        <f t="shared" si="981"/>
        <v/>
      </c>
      <c r="GM144" s="177" t="str">
        <f t="shared" si="982"/>
        <v/>
      </c>
      <c r="GN144" s="280" t="str">
        <f t="shared" si="983"/>
        <v/>
      </c>
      <c r="GO144" s="4" t="str">
        <f t="shared" si="984"/>
        <v/>
      </c>
      <c r="GP144" s="8" t="str">
        <f t="shared" si="985"/>
        <v/>
      </c>
      <c r="GQ144" s="177" t="str">
        <f t="shared" si="986"/>
        <v/>
      </c>
      <c r="GR144" s="371" t="str">
        <f t="shared" si="987"/>
        <v/>
      </c>
      <c r="GS144" s="342" t="str">
        <f t="shared" si="988"/>
        <v/>
      </c>
      <c r="GT144" s="343" t="str">
        <f t="shared" si="989"/>
        <v/>
      </c>
      <c r="GU144" s="344" t="str">
        <f t="shared" si="781"/>
        <v/>
      </c>
      <c r="GV144" s="343" t="str">
        <f t="shared" si="990"/>
        <v/>
      </c>
      <c r="GW144" s="345" t="str">
        <f t="shared" si="782"/>
        <v/>
      </c>
      <c r="GX144" s="346" t="str">
        <f t="shared" si="783"/>
        <v/>
      </c>
      <c r="GY144" s="344" t="str">
        <f t="shared" si="991"/>
        <v/>
      </c>
      <c r="GZ144" s="345" t="str">
        <f t="shared" si="992"/>
        <v/>
      </c>
      <c r="HA144" s="342" t="str">
        <f t="shared" si="786"/>
        <v/>
      </c>
      <c r="HB144" s="5" t="str">
        <f t="shared" si="726"/>
        <v/>
      </c>
      <c r="HC144" s="343" t="str">
        <f t="shared" si="993"/>
        <v/>
      </c>
      <c r="HD144" s="363" t="str">
        <f t="shared" si="994"/>
        <v/>
      </c>
      <c r="HE144" s="344" t="str">
        <f t="shared" si="787"/>
        <v/>
      </c>
      <c r="HF144" s="5" t="str">
        <f t="shared" si="788"/>
        <v/>
      </c>
      <c r="HG144" s="343" t="str">
        <f t="shared" si="995"/>
        <v/>
      </c>
      <c r="HH144" s="349" t="str">
        <f t="shared" si="996"/>
        <v/>
      </c>
      <c r="HI144" s="317" t="str">
        <f t="shared" si="1021"/>
        <v/>
      </c>
      <c r="HK144" s="310" t="str">
        <f t="shared" si="1052"/>
        <v/>
      </c>
      <c r="HL144" s="348" t="str">
        <f t="shared" si="1022"/>
        <v/>
      </c>
      <c r="HM144" s="909" t="str">
        <f t="shared" si="1023"/>
        <v/>
      </c>
      <c r="HN144" s="910" t="str">
        <f t="shared" si="1024"/>
        <v/>
      </c>
      <c r="HO144" s="911"/>
      <c r="HP144" s="912"/>
      <c r="HQ144" s="910" t="str">
        <f t="shared" si="1025"/>
        <v/>
      </c>
      <c r="HR144" s="913" t="str">
        <f t="shared" si="1026"/>
        <v/>
      </c>
      <c r="HS144" s="865" t="str">
        <f t="shared" si="997"/>
        <v/>
      </c>
      <c r="HT144" s="875" t="str">
        <f t="shared" si="1027"/>
        <v/>
      </c>
      <c r="HU144" s="876" t="str">
        <f t="shared" si="1028"/>
        <v/>
      </c>
      <c r="HV144" s="872" t="str">
        <f t="shared" si="1029"/>
        <v/>
      </c>
      <c r="HW144" s="866" t="str">
        <f t="shared" si="1030"/>
        <v/>
      </c>
      <c r="HX144" s="867" t="str">
        <f t="shared" si="1031"/>
        <v/>
      </c>
      <c r="HY144" s="866" t="str">
        <f t="shared" si="1032"/>
        <v/>
      </c>
      <c r="HZ144" s="868" t="str">
        <f t="shared" si="1033"/>
        <v/>
      </c>
      <c r="IA144" s="869" t="str">
        <f t="shared" si="1034"/>
        <v/>
      </c>
      <c r="IB144" s="870" t="str">
        <f t="shared" si="1035"/>
        <v/>
      </c>
      <c r="IC144" s="841" t="str">
        <f t="shared" si="1036"/>
        <v/>
      </c>
      <c r="ID144" s="351" t="str">
        <f t="shared" si="1037"/>
        <v/>
      </c>
      <c r="IE144" s="843" t="str">
        <f t="shared" si="1038"/>
        <v/>
      </c>
      <c r="IF144" s="844"/>
      <c r="IG144" s="790" t="str">
        <f>IFERROR(IF($IW144="","",IF($IW144&lt;(((Settings!$C$19/2)*-1)*$IG$8),"Taper","Nose")),"")</f>
        <v/>
      </c>
      <c r="IH144" s="482" t="str">
        <f>IFERROR(IF((((($IY144*COS(RADIANS(180-$JA144)))*COS(RADIANS($JA144)))-(($IZ144*SIN(RADIANS(180-$JA144)))*SIN(RADIANS($JA144))))+$IW144)&lt;(((Settings!$C$19+$IH$8)/2)*-1),"Gage",""),"")</f>
        <v/>
      </c>
      <c r="II144" s="788" t="str">
        <f t="shared" si="1054"/>
        <v/>
      </c>
      <c r="IJ144" s="674" t="str" cm="1">
        <f t="array" ref="IJ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K144" s="677" t="str" cm="1">
        <f t="array" ref="IK144">IFERROR(ROUND(VALUE(IF($IJ144&lt;1,$IJ144+LARGE((IF($M$9:$M$150="",0,$M$9:$M$150)-MOD(IF($M$9:$M$150="",0,$M$9:$M$150),1)),1),$IJ144)),4),"")</f>
        <v/>
      </c>
      <c r="IL144" s="482" t="str">
        <f t="shared" si="1039"/>
        <v/>
      </c>
      <c r="IM144" s="482" t="str">
        <f t="shared" si="1055"/>
        <v/>
      </c>
      <c r="IN144" s="670" t="str">
        <f t="shared" si="1040"/>
        <v/>
      </c>
      <c r="IO144" s="702"/>
      <c r="IP144" s="5" t="str">
        <f t="shared" si="1041"/>
        <v/>
      </c>
      <c r="IQ144" s="714"/>
      <c r="IR144" s="9" t="str">
        <f t="shared" si="1042"/>
        <v/>
      </c>
      <c r="IS144" s="5" t="str">
        <f t="shared" si="1043"/>
        <v/>
      </c>
      <c r="IT144" s="5" t="str">
        <f t="shared" si="1044"/>
        <v/>
      </c>
      <c r="IU144" s="5" t="str">
        <f t="shared" si="1045"/>
        <v/>
      </c>
      <c r="IV144" s="670" t="str">
        <f t="shared" si="1046"/>
        <v/>
      </c>
      <c r="IW144" s="9" t="str">
        <f t="shared" si="1047"/>
        <v/>
      </c>
      <c r="IX144" s="5" t="str">
        <f t="shared" si="1048"/>
        <v/>
      </c>
      <c r="IY144" s="5" t="str">
        <f t="shared" si="1049"/>
        <v/>
      </c>
      <c r="IZ144" s="5" t="str">
        <f t="shared" si="1050"/>
        <v/>
      </c>
      <c r="JA144" s="705" t="str">
        <f t="shared" si="1051"/>
        <v/>
      </c>
    </row>
    <row r="145" spans="1:261" ht="15" customHeight="1" x14ac:dyDescent="0.25">
      <c r="A145" s="75" t="str">
        <f t="shared" si="736"/>
        <v/>
      </c>
      <c r="B145" s="578" t="str">
        <f t="shared" si="845"/>
        <v/>
      </c>
      <c r="C145" s="572" t="str">
        <f t="shared" si="846"/>
        <v/>
      </c>
      <c r="D145" s="576" t="str">
        <f t="shared" si="847"/>
        <v/>
      </c>
      <c r="E145" s="580" t="str">
        <f t="shared" si="848"/>
        <v/>
      </c>
      <c r="F145" s="572" t="str">
        <f t="shared" si="849"/>
        <v/>
      </c>
      <c r="G145" s="579" t="str">
        <f t="shared" si="850"/>
        <v/>
      </c>
      <c r="H145" s="580" t="str">
        <f t="shared" si="851"/>
        <v/>
      </c>
      <c r="I145" s="572" t="str">
        <f t="shared" si="852"/>
        <v/>
      </c>
      <c r="J145" s="483" t="str">
        <f t="shared" si="853"/>
        <v/>
      </c>
      <c r="K145" s="806" t="str">
        <f t="shared" si="854"/>
        <v/>
      </c>
      <c r="L145" s="309"/>
      <c r="M145" s="492" t="str">
        <f t="shared" si="998"/>
        <v/>
      </c>
      <c r="N145" s="581" t="str">
        <f t="shared" si="999"/>
        <v/>
      </c>
      <c r="O145" s="582" t="str">
        <f t="shared" si="1000"/>
        <v/>
      </c>
      <c r="P145" s="583" t="str">
        <f t="shared" si="1001"/>
        <v/>
      </c>
      <c r="Q145" s="536" t="str">
        <f t="shared" si="856"/>
        <v/>
      </c>
      <c r="R145" s="582" t="str">
        <f t="shared" si="857"/>
        <v/>
      </c>
      <c r="S145" s="584" t="str">
        <f t="shared" si="858"/>
        <v/>
      </c>
      <c r="T145" s="585" t="str">
        <f t="shared" si="859"/>
        <v/>
      </c>
      <c r="U145" s="582" t="str">
        <f t="shared" si="860"/>
        <v/>
      </c>
      <c r="V145" s="586" t="str">
        <f t="shared" si="861"/>
        <v/>
      </c>
      <c r="W145" s="536" t="str">
        <f t="shared" si="862"/>
        <v/>
      </c>
      <c r="X145" s="582" t="str">
        <f t="shared" si="863"/>
        <v/>
      </c>
      <c r="Y145" s="587" t="str">
        <f t="shared" si="864"/>
        <v/>
      </c>
      <c r="Z145" s="581" t="str">
        <f t="shared" si="1002"/>
        <v/>
      </c>
      <c r="AA145" s="582" t="str">
        <f t="shared" si="1003"/>
        <v/>
      </c>
      <c r="AB145" s="582" t="str">
        <f t="shared" si="1004"/>
        <v/>
      </c>
      <c r="AC145" s="586" t="str">
        <f t="shared" si="865"/>
        <v/>
      </c>
      <c r="AD145" s="588" t="str">
        <f t="shared" si="866"/>
        <v/>
      </c>
      <c r="AE145" s="582" t="str">
        <f t="shared" si="867"/>
        <v/>
      </c>
      <c r="AF145" s="583" t="str">
        <f t="shared" si="868"/>
        <v/>
      </c>
      <c r="AG145" s="547" t="str">
        <f t="shared" si="869"/>
        <v/>
      </c>
      <c r="AH145" s="548" t="str">
        <f t="shared" si="870"/>
        <v/>
      </c>
      <c r="AI145" s="536" t="str">
        <f t="shared" si="871"/>
        <v/>
      </c>
      <c r="AJ145" s="537" t="str">
        <f t="shared" si="872"/>
        <v/>
      </c>
      <c r="AK145" s="585" t="str">
        <f t="shared" si="873"/>
        <v/>
      </c>
      <c r="AL145" s="582" t="str">
        <f t="shared" si="874"/>
        <v/>
      </c>
      <c r="AM145" s="584" t="str">
        <f t="shared" si="875"/>
        <v/>
      </c>
      <c r="AN145" s="534" t="str">
        <f t="shared" si="876"/>
        <v/>
      </c>
      <c r="AO145" s="535" t="str">
        <f t="shared" si="855"/>
        <v/>
      </c>
      <c r="AP145" s="536" t="str">
        <f t="shared" si="877"/>
        <v/>
      </c>
      <c r="AQ145" s="537" t="str">
        <f t="shared" si="1005"/>
        <v/>
      </c>
      <c r="AS145" s="933" t="str">
        <f t="shared" si="1053"/>
        <v/>
      </c>
      <c r="AT145" s="929" t="str">
        <f t="shared" si="1006"/>
        <v/>
      </c>
      <c r="AU145" s="418"/>
      <c r="AV145" s="164" t="str">
        <f t="shared" si="1007"/>
        <v/>
      </c>
      <c r="AW145" s="832" t="str">
        <f>IFERROR(INDEX(MassProp!C$9:C$150,MATCH($M145,MassProp!$B$9:$B$150,0)),"")</f>
        <v/>
      </c>
      <c r="AX145" s="833" t="str">
        <f>IFERROR(INDEX(MassProp!D$9:D$150,MATCH($M145,MassProp!$B$9:$B$150,0)),"")</f>
        <v/>
      </c>
      <c r="AY145" s="834" t="str">
        <f>IFERROR(INDEX(MassProp!E$9:E$150,MATCH($M145,MassProp!$B$9:$B$150,0)),"")</f>
        <v/>
      </c>
      <c r="AZ145" s="297" t="str">
        <f t="shared" si="878"/>
        <v/>
      </c>
      <c r="BA145" s="505" t="str">
        <f t="shared" si="879"/>
        <v/>
      </c>
      <c r="BB145" s="506" t="str">
        <f t="shared" si="610"/>
        <v/>
      </c>
      <c r="BC145" s="496"/>
      <c r="BD145" s="494" t="str">
        <f t="shared" si="880"/>
        <v/>
      </c>
      <c r="BE145" s="497" t="str">
        <f t="shared" si="1008"/>
        <v/>
      </c>
      <c r="BF145" s="498" t="str">
        <f t="shared" si="1009"/>
        <v/>
      </c>
      <c r="BG145" s="494" t="str">
        <f t="shared" si="1010"/>
        <v/>
      </c>
      <c r="BH145" s="495" t="str">
        <f t="shared" si="1011"/>
        <v/>
      </c>
      <c r="BI145" s="496" t="str">
        <f t="shared" si="881"/>
        <v/>
      </c>
      <c r="BJ145" s="494" t="str">
        <f t="shared" si="1012"/>
        <v/>
      </c>
      <c r="BK145" s="499" t="str">
        <f t="shared" si="1013"/>
        <v/>
      </c>
      <c r="BL145" s="502" t="str">
        <f t="shared" si="1014"/>
        <v/>
      </c>
      <c r="BM145" s="494" t="str">
        <f t="shared" si="1015"/>
        <v/>
      </c>
      <c r="BN145" s="497" t="str">
        <f t="shared" si="1016"/>
        <v/>
      </c>
      <c r="BO145" s="498" t="str">
        <f t="shared" si="882"/>
        <v/>
      </c>
      <c r="BP145" s="494" t="str">
        <f t="shared" si="1056"/>
        <v/>
      </c>
      <c r="BQ145" s="494" t="str">
        <f t="shared" si="883"/>
        <v/>
      </c>
      <c r="BR145" s="497" t="str">
        <f t="shared" si="884"/>
        <v/>
      </c>
      <c r="BS145" s="498" t="str">
        <f t="shared" si="839"/>
        <v/>
      </c>
      <c r="BT145" s="494" t="str">
        <f t="shared" si="839"/>
        <v/>
      </c>
      <c r="BU145" s="495" t="str">
        <f t="shared" si="613"/>
        <v/>
      </c>
      <c r="BV145" s="496" t="str">
        <f t="shared" si="614"/>
        <v/>
      </c>
      <c r="BW145" s="494" t="str">
        <f t="shared" si="615"/>
        <v/>
      </c>
      <c r="BX145" s="499" t="str">
        <f t="shared" si="616"/>
        <v/>
      </c>
      <c r="BY145" s="502" t="str">
        <f t="shared" si="617"/>
        <v/>
      </c>
      <c r="BZ145" s="494" t="str">
        <f t="shared" si="618"/>
        <v/>
      </c>
      <c r="CA145" s="497" t="str">
        <f t="shared" si="619"/>
        <v/>
      </c>
      <c r="CB145" s="498" t="str">
        <f t="shared" si="885"/>
        <v/>
      </c>
      <c r="CC145" s="494" t="str">
        <f t="shared" si="886"/>
        <v/>
      </c>
      <c r="CD145" s="494" t="str">
        <f t="shared" si="887"/>
        <v/>
      </c>
      <c r="CE145" s="497" t="str">
        <f t="shared" si="888"/>
        <v/>
      </c>
      <c r="CF145" s="498" t="str">
        <f t="shared" si="889"/>
        <v/>
      </c>
      <c r="CG145" s="494" t="str">
        <f t="shared" si="890"/>
        <v/>
      </c>
      <c r="CH145" s="494" t="str">
        <f t="shared" si="891"/>
        <v/>
      </c>
      <c r="CI145" s="498" t="str">
        <f t="shared" si="620"/>
        <v/>
      </c>
      <c r="CJ145" s="494" t="str">
        <f t="shared" si="892"/>
        <v/>
      </c>
      <c r="CK145" s="499" t="str">
        <f t="shared" si="893"/>
        <v/>
      </c>
      <c r="CL145" s="502" t="str">
        <f t="shared" si="894"/>
        <v/>
      </c>
      <c r="CM145" s="494" t="str">
        <f t="shared" si="895"/>
        <v/>
      </c>
      <c r="CN145" s="497" t="str">
        <f t="shared" si="896"/>
        <v/>
      </c>
      <c r="CO145" s="507" t="str">
        <f t="shared" si="1017"/>
        <v/>
      </c>
      <c r="CP145" s="498" t="str">
        <f t="shared" si="897"/>
        <v/>
      </c>
      <c r="CQ145" s="494" t="str">
        <f t="shared" si="898"/>
        <v/>
      </c>
      <c r="CR145" s="494" t="str">
        <f t="shared" si="899"/>
        <v/>
      </c>
      <c r="CS145" s="499" t="str">
        <f t="shared" si="900"/>
        <v/>
      </c>
      <c r="CT145" s="496" t="str">
        <f t="shared" si="901"/>
        <v/>
      </c>
      <c r="CU145" s="497" t="str">
        <f t="shared" si="902"/>
        <v/>
      </c>
      <c r="CV145" s="498" t="str">
        <f t="shared" si="903"/>
        <v/>
      </c>
      <c r="CW145" s="494" t="str">
        <f t="shared" si="904"/>
        <v/>
      </c>
      <c r="CX145" s="499" t="str">
        <f t="shared" si="905"/>
        <v/>
      </c>
      <c r="CY145" s="496" t="str">
        <f t="shared" si="906"/>
        <v/>
      </c>
      <c r="CZ145" s="494" t="str">
        <f t="shared" si="907"/>
        <v/>
      </c>
      <c r="DA145" s="497" t="str">
        <f t="shared" si="908"/>
        <v/>
      </c>
      <c r="DB145" s="498" t="str">
        <f t="shared" si="843"/>
        <v/>
      </c>
      <c r="DC145" s="494" t="str">
        <f t="shared" si="843"/>
        <v/>
      </c>
      <c r="DD145" s="495" t="str">
        <f t="shared" si="658"/>
        <v/>
      </c>
      <c r="DE145" s="496" t="str">
        <f t="shared" si="844"/>
        <v/>
      </c>
      <c r="DF145" s="494" t="str">
        <f t="shared" si="844"/>
        <v/>
      </c>
      <c r="DG145" s="495" t="str">
        <f t="shared" si="660"/>
        <v/>
      </c>
      <c r="DH145" s="501" t="str">
        <f t="shared" si="909"/>
        <v/>
      </c>
      <c r="DI145" s="498" t="str">
        <f t="shared" si="910"/>
        <v/>
      </c>
      <c r="DJ145" s="494" t="str">
        <f t="shared" si="911"/>
        <v/>
      </c>
      <c r="DK145" s="495" t="str">
        <f t="shared" si="912"/>
        <v/>
      </c>
      <c r="DL145" s="496" t="str">
        <f t="shared" si="913"/>
        <v/>
      </c>
      <c r="DM145" s="502" t="str">
        <f t="shared" si="914"/>
        <v/>
      </c>
      <c r="DN145" s="508" t="str">
        <f t="shared" si="915"/>
        <v/>
      </c>
      <c r="DO145" s="496" t="str">
        <f t="shared" si="916"/>
        <v/>
      </c>
      <c r="DP145" s="502" t="str">
        <f t="shared" si="917"/>
        <v/>
      </c>
      <c r="DQ145" s="503" t="str">
        <f t="shared" si="918"/>
        <v/>
      </c>
      <c r="DR145" s="502" t="str">
        <f t="shared" si="919"/>
        <v/>
      </c>
      <c r="DS145" s="494" t="str">
        <f t="shared" si="920"/>
        <v/>
      </c>
      <c r="DT145" s="494" t="str">
        <f t="shared" si="921"/>
        <v/>
      </c>
      <c r="DU145" s="494" t="str">
        <f t="shared" si="922"/>
        <v/>
      </c>
      <c r="DV145" s="494" t="str">
        <f t="shared" si="923"/>
        <v/>
      </c>
      <c r="DW145" s="494" t="str">
        <f t="shared" si="924"/>
        <v/>
      </c>
      <c r="DX145" s="507" t="str">
        <f t="shared" si="925"/>
        <v/>
      </c>
      <c r="DY145" s="496" t="str">
        <f t="shared" si="926"/>
        <v/>
      </c>
      <c r="DZ145" s="494" t="str">
        <f t="shared" si="927"/>
        <v/>
      </c>
      <c r="EA145" s="495" t="str">
        <f t="shared" si="928"/>
        <v/>
      </c>
      <c r="EB145" s="497" t="str">
        <f t="shared" si="929"/>
        <v/>
      </c>
      <c r="EC145" s="502" t="str">
        <f t="shared" si="930"/>
        <v/>
      </c>
      <c r="ED145" s="494" t="str">
        <f t="shared" si="931"/>
        <v/>
      </c>
      <c r="EE145" s="498" t="str">
        <f t="shared" si="932"/>
        <v/>
      </c>
      <c r="EF145" s="494" t="str">
        <f t="shared" si="933"/>
        <v/>
      </c>
      <c r="EG145" s="495" t="str">
        <f t="shared" si="934"/>
        <v/>
      </c>
      <c r="EH145" s="496" t="str">
        <f t="shared" si="935"/>
        <v/>
      </c>
      <c r="EI145" s="494" t="str">
        <f t="shared" si="936"/>
        <v/>
      </c>
      <c r="EJ145" s="497" t="str">
        <f t="shared" si="937"/>
        <v/>
      </c>
      <c r="EK145" s="509" t="str">
        <f t="shared" si="690"/>
        <v/>
      </c>
      <c r="EL145" s="510" t="str">
        <f t="shared" si="691"/>
        <v/>
      </c>
      <c r="EM145" s="498" t="str">
        <f t="shared" si="938"/>
        <v/>
      </c>
      <c r="EN145" s="494" t="str">
        <f t="shared" si="939"/>
        <v/>
      </c>
      <c r="EO145" s="495" t="str">
        <f t="shared" si="940"/>
        <v/>
      </c>
      <c r="EP145" s="496" t="str">
        <f t="shared" si="941"/>
        <v/>
      </c>
      <c r="EQ145" s="494" t="str">
        <f t="shared" si="942"/>
        <v/>
      </c>
      <c r="ER145" s="500" t="str">
        <f t="shared" si="943"/>
        <v/>
      </c>
      <c r="ES145" s="493" t="str">
        <f t="shared" si="1018"/>
        <v/>
      </c>
      <c r="ET145" s="494" t="str">
        <f t="shared" si="1019"/>
        <v/>
      </c>
      <c r="EU145" s="495" t="str">
        <f t="shared" si="1020"/>
        <v/>
      </c>
      <c r="EV145" s="174" t="str">
        <f t="shared" si="944"/>
        <v/>
      </c>
      <c r="EW145" s="496" t="str">
        <f t="shared" si="945"/>
        <v/>
      </c>
      <c r="EX145" s="494" t="str">
        <f t="shared" si="946"/>
        <v/>
      </c>
      <c r="EY145" s="497" t="str">
        <f t="shared" si="947"/>
        <v/>
      </c>
      <c r="EZ145" s="504" t="str">
        <f t="shared" si="699"/>
        <v/>
      </c>
      <c r="FA145" s="502" t="str">
        <f t="shared" si="764"/>
        <v/>
      </c>
      <c r="FB145" s="494" t="str">
        <f t="shared" si="765"/>
        <v/>
      </c>
      <c r="FC145" s="497" t="str">
        <f t="shared" si="766"/>
        <v/>
      </c>
      <c r="FD145" s="498" t="str">
        <f t="shared" si="948"/>
        <v/>
      </c>
      <c r="FE145" s="494" t="str">
        <f t="shared" si="949"/>
        <v/>
      </c>
      <c r="FF145" s="500" t="str">
        <f t="shared" si="950"/>
        <v/>
      </c>
      <c r="FG145" s="173" t="str">
        <f t="shared" si="951"/>
        <v/>
      </c>
      <c r="FH145" s="5" t="str">
        <f t="shared" si="952"/>
        <v/>
      </c>
      <c r="FI145" s="10" t="str">
        <f t="shared" si="953"/>
        <v/>
      </c>
      <c r="FJ145" s="279" t="str">
        <f t="shared" si="954"/>
        <v/>
      </c>
      <c r="FK145" s="4" t="str">
        <f t="shared" si="955"/>
        <v/>
      </c>
      <c r="FL145" s="5" t="str">
        <f t="shared" si="956"/>
        <v/>
      </c>
      <c r="FM145" s="8" t="str">
        <f t="shared" si="957"/>
        <v/>
      </c>
      <c r="FN145" s="9" t="str">
        <f t="shared" si="958"/>
        <v/>
      </c>
      <c r="FO145" s="10" t="str">
        <f t="shared" si="959"/>
        <v/>
      </c>
      <c r="FP145" s="277" t="str">
        <f t="shared" si="960"/>
        <v/>
      </c>
      <c r="FQ145" s="173" t="str">
        <f t="shared" si="961"/>
        <v/>
      </c>
      <c r="FR145" s="10" t="str">
        <f t="shared" si="962"/>
        <v/>
      </c>
      <c r="FS145" s="9" t="str">
        <f t="shared" si="963"/>
        <v/>
      </c>
      <c r="FT145" s="6" t="str">
        <f t="shared" si="964"/>
        <v/>
      </c>
      <c r="FU145" s="4" t="str">
        <f t="shared" si="965"/>
        <v/>
      </c>
      <c r="FV145" s="5" t="str">
        <f t="shared" si="966"/>
        <v/>
      </c>
      <c r="FW145" s="8" t="str">
        <f t="shared" si="967"/>
        <v/>
      </c>
      <c r="FX145" s="9" t="str">
        <f t="shared" si="968"/>
        <v/>
      </c>
      <c r="FY145" s="10" t="str">
        <f t="shared" si="969"/>
        <v/>
      </c>
      <c r="FZ145" s="277" t="str">
        <f t="shared" si="970"/>
        <v/>
      </c>
      <c r="GA145" s="177" t="str">
        <f t="shared" si="971"/>
        <v/>
      </c>
      <c r="GB145" s="4" t="str">
        <f t="shared" si="972"/>
        <v/>
      </c>
      <c r="GC145" s="5" t="str">
        <f t="shared" si="973"/>
        <v/>
      </c>
      <c r="GD145" s="10" t="str">
        <f t="shared" si="974"/>
        <v/>
      </c>
      <c r="GE145" s="311" t="str">
        <f t="shared" si="975"/>
        <v/>
      </c>
      <c r="GF145" s="341" t="str">
        <f t="shared" si="976"/>
        <v/>
      </c>
      <c r="GG145" s="306" t="str">
        <f t="shared" si="977"/>
        <v/>
      </c>
      <c r="GH145" s="307" t="str">
        <f t="shared" si="978"/>
        <v/>
      </c>
      <c r="GI145" s="308" t="str">
        <f t="shared" si="979"/>
        <v/>
      </c>
      <c r="GJ145" s="167" t="str">
        <f t="shared" si="980"/>
        <v/>
      </c>
      <c r="GK145" s="174" t="str">
        <f t="shared" si="778"/>
        <v/>
      </c>
      <c r="GL145" s="174" t="str">
        <f t="shared" si="981"/>
        <v/>
      </c>
      <c r="GM145" s="177" t="str">
        <f t="shared" si="982"/>
        <v/>
      </c>
      <c r="GN145" s="280" t="str">
        <f t="shared" si="983"/>
        <v/>
      </c>
      <c r="GO145" s="4" t="str">
        <f t="shared" si="984"/>
        <v/>
      </c>
      <c r="GP145" s="8" t="str">
        <f t="shared" si="985"/>
        <v/>
      </c>
      <c r="GQ145" s="177" t="str">
        <f t="shared" si="986"/>
        <v/>
      </c>
      <c r="GR145" s="371" t="str">
        <f t="shared" si="987"/>
        <v/>
      </c>
      <c r="GS145" s="342" t="str">
        <f t="shared" si="988"/>
        <v/>
      </c>
      <c r="GT145" s="343" t="str">
        <f t="shared" si="989"/>
        <v/>
      </c>
      <c r="GU145" s="344" t="str">
        <f t="shared" si="781"/>
        <v/>
      </c>
      <c r="GV145" s="343" t="str">
        <f t="shared" si="990"/>
        <v/>
      </c>
      <c r="GW145" s="345" t="str">
        <f t="shared" si="782"/>
        <v/>
      </c>
      <c r="GX145" s="346" t="str">
        <f t="shared" si="783"/>
        <v/>
      </c>
      <c r="GY145" s="344" t="str">
        <f t="shared" si="991"/>
        <v/>
      </c>
      <c r="GZ145" s="345" t="str">
        <f t="shared" si="992"/>
        <v/>
      </c>
      <c r="HA145" s="342" t="str">
        <f t="shared" si="786"/>
        <v/>
      </c>
      <c r="HB145" s="5" t="str">
        <f t="shared" si="726"/>
        <v/>
      </c>
      <c r="HC145" s="343" t="str">
        <f t="shared" si="993"/>
        <v/>
      </c>
      <c r="HD145" s="363" t="str">
        <f t="shared" si="994"/>
        <v/>
      </c>
      <c r="HE145" s="344" t="str">
        <f t="shared" si="787"/>
        <v/>
      </c>
      <c r="HF145" s="5" t="str">
        <f t="shared" si="788"/>
        <v/>
      </c>
      <c r="HG145" s="343" t="str">
        <f t="shared" si="995"/>
        <v/>
      </c>
      <c r="HH145" s="349" t="str">
        <f t="shared" si="996"/>
        <v/>
      </c>
      <c r="HI145" s="317" t="str">
        <f t="shared" si="1021"/>
        <v/>
      </c>
      <c r="HK145" s="310" t="str">
        <f t="shared" si="1052"/>
        <v/>
      </c>
      <c r="HL145" s="348" t="str">
        <f t="shared" si="1022"/>
        <v/>
      </c>
      <c r="HM145" s="909" t="str">
        <f t="shared" si="1023"/>
        <v/>
      </c>
      <c r="HN145" s="910" t="str">
        <f t="shared" si="1024"/>
        <v/>
      </c>
      <c r="HO145" s="911"/>
      <c r="HP145" s="912"/>
      <c r="HQ145" s="910" t="str">
        <f t="shared" si="1025"/>
        <v/>
      </c>
      <c r="HR145" s="913" t="str">
        <f t="shared" si="1026"/>
        <v/>
      </c>
      <c r="HS145" s="865" t="str">
        <f t="shared" si="997"/>
        <v/>
      </c>
      <c r="HT145" s="875" t="str">
        <f t="shared" si="1027"/>
        <v/>
      </c>
      <c r="HU145" s="876" t="str">
        <f t="shared" si="1028"/>
        <v/>
      </c>
      <c r="HV145" s="872" t="str">
        <f t="shared" si="1029"/>
        <v/>
      </c>
      <c r="HW145" s="866" t="str">
        <f t="shared" si="1030"/>
        <v/>
      </c>
      <c r="HX145" s="867" t="str">
        <f t="shared" si="1031"/>
        <v/>
      </c>
      <c r="HY145" s="866" t="str">
        <f t="shared" si="1032"/>
        <v/>
      </c>
      <c r="HZ145" s="868" t="str">
        <f t="shared" si="1033"/>
        <v/>
      </c>
      <c r="IA145" s="869" t="str">
        <f t="shared" si="1034"/>
        <v/>
      </c>
      <c r="IB145" s="870" t="str">
        <f t="shared" si="1035"/>
        <v/>
      </c>
      <c r="IC145" s="841" t="str">
        <f t="shared" si="1036"/>
        <v/>
      </c>
      <c r="ID145" s="351" t="str">
        <f t="shared" si="1037"/>
        <v/>
      </c>
      <c r="IE145" s="843" t="str">
        <f t="shared" si="1038"/>
        <v/>
      </c>
      <c r="IF145" s="844"/>
      <c r="IG145" s="790" t="str">
        <f>IFERROR(IF($IW145="","",IF($IW145&lt;(((Settings!$C$19/2)*-1)*$IG$8),"Taper","Nose")),"")</f>
        <v/>
      </c>
      <c r="IH145" s="482" t="str">
        <f>IFERROR(IF((((($IY145*COS(RADIANS(180-$JA145)))*COS(RADIANS($JA145)))-(($IZ145*SIN(RADIANS(180-$JA145)))*SIN(RADIANS($JA145))))+$IW145)&lt;(((Settings!$C$19+$IH$8)/2)*-1),"Gage",""),"")</f>
        <v/>
      </c>
      <c r="II145" s="788" t="str">
        <f t="shared" si="1054"/>
        <v/>
      </c>
      <c r="IJ145" s="674" t="str" cm="1">
        <f t="array" ref="IJ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K145" s="677" t="str" cm="1">
        <f t="array" ref="IK145">IFERROR(ROUND(VALUE(IF($IJ145&lt;1,$IJ145+LARGE((IF($M$9:$M$150="",0,$M$9:$M$150)-MOD(IF($M$9:$M$150="",0,$M$9:$M$150),1)),1),$IJ145)),4),"")</f>
        <v/>
      </c>
      <c r="IL145" s="482" t="str">
        <f t="shared" si="1039"/>
        <v/>
      </c>
      <c r="IM145" s="482" t="str">
        <f t="shared" si="1055"/>
        <v/>
      </c>
      <c r="IN145" s="670" t="str">
        <f t="shared" si="1040"/>
        <v/>
      </c>
      <c r="IO145" s="702"/>
      <c r="IP145" s="5" t="str">
        <f t="shared" si="1041"/>
        <v/>
      </c>
      <c r="IQ145" s="714"/>
      <c r="IR145" s="9" t="str">
        <f t="shared" si="1042"/>
        <v/>
      </c>
      <c r="IS145" s="5" t="str">
        <f t="shared" si="1043"/>
        <v/>
      </c>
      <c r="IT145" s="5" t="str">
        <f t="shared" si="1044"/>
        <v/>
      </c>
      <c r="IU145" s="5" t="str">
        <f t="shared" si="1045"/>
        <v/>
      </c>
      <c r="IV145" s="670" t="str">
        <f t="shared" si="1046"/>
        <v/>
      </c>
      <c r="IW145" s="9" t="str">
        <f t="shared" si="1047"/>
        <v/>
      </c>
      <c r="IX145" s="5" t="str">
        <f t="shared" si="1048"/>
        <v/>
      </c>
      <c r="IY145" s="5" t="str">
        <f t="shared" si="1049"/>
        <v/>
      </c>
      <c r="IZ145" s="5" t="str">
        <f t="shared" si="1050"/>
        <v/>
      </c>
      <c r="JA145" s="705" t="str">
        <f t="shared" si="1051"/>
        <v/>
      </c>
    </row>
    <row r="146" spans="1:261" ht="15" customHeight="1" x14ac:dyDescent="0.25">
      <c r="A146" s="75" t="str">
        <f t="shared" si="736"/>
        <v/>
      </c>
      <c r="B146" s="578" t="str">
        <f t="shared" si="845"/>
        <v/>
      </c>
      <c r="C146" s="572" t="str">
        <f t="shared" si="846"/>
        <v/>
      </c>
      <c r="D146" s="576" t="str">
        <f t="shared" si="847"/>
        <v/>
      </c>
      <c r="E146" s="580" t="str">
        <f t="shared" si="848"/>
        <v/>
      </c>
      <c r="F146" s="572" t="str">
        <f t="shared" si="849"/>
        <v/>
      </c>
      <c r="G146" s="579" t="str">
        <f t="shared" si="850"/>
        <v/>
      </c>
      <c r="H146" s="580" t="str">
        <f t="shared" si="851"/>
        <v/>
      </c>
      <c r="I146" s="572" t="str">
        <f t="shared" si="852"/>
        <v/>
      </c>
      <c r="J146" s="483" t="str">
        <f t="shared" si="853"/>
        <v/>
      </c>
      <c r="K146" s="806" t="str">
        <f t="shared" si="854"/>
        <v/>
      </c>
      <c r="L146" s="309"/>
      <c r="M146" s="492" t="str">
        <f t="shared" si="998"/>
        <v/>
      </c>
      <c r="N146" s="581" t="str">
        <f t="shared" si="999"/>
        <v/>
      </c>
      <c r="O146" s="582" t="str">
        <f t="shared" si="1000"/>
        <v/>
      </c>
      <c r="P146" s="583" t="str">
        <f t="shared" si="1001"/>
        <v/>
      </c>
      <c r="Q146" s="536" t="str">
        <f t="shared" si="856"/>
        <v/>
      </c>
      <c r="R146" s="582" t="str">
        <f t="shared" si="857"/>
        <v/>
      </c>
      <c r="S146" s="584" t="str">
        <f t="shared" si="858"/>
        <v/>
      </c>
      <c r="T146" s="585" t="str">
        <f t="shared" si="859"/>
        <v/>
      </c>
      <c r="U146" s="582" t="str">
        <f t="shared" si="860"/>
        <v/>
      </c>
      <c r="V146" s="586" t="str">
        <f t="shared" si="861"/>
        <v/>
      </c>
      <c r="W146" s="536" t="str">
        <f t="shared" si="862"/>
        <v/>
      </c>
      <c r="X146" s="582" t="str">
        <f t="shared" si="863"/>
        <v/>
      </c>
      <c r="Y146" s="587" t="str">
        <f t="shared" si="864"/>
        <v/>
      </c>
      <c r="Z146" s="581" t="str">
        <f t="shared" si="1002"/>
        <v/>
      </c>
      <c r="AA146" s="582" t="str">
        <f t="shared" si="1003"/>
        <v/>
      </c>
      <c r="AB146" s="582" t="str">
        <f t="shared" si="1004"/>
        <v/>
      </c>
      <c r="AC146" s="586" t="str">
        <f t="shared" si="865"/>
        <v/>
      </c>
      <c r="AD146" s="588" t="str">
        <f t="shared" si="866"/>
        <v/>
      </c>
      <c r="AE146" s="582" t="str">
        <f t="shared" si="867"/>
        <v/>
      </c>
      <c r="AF146" s="583" t="str">
        <f t="shared" si="868"/>
        <v/>
      </c>
      <c r="AG146" s="547" t="str">
        <f t="shared" si="869"/>
        <v/>
      </c>
      <c r="AH146" s="548" t="str">
        <f t="shared" si="870"/>
        <v/>
      </c>
      <c r="AI146" s="536" t="str">
        <f t="shared" si="871"/>
        <v/>
      </c>
      <c r="AJ146" s="537" t="str">
        <f t="shared" si="872"/>
        <v/>
      </c>
      <c r="AK146" s="585" t="str">
        <f t="shared" si="873"/>
        <v/>
      </c>
      <c r="AL146" s="582" t="str">
        <f t="shared" si="874"/>
        <v/>
      </c>
      <c r="AM146" s="584" t="str">
        <f t="shared" si="875"/>
        <v/>
      </c>
      <c r="AN146" s="534" t="str">
        <f t="shared" si="876"/>
        <v/>
      </c>
      <c r="AO146" s="535" t="str">
        <f t="shared" si="855"/>
        <v/>
      </c>
      <c r="AP146" s="536" t="str">
        <f t="shared" si="877"/>
        <v/>
      </c>
      <c r="AQ146" s="537" t="str">
        <f t="shared" si="1005"/>
        <v/>
      </c>
      <c r="AS146" s="933" t="str">
        <f t="shared" si="1053"/>
        <v/>
      </c>
      <c r="AT146" s="929" t="str">
        <f t="shared" si="1006"/>
        <v/>
      </c>
      <c r="AU146" s="418"/>
      <c r="AV146" s="164" t="str">
        <f t="shared" si="1007"/>
        <v/>
      </c>
      <c r="AW146" s="832" t="str">
        <f>IFERROR(INDEX(MassProp!C$9:C$150,MATCH($M146,MassProp!$B$9:$B$150,0)),"")</f>
        <v/>
      </c>
      <c r="AX146" s="833" t="str">
        <f>IFERROR(INDEX(MassProp!D$9:D$150,MATCH($M146,MassProp!$B$9:$B$150,0)),"")</f>
        <v/>
      </c>
      <c r="AY146" s="834" t="str">
        <f>IFERROR(INDEX(MassProp!E$9:E$150,MATCH($M146,MassProp!$B$9:$B$150,0)),"")</f>
        <v/>
      </c>
      <c r="AZ146" s="297" t="str">
        <f t="shared" si="878"/>
        <v/>
      </c>
      <c r="BA146" s="505" t="str">
        <f t="shared" si="879"/>
        <v/>
      </c>
      <c r="BB146" s="506" t="str">
        <f t="shared" si="610"/>
        <v/>
      </c>
      <c r="BC146" s="496"/>
      <c r="BD146" s="494" t="str">
        <f t="shared" si="880"/>
        <v/>
      </c>
      <c r="BE146" s="497" t="str">
        <f t="shared" si="1008"/>
        <v/>
      </c>
      <c r="BF146" s="498" t="str">
        <f t="shared" si="1009"/>
        <v/>
      </c>
      <c r="BG146" s="494" t="str">
        <f t="shared" si="1010"/>
        <v/>
      </c>
      <c r="BH146" s="495" t="str">
        <f t="shared" si="1011"/>
        <v/>
      </c>
      <c r="BI146" s="496" t="str">
        <f t="shared" si="881"/>
        <v/>
      </c>
      <c r="BJ146" s="494" t="str">
        <f t="shared" si="1012"/>
        <v/>
      </c>
      <c r="BK146" s="499" t="str">
        <f t="shared" si="1013"/>
        <v/>
      </c>
      <c r="BL146" s="502" t="str">
        <f t="shared" si="1014"/>
        <v/>
      </c>
      <c r="BM146" s="494" t="str">
        <f t="shared" si="1015"/>
        <v/>
      </c>
      <c r="BN146" s="497" t="str">
        <f t="shared" si="1016"/>
        <v/>
      </c>
      <c r="BO146" s="498" t="str">
        <f t="shared" si="882"/>
        <v/>
      </c>
      <c r="BP146" s="494" t="str">
        <f t="shared" si="1056"/>
        <v/>
      </c>
      <c r="BQ146" s="494" t="str">
        <f t="shared" si="883"/>
        <v/>
      </c>
      <c r="BR146" s="497" t="str">
        <f t="shared" si="884"/>
        <v/>
      </c>
      <c r="BS146" s="498" t="str">
        <f t="shared" si="839"/>
        <v/>
      </c>
      <c r="BT146" s="494" t="str">
        <f t="shared" si="839"/>
        <v/>
      </c>
      <c r="BU146" s="495" t="str">
        <f t="shared" si="613"/>
        <v/>
      </c>
      <c r="BV146" s="496" t="str">
        <f t="shared" si="614"/>
        <v/>
      </c>
      <c r="BW146" s="494" t="str">
        <f t="shared" si="615"/>
        <v/>
      </c>
      <c r="BX146" s="499" t="str">
        <f t="shared" si="616"/>
        <v/>
      </c>
      <c r="BY146" s="502" t="str">
        <f t="shared" si="617"/>
        <v/>
      </c>
      <c r="BZ146" s="494" t="str">
        <f t="shared" si="618"/>
        <v/>
      </c>
      <c r="CA146" s="497" t="str">
        <f t="shared" si="619"/>
        <v/>
      </c>
      <c r="CB146" s="498" t="str">
        <f t="shared" si="885"/>
        <v/>
      </c>
      <c r="CC146" s="494" t="str">
        <f t="shared" si="886"/>
        <v/>
      </c>
      <c r="CD146" s="494" t="str">
        <f t="shared" si="887"/>
        <v/>
      </c>
      <c r="CE146" s="497" t="str">
        <f t="shared" si="888"/>
        <v/>
      </c>
      <c r="CF146" s="498" t="str">
        <f t="shared" si="889"/>
        <v/>
      </c>
      <c r="CG146" s="494" t="str">
        <f t="shared" si="890"/>
        <v/>
      </c>
      <c r="CH146" s="494" t="str">
        <f t="shared" si="891"/>
        <v/>
      </c>
      <c r="CI146" s="498" t="str">
        <f t="shared" si="620"/>
        <v/>
      </c>
      <c r="CJ146" s="494" t="str">
        <f t="shared" si="892"/>
        <v/>
      </c>
      <c r="CK146" s="499" t="str">
        <f t="shared" si="893"/>
        <v/>
      </c>
      <c r="CL146" s="502" t="str">
        <f t="shared" si="894"/>
        <v/>
      </c>
      <c r="CM146" s="494" t="str">
        <f t="shared" si="895"/>
        <v/>
      </c>
      <c r="CN146" s="497" t="str">
        <f t="shared" si="896"/>
        <v/>
      </c>
      <c r="CO146" s="507" t="str">
        <f t="shared" si="1017"/>
        <v/>
      </c>
      <c r="CP146" s="498" t="str">
        <f t="shared" si="897"/>
        <v/>
      </c>
      <c r="CQ146" s="494" t="str">
        <f t="shared" si="898"/>
        <v/>
      </c>
      <c r="CR146" s="494" t="str">
        <f t="shared" si="899"/>
        <v/>
      </c>
      <c r="CS146" s="499" t="str">
        <f t="shared" si="900"/>
        <v/>
      </c>
      <c r="CT146" s="496" t="str">
        <f t="shared" si="901"/>
        <v/>
      </c>
      <c r="CU146" s="497" t="str">
        <f t="shared" si="902"/>
        <v/>
      </c>
      <c r="CV146" s="498" t="str">
        <f t="shared" si="903"/>
        <v/>
      </c>
      <c r="CW146" s="494" t="str">
        <f t="shared" si="904"/>
        <v/>
      </c>
      <c r="CX146" s="499" t="str">
        <f t="shared" si="905"/>
        <v/>
      </c>
      <c r="CY146" s="496" t="str">
        <f t="shared" si="906"/>
        <v/>
      </c>
      <c r="CZ146" s="494" t="str">
        <f t="shared" si="907"/>
        <v/>
      </c>
      <c r="DA146" s="497" t="str">
        <f t="shared" si="908"/>
        <v/>
      </c>
      <c r="DB146" s="498" t="str">
        <f t="shared" si="843"/>
        <v/>
      </c>
      <c r="DC146" s="494" t="str">
        <f t="shared" si="843"/>
        <v/>
      </c>
      <c r="DD146" s="495" t="str">
        <f t="shared" si="658"/>
        <v/>
      </c>
      <c r="DE146" s="496" t="str">
        <f t="shared" si="844"/>
        <v/>
      </c>
      <c r="DF146" s="494" t="str">
        <f t="shared" si="844"/>
        <v/>
      </c>
      <c r="DG146" s="495" t="str">
        <f t="shared" si="660"/>
        <v/>
      </c>
      <c r="DH146" s="501" t="str">
        <f t="shared" si="909"/>
        <v/>
      </c>
      <c r="DI146" s="498" t="str">
        <f t="shared" si="910"/>
        <v/>
      </c>
      <c r="DJ146" s="494" t="str">
        <f t="shared" si="911"/>
        <v/>
      </c>
      <c r="DK146" s="495" t="str">
        <f t="shared" si="912"/>
        <v/>
      </c>
      <c r="DL146" s="496" t="str">
        <f t="shared" si="913"/>
        <v/>
      </c>
      <c r="DM146" s="502" t="str">
        <f t="shared" si="914"/>
        <v/>
      </c>
      <c r="DN146" s="508" t="str">
        <f t="shared" si="915"/>
        <v/>
      </c>
      <c r="DO146" s="496" t="str">
        <f t="shared" si="916"/>
        <v/>
      </c>
      <c r="DP146" s="502" t="str">
        <f t="shared" si="917"/>
        <v/>
      </c>
      <c r="DQ146" s="503" t="str">
        <f t="shared" si="918"/>
        <v/>
      </c>
      <c r="DR146" s="502" t="str">
        <f t="shared" si="919"/>
        <v/>
      </c>
      <c r="DS146" s="494" t="str">
        <f t="shared" si="920"/>
        <v/>
      </c>
      <c r="DT146" s="494" t="str">
        <f t="shared" si="921"/>
        <v/>
      </c>
      <c r="DU146" s="494" t="str">
        <f t="shared" si="922"/>
        <v/>
      </c>
      <c r="DV146" s="494" t="str">
        <f t="shared" si="923"/>
        <v/>
      </c>
      <c r="DW146" s="494" t="str">
        <f t="shared" si="924"/>
        <v/>
      </c>
      <c r="DX146" s="507" t="str">
        <f t="shared" si="925"/>
        <v/>
      </c>
      <c r="DY146" s="496" t="str">
        <f t="shared" si="926"/>
        <v/>
      </c>
      <c r="DZ146" s="494" t="str">
        <f t="shared" si="927"/>
        <v/>
      </c>
      <c r="EA146" s="495" t="str">
        <f t="shared" si="928"/>
        <v/>
      </c>
      <c r="EB146" s="497" t="str">
        <f t="shared" si="929"/>
        <v/>
      </c>
      <c r="EC146" s="502" t="str">
        <f t="shared" si="930"/>
        <v/>
      </c>
      <c r="ED146" s="494" t="str">
        <f t="shared" si="931"/>
        <v/>
      </c>
      <c r="EE146" s="498" t="str">
        <f t="shared" si="932"/>
        <v/>
      </c>
      <c r="EF146" s="494" t="str">
        <f t="shared" si="933"/>
        <v/>
      </c>
      <c r="EG146" s="495" t="str">
        <f t="shared" si="934"/>
        <v/>
      </c>
      <c r="EH146" s="496" t="str">
        <f t="shared" si="935"/>
        <v/>
      </c>
      <c r="EI146" s="494" t="str">
        <f t="shared" si="936"/>
        <v/>
      </c>
      <c r="EJ146" s="497" t="str">
        <f t="shared" si="937"/>
        <v/>
      </c>
      <c r="EK146" s="509" t="str">
        <f t="shared" si="690"/>
        <v/>
      </c>
      <c r="EL146" s="510" t="str">
        <f t="shared" si="691"/>
        <v/>
      </c>
      <c r="EM146" s="498" t="str">
        <f t="shared" si="938"/>
        <v/>
      </c>
      <c r="EN146" s="494" t="str">
        <f t="shared" si="939"/>
        <v/>
      </c>
      <c r="EO146" s="495" t="str">
        <f t="shared" si="940"/>
        <v/>
      </c>
      <c r="EP146" s="496" t="str">
        <f t="shared" si="941"/>
        <v/>
      </c>
      <c r="EQ146" s="494" t="str">
        <f t="shared" si="942"/>
        <v/>
      </c>
      <c r="ER146" s="500" t="str">
        <f t="shared" si="943"/>
        <v/>
      </c>
      <c r="ES146" s="493" t="str">
        <f t="shared" si="1018"/>
        <v/>
      </c>
      <c r="ET146" s="494" t="str">
        <f t="shared" si="1019"/>
        <v/>
      </c>
      <c r="EU146" s="495" t="str">
        <f t="shared" si="1020"/>
        <v/>
      </c>
      <c r="EV146" s="174" t="str">
        <f t="shared" si="944"/>
        <v/>
      </c>
      <c r="EW146" s="496" t="str">
        <f t="shared" si="945"/>
        <v/>
      </c>
      <c r="EX146" s="494" t="str">
        <f t="shared" si="946"/>
        <v/>
      </c>
      <c r="EY146" s="497" t="str">
        <f t="shared" si="947"/>
        <v/>
      </c>
      <c r="EZ146" s="504" t="str">
        <f t="shared" si="699"/>
        <v/>
      </c>
      <c r="FA146" s="502" t="str">
        <f t="shared" si="764"/>
        <v/>
      </c>
      <c r="FB146" s="494" t="str">
        <f t="shared" si="765"/>
        <v/>
      </c>
      <c r="FC146" s="497" t="str">
        <f t="shared" si="766"/>
        <v/>
      </c>
      <c r="FD146" s="498" t="str">
        <f t="shared" si="948"/>
        <v/>
      </c>
      <c r="FE146" s="494" t="str">
        <f t="shared" si="949"/>
        <v/>
      </c>
      <c r="FF146" s="500" t="str">
        <f t="shared" si="950"/>
        <v/>
      </c>
      <c r="FG146" s="173" t="str">
        <f t="shared" si="951"/>
        <v/>
      </c>
      <c r="FH146" s="5" t="str">
        <f t="shared" si="952"/>
        <v/>
      </c>
      <c r="FI146" s="10" t="str">
        <f t="shared" si="953"/>
        <v/>
      </c>
      <c r="FJ146" s="279" t="str">
        <f t="shared" si="954"/>
        <v/>
      </c>
      <c r="FK146" s="4" t="str">
        <f t="shared" si="955"/>
        <v/>
      </c>
      <c r="FL146" s="5" t="str">
        <f t="shared" si="956"/>
        <v/>
      </c>
      <c r="FM146" s="8" t="str">
        <f t="shared" si="957"/>
        <v/>
      </c>
      <c r="FN146" s="9" t="str">
        <f t="shared" si="958"/>
        <v/>
      </c>
      <c r="FO146" s="10" t="str">
        <f t="shared" si="959"/>
        <v/>
      </c>
      <c r="FP146" s="277" t="str">
        <f t="shared" si="960"/>
        <v/>
      </c>
      <c r="FQ146" s="173" t="str">
        <f t="shared" si="961"/>
        <v/>
      </c>
      <c r="FR146" s="10" t="str">
        <f t="shared" si="962"/>
        <v/>
      </c>
      <c r="FS146" s="9" t="str">
        <f t="shared" si="963"/>
        <v/>
      </c>
      <c r="FT146" s="6" t="str">
        <f t="shared" si="964"/>
        <v/>
      </c>
      <c r="FU146" s="4" t="str">
        <f t="shared" si="965"/>
        <v/>
      </c>
      <c r="FV146" s="5" t="str">
        <f t="shared" si="966"/>
        <v/>
      </c>
      <c r="FW146" s="8" t="str">
        <f t="shared" si="967"/>
        <v/>
      </c>
      <c r="FX146" s="9" t="str">
        <f t="shared" si="968"/>
        <v/>
      </c>
      <c r="FY146" s="10" t="str">
        <f t="shared" si="969"/>
        <v/>
      </c>
      <c r="FZ146" s="277" t="str">
        <f t="shared" si="970"/>
        <v/>
      </c>
      <c r="GA146" s="177" t="str">
        <f t="shared" si="971"/>
        <v/>
      </c>
      <c r="GB146" s="4" t="str">
        <f t="shared" si="972"/>
        <v/>
      </c>
      <c r="GC146" s="5" t="str">
        <f t="shared" si="973"/>
        <v/>
      </c>
      <c r="GD146" s="10" t="str">
        <f t="shared" si="974"/>
        <v/>
      </c>
      <c r="GE146" s="311" t="str">
        <f t="shared" si="975"/>
        <v/>
      </c>
      <c r="GF146" s="341" t="str">
        <f t="shared" si="976"/>
        <v/>
      </c>
      <c r="GG146" s="306" t="str">
        <f t="shared" si="977"/>
        <v/>
      </c>
      <c r="GH146" s="307" t="str">
        <f t="shared" si="978"/>
        <v/>
      </c>
      <c r="GI146" s="308" t="str">
        <f t="shared" si="979"/>
        <v/>
      </c>
      <c r="GJ146" s="167" t="str">
        <f t="shared" si="980"/>
        <v/>
      </c>
      <c r="GK146" s="174" t="str">
        <f t="shared" si="778"/>
        <v/>
      </c>
      <c r="GL146" s="174" t="str">
        <f t="shared" si="981"/>
        <v/>
      </c>
      <c r="GM146" s="177" t="str">
        <f t="shared" si="982"/>
        <v/>
      </c>
      <c r="GN146" s="280" t="str">
        <f t="shared" si="983"/>
        <v/>
      </c>
      <c r="GO146" s="4" t="str">
        <f t="shared" si="984"/>
        <v/>
      </c>
      <c r="GP146" s="8" t="str">
        <f t="shared" si="985"/>
        <v/>
      </c>
      <c r="GQ146" s="177" t="str">
        <f t="shared" si="986"/>
        <v/>
      </c>
      <c r="GR146" s="371" t="str">
        <f t="shared" si="987"/>
        <v/>
      </c>
      <c r="GS146" s="342" t="str">
        <f t="shared" si="988"/>
        <v/>
      </c>
      <c r="GT146" s="343" t="str">
        <f t="shared" si="989"/>
        <v/>
      </c>
      <c r="GU146" s="344" t="str">
        <f t="shared" si="781"/>
        <v/>
      </c>
      <c r="GV146" s="343" t="str">
        <f t="shared" si="990"/>
        <v/>
      </c>
      <c r="GW146" s="345" t="str">
        <f t="shared" si="782"/>
        <v/>
      </c>
      <c r="GX146" s="346" t="str">
        <f t="shared" si="783"/>
        <v/>
      </c>
      <c r="GY146" s="344" t="str">
        <f t="shared" si="991"/>
        <v/>
      </c>
      <c r="GZ146" s="345" t="str">
        <f t="shared" si="992"/>
        <v/>
      </c>
      <c r="HA146" s="342" t="str">
        <f t="shared" si="786"/>
        <v/>
      </c>
      <c r="HB146" s="5" t="str">
        <f t="shared" si="726"/>
        <v/>
      </c>
      <c r="HC146" s="343" t="str">
        <f t="shared" si="993"/>
        <v/>
      </c>
      <c r="HD146" s="363" t="str">
        <f t="shared" si="994"/>
        <v/>
      </c>
      <c r="HE146" s="344" t="str">
        <f t="shared" si="787"/>
        <v/>
      </c>
      <c r="HF146" s="5" t="str">
        <f t="shared" si="788"/>
        <v/>
      </c>
      <c r="HG146" s="343" t="str">
        <f t="shared" si="995"/>
        <v/>
      </c>
      <c r="HH146" s="349" t="str">
        <f t="shared" si="996"/>
        <v/>
      </c>
      <c r="HI146" s="317" t="str">
        <f t="shared" si="1021"/>
        <v/>
      </c>
      <c r="HK146" s="310" t="str">
        <f t="shared" si="1052"/>
        <v/>
      </c>
      <c r="HL146" s="348" t="str">
        <f t="shared" si="1022"/>
        <v/>
      </c>
      <c r="HM146" s="909" t="str">
        <f t="shared" si="1023"/>
        <v/>
      </c>
      <c r="HN146" s="910" t="str">
        <f t="shared" si="1024"/>
        <v/>
      </c>
      <c r="HO146" s="911"/>
      <c r="HP146" s="912"/>
      <c r="HQ146" s="910" t="str">
        <f t="shared" si="1025"/>
        <v/>
      </c>
      <c r="HR146" s="913" t="str">
        <f t="shared" si="1026"/>
        <v/>
      </c>
      <c r="HS146" s="865" t="str">
        <f t="shared" si="997"/>
        <v/>
      </c>
      <c r="HT146" s="875" t="str">
        <f t="shared" si="1027"/>
        <v/>
      </c>
      <c r="HU146" s="876" t="str">
        <f t="shared" si="1028"/>
        <v/>
      </c>
      <c r="HV146" s="872" t="str">
        <f t="shared" si="1029"/>
        <v/>
      </c>
      <c r="HW146" s="866" t="str">
        <f t="shared" si="1030"/>
        <v/>
      </c>
      <c r="HX146" s="867" t="str">
        <f t="shared" si="1031"/>
        <v/>
      </c>
      <c r="HY146" s="866" t="str">
        <f t="shared" si="1032"/>
        <v/>
      </c>
      <c r="HZ146" s="868" t="str">
        <f t="shared" si="1033"/>
        <v/>
      </c>
      <c r="IA146" s="869" t="str">
        <f t="shared" si="1034"/>
        <v/>
      </c>
      <c r="IB146" s="870" t="str">
        <f t="shared" si="1035"/>
        <v/>
      </c>
      <c r="IC146" s="841" t="str">
        <f t="shared" si="1036"/>
        <v/>
      </c>
      <c r="ID146" s="351" t="str">
        <f t="shared" si="1037"/>
        <v/>
      </c>
      <c r="IE146" s="843" t="str">
        <f t="shared" si="1038"/>
        <v/>
      </c>
      <c r="IF146" s="844"/>
      <c r="IG146" s="790" t="str">
        <f>IFERROR(IF($IW146="","",IF($IW146&lt;(((Settings!$C$19/2)*-1)*$IG$8),"Taper","Nose")),"")</f>
        <v/>
      </c>
      <c r="IH146" s="482" t="str">
        <f>IFERROR(IF((((($IY146*COS(RADIANS(180-$JA146)))*COS(RADIANS($JA146)))-(($IZ146*SIN(RADIANS(180-$JA146)))*SIN(RADIANS($JA146))))+$IW146)&lt;(((Settings!$C$19+$IH$8)/2)*-1),"Gage",""),"")</f>
        <v/>
      </c>
      <c r="II146" s="788" t="str">
        <f t="shared" si="1054"/>
        <v/>
      </c>
      <c r="IJ146" s="674" t="str" cm="1">
        <f t="array" ref="IJ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K146" s="677" t="str" cm="1">
        <f t="array" ref="IK146">IFERROR(ROUND(VALUE(IF($IJ146&lt;1,$IJ146+LARGE((IF($M$9:$M$150="",0,$M$9:$M$150)-MOD(IF($M$9:$M$150="",0,$M$9:$M$150),1)),1),$IJ146)),4),"")</f>
        <v/>
      </c>
      <c r="IL146" s="482" t="str">
        <f t="shared" si="1039"/>
        <v/>
      </c>
      <c r="IM146" s="482" t="str">
        <f t="shared" si="1055"/>
        <v/>
      </c>
      <c r="IN146" s="670" t="str">
        <f t="shared" si="1040"/>
        <v/>
      </c>
      <c r="IO146" s="702"/>
      <c r="IP146" s="5" t="str">
        <f t="shared" si="1041"/>
        <v/>
      </c>
      <c r="IQ146" s="714"/>
      <c r="IR146" s="9" t="str">
        <f t="shared" si="1042"/>
        <v/>
      </c>
      <c r="IS146" s="5" t="str">
        <f t="shared" si="1043"/>
        <v/>
      </c>
      <c r="IT146" s="5" t="str">
        <f t="shared" si="1044"/>
        <v/>
      </c>
      <c r="IU146" s="5" t="str">
        <f t="shared" si="1045"/>
        <v/>
      </c>
      <c r="IV146" s="670" t="str">
        <f t="shared" si="1046"/>
        <v/>
      </c>
      <c r="IW146" s="9" t="str">
        <f t="shared" si="1047"/>
        <v/>
      </c>
      <c r="IX146" s="5" t="str">
        <f t="shared" si="1048"/>
        <v/>
      </c>
      <c r="IY146" s="5" t="str">
        <f t="shared" si="1049"/>
        <v/>
      </c>
      <c r="IZ146" s="5" t="str">
        <f t="shared" si="1050"/>
        <v/>
      </c>
      <c r="JA146" s="705" t="str">
        <f t="shared" si="1051"/>
        <v/>
      </c>
    </row>
    <row r="147" spans="1:261" ht="15" customHeight="1" x14ac:dyDescent="0.25">
      <c r="A147" s="75" t="str">
        <f t="shared" si="736"/>
        <v/>
      </c>
      <c r="B147" s="578" t="str">
        <f t="shared" si="845"/>
        <v/>
      </c>
      <c r="C147" s="572" t="str">
        <f t="shared" si="846"/>
        <v/>
      </c>
      <c r="D147" s="576" t="str">
        <f t="shared" si="847"/>
        <v/>
      </c>
      <c r="E147" s="580" t="str">
        <f t="shared" si="848"/>
        <v/>
      </c>
      <c r="F147" s="572" t="str">
        <f t="shared" si="849"/>
        <v/>
      </c>
      <c r="G147" s="579" t="str">
        <f t="shared" si="850"/>
        <v/>
      </c>
      <c r="H147" s="580" t="str">
        <f t="shared" si="851"/>
        <v/>
      </c>
      <c r="I147" s="572" t="str">
        <f t="shared" si="852"/>
        <v/>
      </c>
      <c r="J147" s="483" t="str">
        <f t="shared" si="853"/>
        <v/>
      </c>
      <c r="K147" s="806" t="str">
        <f t="shared" si="854"/>
        <v/>
      </c>
      <c r="L147" s="309"/>
      <c r="M147" s="492" t="str">
        <f t="shared" si="998"/>
        <v/>
      </c>
      <c r="N147" s="581" t="str">
        <f t="shared" si="999"/>
        <v/>
      </c>
      <c r="O147" s="582" t="str">
        <f t="shared" si="1000"/>
        <v/>
      </c>
      <c r="P147" s="583" t="str">
        <f t="shared" si="1001"/>
        <v/>
      </c>
      <c r="Q147" s="536" t="str">
        <f t="shared" si="856"/>
        <v/>
      </c>
      <c r="R147" s="582" t="str">
        <f t="shared" si="857"/>
        <v/>
      </c>
      <c r="S147" s="584" t="str">
        <f t="shared" si="858"/>
        <v/>
      </c>
      <c r="T147" s="585" t="str">
        <f t="shared" si="859"/>
        <v/>
      </c>
      <c r="U147" s="582" t="str">
        <f t="shared" si="860"/>
        <v/>
      </c>
      <c r="V147" s="586" t="str">
        <f t="shared" si="861"/>
        <v/>
      </c>
      <c r="W147" s="536" t="str">
        <f t="shared" si="862"/>
        <v/>
      </c>
      <c r="X147" s="582" t="str">
        <f t="shared" si="863"/>
        <v/>
      </c>
      <c r="Y147" s="587" t="str">
        <f t="shared" si="864"/>
        <v/>
      </c>
      <c r="Z147" s="581" t="str">
        <f t="shared" si="1002"/>
        <v/>
      </c>
      <c r="AA147" s="582" t="str">
        <f t="shared" si="1003"/>
        <v/>
      </c>
      <c r="AB147" s="582" t="str">
        <f t="shared" si="1004"/>
        <v/>
      </c>
      <c r="AC147" s="586" t="str">
        <f t="shared" si="865"/>
        <v/>
      </c>
      <c r="AD147" s="588" t="str">
        <f t="shared" si="866"/>
        <v/>
      </c>
      <c r="AE147" s="582" t="str">
        <f t="shared" si="867"/>
        <v/>
      </c>
      <c r="AF147" s="583" t="str">
        <f t="shared" si="868"/>
        <v/>
      </c>
      <c r="AG147" s="547" t="str">
        <f t="shared" si="869"/>
        <v/>
      </c>
      <c r="AH147" s="548" t="str">
        <f t="shared" si="870"/>
        <v/>
      </c>
      <c r="AI147" s="536" t="str">
        <f t="shared" si="871"/>
        <v/>
      </c>
      <c r="AJ147" s="537" t="str">
        <f t="shared" si="872"/>
        <v/>
      </c>
      <c r="AK147" s="585" t="str">
        <f t="shared" si="873"/>
        <v/>
      </c>
      <c r="AL147" s="582" t="str">
        <f t="shared" si="874"/>
        <v/>
      </c>
      <c r="AM147" s="584" t="str">
        <f t="shared" si="875"/>
        <v/>
      </c>
      <c r="AN147" s="534" t="str">
        <f t="shared" si="876"/>
        <v/>
      </c>
      <c r="AO147" s="535" t="str">
        <f t="shared" si="855"/>
        <v/>
      </c>
      <c r="AP147" s="536" t="str">
        <f t="shared" si="877"/>
        <v/>
      </c>
      <c r="AQ147" s="537" t="str">
        <f t="shared" si="1005"/>
        <v/>
      </c>
      <c r="AS147" s="933" t="str">
        <f t="shared" si="1053"/>
        <v/>
      </c>
      <c r="AT147" s="929" t="str">
        <f t="shared" si="1006"/>
        <v/>
      </c>
      <c r="AU147" s="418"/>
      <c r="AV147" s="164" t="str">
        <f t="shared" si="1007"/>
        <v/>
      </c>
      <c r="AW147" s="832" t="str">
        <f>IFERROR(INDEX(MassProp!C$9:C$150,MATCH($M147,MassProp!$B$9:$B$150,0)),"")</f>
        <v/>
      </c>
      <c r="AX147" s="833" t="str">
        <f>IFERROR(INDEX(MassProp!D$9:D$150,MATCH($M147,MassProp!$B$9:$B$150,0)),"")</f>
        <v/>
      </c>
      <c r="AY147" s="834" t="str">
        <f>IFERROR(INDEX(MassProp!E$9:E$150,MATCH($M147,MassProp!$B$9:$B$150,0)),"")</f>
        <v/>
      </c>
      <c r="AZ147" s="297" t="str">
        <f t="shared" si="878"/>
        <v/>
      </c>
      <c r="BA147" s="505" t="str">
        <f t="shared" si="879"/>
        <v/>
      </c>
      <c r="BB147" s="506" t="str">
        <f t="shared" si="610"/>
        <v/>
      </c>
      <c r="BC147" s="496"/>
      <c r="BD147" s="494" t="str">
        <f t="shared" si="880"/>
        <v/>
      </c>
      <c r="BE147" s="497" t="str">
        <f t="shared" si="1008"/>
        <v/>
      </c>
      <c r="BF147" s="498" t="str">
        <f t="shared" si="1009"/>
        <v/>
      </c>
      <c r="BG147" s="494" t="str">
        <f t="shared" si="1010"/>
        <v/>
      </c>
      <c r="BH147" s="495" t="str">
        <f t="shared" si="1011"/>
        <v/>
      </c>
      <c r="BI147" s="496" t="str">
        <f t="shared" si="881"/>
        <v/>
      </c>
      <c r="BJ147" s="494" t="str">
        <f t="shared" si="1012"/>
        <v/>
      </c>
      <c r="BK147" s="499" t="str">
        <f t="shared" si="1013"/>
        <v/>
      </c>
      <c r="BL147" s="502" t="str">
        <f t="shared" si="1014"/>
        <v/>
      </c>
      <c r="BM147" s="494" t="str">
        <f t="shared" si="1015"/>
        <v/>
      </c>
      <c r="BN147" s="497" t="str">
        <f t="shared" si="1016"/>
        <v/>
      </c>
      <c r="BO147" s="498" t="str">
        <f t="shared" si="882"/>
        <v/>
      </c>
      <c r="BP147" s="494" t="str">
        <f t="shared" si="1056"/>
        <v/>
      </c>
      <c r="BQ147" s="494" t="str">
        <f t="shared" si="883"/>
        <v/>
      </c>
      <c r="BR147" s="497" t="str">
        <f t="shared" si="884"/>
        <v/>
      </c>
      <c r="BS147" s="498" t="str">
        <f t="shared" si="839"/>
        <v/>
      </c>
      <c r="BT147" s="494" t="str">
        <f t="shared" si="839"/>
        <v/>
      </c>
      <c r="BU147" s="495" t="str">
        <f t="shared" si="613"/>
        <v/>
      </c>
      <c r="BV147" s="496" t="str">
        <f t="shared" si="614"/>
        <v/>
      </c>
      <c r="BW147" s="494" t="str">
        <f t="shared" si="615"/>
        <v/>
      </c>
      <c r="BX147" s="499" t="str">
        <f t="shared" si="616"/>
        <v/>
      </c>
      <c r="BY147" s="502" t="str">
        <f t="shared" si="617"/>
        <v/>
      </c>
      <c r="BZ147" s="494" t="str">
        <f t="shared" si="618"/>
        <v/>
      </c>
      <c r="CA147" s="497" t="str">
        <f t="shared" si="619"/>
        <v/>
      </c>
      <c r="CB147" s="498" t="str">
        <f t="shared" si="885"/>
        <v/>
      </c>
      <c r="CC147" s="494" t="str">
        <f t="shared" si="886"/>
        <v/>
      </c>
      <c r="CD147" s="494" t="str">
        <f t="shared" si="887"/>
        <v/>
      </c>
      <c r="CE147" s="497" t="str">
        <f t="shared" si="888"/>
        <v/>
      </c>
      <c r="CF147" s="498" t="str">
        <f t="shared" si="889"/>
        <v/>
      </c>
      <c r="CG147" s="494" t="str">
        <f t="shared" si="890"/>
        <v/>
      </c>
      <c r="CH147" s="494" t="str">
        <f t="shared" si="891"/>
        <v/>
      </c>
      <c r="CI147" s="498" t="str">
        <f t="shared" si="620"/>
        <v/>
      </c>
      <c r="CJ147" s="494" t="str">
        <f t="shared" si="892"/>
        <v/>
      </c>
      <c r="CK147" s="499" t="str">
        <f t="shared" si="893"/>
        <v/>
      </c>
      <c r="CL147" s="502" t="str">
        <f t="shared" si="894"/>
        <v/>
      </c>
      <c r="CM147" s="494" t="str">
        <f t="shared" si="895"/>
        <v/>
      </c>
      <c r="CN147" s="497" t="str">
        <f t="shared" si="896"/>
        <v/>
      </c>
      <c r="CO147" s="507" t="str">
        <f t="shared" si="1017"/>
        <v/>
      </c>
      <c r="CP147" s="498" t="str">
        <f t="shared" si="897"/>
        <v/>
      </c>
      <c r="CQ147" s="494" t="str">
        <f t="shared" si="898"/>
        <v/>
      </c>
      <c r="CR147" s="494" t="str">
        <f t="shared" si="899"/>
        <v/>
      </c>
      <c r="CS147" s="499" t="str">
        <f t="shared" si="900"/>
        <v/>
      </c>
      <c r="CT147" s="496" t="str">
        <f t="shared" si="901"/>
        <v/>
      </c>
      <c r="CU147" s="497" t="str">
        <f t="shared" si="902"/>
        <v/>
      </c>
      <c r="CV147" s="498" t="str">
        <f t="shared" si="903"/>
        <v/>
      </c>
      <c r="CW147" s="494" t="str">
        <f t="shared" si="904"/>
        <v/>
      </c>
      <c r="CX147" s="499" t="str">
        <f t="shared" si="905"/>
        <v/>
      </c>
      <c r="CY147" s="496" t="str">
        <f t="shared" si="906"/>
        <v/>
      </c>
      <c r="CZ147" s="494" t="str">
        <f t="shared" si="907"/>
        <v/>
      </c>
      <c r="DA147" s="497" t="str">
        <f t="shared" si="908"/>
        <v/>
      </c>
      <c r="DB147" s="498" t="str">
        <f t="shared" si="843"/>
        <v/>
      </c>
      <c r="DC147" s="494" t="str">
        <f t="shared" si="843"/>
        <v/>
      </c>
      <c r="DD147" s="495" t="str">
        <f t="shared" si="658"/>
        <v/>
      </c>
      <c r="DE147" s="496" t="str">
        <f t="shared" si="844"/>
        <v/>
      </c>
      <c r="DF147" s="494" t="str">
        <f t="shared" si="844"/>
        <v/>
      </c>
      <c r="DG147" s="495" t="str">
        <f t="shared" si="660"/>
        <v/>
      </c>
      <c r="DH147" s="501" t="str">
        <f t="shared" si="909"/>
        <v/>
      </c>
      <c r="DI147" s="498" t="str">
        <f t="shared" si="910"/>
        <v/>
      </c>
      <c r="DJ147" s="494" t="str">
        <f t="shared" si="911"/>
        <v/>
      </c>
      <c r="DK147" s="495" t="str">
        <f t="shared" si="912"/>
        <v/>
      </c>
      <c r="DL147" s="496" t="str">
        <f t="shared" si="913"/>
        <v/>
      </c>
      <c r="DM147" s="502" t="str">
        <f t="shared" si="914"/>
        <v/>
      </c>
      <c r="DN147" s="508" t="str">
        <f t="shared" si="915"/>
        <v/>
      </c>
      <c r="DO147" s="496" t="str">
        <f t="shared" si="916"/>
        <v/>
      </c>
      <c r="DP147" s="502" t="str">
        <f t="shared" si="917"/>
        <v/>
      </c>
      <c r="DQ147" s="503" t="str">
        <f t="shared" si="918"/>
        <v/>
      </c>
      <c r="DR147" s="502" t="str">
        <f t="shared" si="919"/>
        <v/>
      </c>
      <c r="DS147" s="494" t="str">
        <f t="shared" si="920"/>
        <v/>
      </c>
      <c r="DT147" s="494" t="str">
        <f t="shared" si="921"/>
        <v/>
      </c>
      <c r="DU147" s="494" t="str">
        <f t="shared" si="922"/>
        <v/>
      </c>
      <c r="DV147" s="494" t="str">
        <f t="shared" si="923"/>
        <v/>
      </c>
      <c r="DW147" s="494" t="str">
        <f t="shared" si="924"/>
        <v/>
      </c>
      <c r="DX147" s="507" t="str">
        <f t="shared" si="925"/>
        <v/>
      </c>
      <c r="DY147" s="496" t="str">
        <f t="shared" si="926"/>
        <v/>
      </c>
      <c r="DZ147" s="494" t="str">
        <f t="shared" si="927"/>
        <v/>
      </c>
      <c r="EA147" s="495" t="str">
        <f t="shared" si="928"/>
        <v/>
      </c>
      <c r="EB147" s="497" t="str">
        <f t="shared" si="929"/>
        <v/>
      </c>
      <c r="EC147" s="502" t="str">
        <f t="shared" si="930"/>
        <v/>
      </c>
      <c r="ED147" s="494" t="str">
        <f t="shared" si="931"/>
        <v/>
      </c>
      <c r="EE147" s="498" t="str">
        <f t="shared" si="932"/>
        <v/>
      </c>
      <c r="EF147" s="494" t="str">
        <f t="shared" si="933"/>
        <v/>
      </c>
      <c r="EG147" s="495" t="str">
        <f t="shared" si="934"/>
        <v/>
      </c>
      <c r="EH147" s="496" t="str">
        <f t="shared" si="935"/>
        <v/>
      </c>
      <c r="EI147" s="494" t="str">
        <f t="shared" si="936"/>
        <v/>
      </c>
      <c r="EJ147" s="497" t="str">
        <f t="shared" si="937"/>
        <v/>
      </c>
      <c r="EK147" s="509" t="str">
        <f t="shared" si="690"/>
        <v/>
      </c>
      <c r="EL147" s="510" t="str">
        <f t="shared" si="691"/>
        <v/>
      </c>
      <c r="EM147" s="498" t="str">
        <f t="shared" si="938"/>
        <v/>
      </c>
      <c r="EN147" s="494" t="str">
        <f t="shared" si="939"/>
        <v/>
      </c>
      <c r="EO147" s="495" t="str">
        <f t="shared" si="940"/>
        <v/>
      </c>
      <c r="EP147" s="496" t="str">
        <f t="shared" si="941"/>
        <v/>
      </c>
      <c r="EQ147" s="494" t="str">
        <f t="shared" si="942"/>
        <v/>
      </c>
      <c r="ER147" s="500" t="str">
        <f t="shared" si="943"/>
        <v/>
      </c>
      <c r="ES147" s="493" t="str">
        <f t="shared" si="1018"/>
        <v/>
      </c>
      <c r="ET147" s="494" t="str">
        <f t="shared" si="1019"/>
        <v/>
      </c>
      <c r="EU147" s="495" t="str">
        <f t="shared" si="1020"/>
        <v/>
      </c>
      <c r="EV147" s="174" t="str">
        <f t="shared" si="944"/>
        <v/>
      </c>
      <c r="EW147" s="496" t="str">
        <f t="shared" si="945"/>
        <v/>
      </c>
      <c r="EX147" s="494" t="str">
        <f t="shared" si="946"/>
        <v/>
      </c>
      <c r="EY147" s="497" t="str">
        <f t="shared" si="947"/>
        <v/>
      </c>
      <c r="EZ147" s="504" t="str">
        <f t="shared" si="699"/>
        <v/>
      </c>
      <c r="FA147" s="502" t="str">
        <f t="shared" si="764"/>
        <v/>
      </c>
      <c r="FB147" s="494" t="str">
        <f t="shared" si="765"/>
        <v/>
      </c>
      <c r="FC147" s="497" t="str">
        <f t="shared" si="766"/>
        <v/>
      </c>
      <c r="FD147" s="498" t="str">
        <f t="shared" si="948"/>
        <v/>
      </c>
      <c r="FE147" s="494" t="str">
        <f t="shared" si="949"/>
        <v/>
      </c>
      <c r="FF147" s="500" t="str">
        <f t="shared" si="950"/>
        <v/>
      </c>
      <c r="FG147" s="173" t="str">
        <f t="shared" si="951"/>
        <v/>
      </c>
      <c r="FH147" s="5" t="str">
        <f t="shared" si="952"/>
        <v/>
      </c>
      <c r="FI147" s="10" t="str">
        <f t="shared" si="953"/>
        <v/>
      </c>
      <c r="FJ147" s="279" t="str">
        <f t="shared" si="954"/>
        <v/>
      </c>
      <c r="FK147" s="4" t="str">
        <f t="shared" si="955"/>
        <v/>
      </c>
      <c r="FL147" s="5" t="str">
        <f t="shared" si="956"/>
        <v/>
      </c>
      <c r="FM147" s="8" t="str">
        <f t="shared" si="957"/>
        <v/>
      </c>
      <c r="FN147" s="9" t="str">
        <f t="shared" si="958"/>
        <v/>
      </c>
      <c r="FO147" s="10" t="str">
        <f t="shared" si="959"/>
        <v/>
      </c>
      <c r="FP147" s="277" t="str">
        <f t="shared" si="960"/>
        <v/>
      </c>
      <c r="FQ147" s="173" t="str">
        <f t="shared" si="961"/>
        <v/>
      </c>
      <c r="FR147" s="10" t="str">
        <f t="shared" si="962"/>
        <v/>
      </c>
      <c r="FS147" s="9" t="str">
        <f t="shared" si="963"/>
        <v/>
      </c>
      <c r="FT147" s="6" t="str">
        <f t="shared" si="964"/>
        <v/>
      </c>
      <c r="FU147" s="4" t="str">
        <f t="shared" si="965"/>
        <v/>
      </c>
      <c r="FV147" s="5" t="str">
        <f t="shared" si="966"/>
        <v/>
      </c>
      <c r="FW147" s="8" t="str">
        <f t="shared" si="967"/>
        <v/>
      </c>
      <c r="FX147" s="9" t="str">
        <f t="shared" si="968"/>
        <v/>
      </c>
      <c r="FY147" s="10" t="str">
        <f t="shared" si="969"/>
        <v/>
      </c>
      <c r="FZ147" s="277" t="str">
        <f t="shared" si="970"/>
        <v/>
      </c>
      <c r="GA147" s="177" t="str">
        <f t="shared" si="971"/>
        <v/>
      </c>
      <c r="GB147" s="4" t="str">
        <f t="shared" si="972"/>
        <v/>
      </c>
      <c r="GC147" s="5" t="str">
        <f t="shared" si="973"/>
        <v/>
      </c>
      <c r="GD147" s="10" t="str">
        <f t="shared" si="974"/>
        <v/>
      </c>
      <c r="GE147" s="311" t="str">
        <f t="shared" si="975"/>
        <v/>
      </c>
      <c r="GF147" s="341" t="str">
        <f t="shared" si="976"/>
        <v/>
      </c>
      <c r="GG147" s="306" t="str">
        <f t="shared" si="977"/>
        <v/>
      </c>
      <c r="GH147" s="307" t="str">
        <f t="shared" si="978"/>
        <v/>
      </c>
      <c r="GI147" s="308" t="str">
        <f t="shared" si="979"/>
        <v/>
      </c>
      <c r="GJ147" s="167" t="str">
        <f t="shared" si="980"/>
        <v/>
      </c>
      <c r="GK147" s="174" t="str">
        <f t="shared" si="778"/>
        <v/>
      </c>
      <c r="GL147" s="174" t="str">
        <f t="shared" si="981"/>
        <v/>
      </c>
      <c r="GM147" s="177" t="str">
        <f t="shared" si="982"/>
        <v/>
      </c>
      <c r="GN147" s="280" t="str">
        <f t="shared" si="983"/>
        <v/>
      </c>
      <c r="GO147" s="4" t="str">
        <f t="shared" si="984"/>
        <v/>
      </c>
      <c r="GP147" s="8" t="str">
        <f t="shared" si="985"/>
        <v/>
      </c>
      <c r="GQ147" s="177" t="str">
        <f t="shared" si="986"/>
        <v/>
      </c>
      <c r="GR147" s="371" t="str">
        <f t="shared" si="987"/>
        <v/>
      </c>
      <c r="GS147" s="342" t="str">
        <f t="shared" si="988"/>
        <v/>
      </c>
      <c r="GT147" s="343" t="str">
        <f t="shared" si="989"/>
        <v/>
      </c>
      <c r="GU147" s="344" t="str">
        <f t="shared" si="781"/>
        <v/>
      </c>
      <c r="GV147" s="343" t="str">
        <f t="shared" si="990"/>
        <v/>
      </c>
      <c r="GW147" s="345" t="str">
        <f t="shared" si="782"/>
        <v/>
      </c>
      <c r="GX147" s="346" t="str">
        <f t="shared" si="783"/>
        <v/>
      </c>
      <c r="GY147" s="344" t="str">
        <f t="shared" si="991"/>
        <v/>
      </c>
      <c r="GZ147" s="345" t="str">
        <f t="shared" si="992"/>
        <v/>
      </c>
      <c r="HA147" s="342" t="str">
        <f t="shared" si="786"/>
        <v/>
      </c>
      <c r="HB147" s="5" t="str">
        <f t="shared" si="726"/>
        <v/>
      </c>
      <c r="HC147" s="343" t="str">
        <f t="shared" si="993"/>
        <v/>
      </c>
      <c r="HD147" s="363" t="str">
        <f t="shared" si="994"/>
        <v/>
      </c>
      <c r="HE147" s="344" t="str">
        <f t="shared" si="787"/>
        <v/>
      </c>
      <c r="HF147" s="5" t="str">
        <f t="shared" si="788"/>
        <v/>
      </c>
      <c r="HG147" s="343" t="str">
        <f t="shared" si="995"/>
        <v/>
      </c>
      <c r="HH147" s="349" t="str">
        <f t="shared" si="996"/>
        <v/>
      </c>
      <c r="HI147" s="317" t="str">
        <f t="shared" si="1021"/>
        <v/>
      </c>
      <c r="HK147" s="310" t="str">
        <f t="shared" si="1052"/>
        <v/>
      </c>
      <c r="HL147" s="348" t="str">
        <f t="shared" si="1022"/>
        <v/>
      </c>
      <c r="HM147" s="909" t="str">
        <f t="shared" si="1023"/>
        <v/>
      </c>
      <c r="HN147" s="910" t="str">
        <f t="shared" si="1024"/>
        <v/>
      </c>
      <c r="HO147" s="911"/>
      <c r="HP147" s="912"/>
      <c r="HQ147" s="910" t="str">
        <f t="shared" si="1025"/>
        <v/>
      </c>
      <c r="HR147" s="913" t="str">
        <f t="shared" si="1026"/>
        <v/>
      </c>
      <c r="HS147" s="865" t="str">
        <f t="shared" si="997"/>
        <v/>
      </c>
      <c r="HT147" s="875" t="str">
        <f t="shared" si="1027"/>
        <v/>
      </c>
      <c r="HU147" s="876" t="str">
        <f t="shared" si="1028"/>
        <v/>
      </c>
      <c r="HV147" s="872" t="str">
        <f t="shared" si="1029"/>
        <v/>
      </c>
      <c r="HW147" s="866" t="str">
        <f t="shared" si="1030"/>
        <v/>
      </c>
      <c r="HX147" s="867" t="str">
        <f t="shared" si="1031"/>
        <v/>
      </c>
      <c r="HY147" s="866" t="str">
        <f t="shared" si="1032"/>
        <v/>
      </c>
      <c r="HZ147" s="868" t="str">
        <f t="shared" si="1033"/>
        <v/>
      </c>
      <c r="IA147" s="869" t="str">
        <f t="shared" si="1034"/>
        <v/>
      </c>
      <c r="IB147" s="870" t="str">
        <f t="shared" si="1035"/>
        <v/>
      </c>
      <c r="IC147" s="841" t="str">
        <f t="shared" si="1036"/>
        <v/>
      </c>
      <c r="ID147" s="351" t="str">
        <f t="shared" si="1037"/>
        <v/>
      </c>
      <c r="IE147" s="843" t="str">
        <f t="shared" si="1038"/>
        <v/>
      </c>
      <c r="IF147" s="844"/>
      <c r="IG147" s="790" t="str">
        <f>IFERROR(IF($IW147="","",IF($IW147&lt;(((Settings!$C$19/2)*-1)*$IG$8),"Taper","Nose")),"")</f>
        <v/>
      </c>
      <c r="IH147" s="482" t="str">
        <f>IFERROR(IF((((($IY147*COS(RADIANS(180-$JA147)))*COS(RADIANS($JA147)))-(($IZ147*SIN(RADIANS(180-$JA147)))*SIN(RADIANS($JA147))))+$IW147)&lt;(((Settings!$C$19+$IH$8)/2)*-1),"Gage",""),"")</f>
        <v/>
      </c>
      <c r="II147" s="788" t="str">
        <f t="shared" si="1054"/>
        <v/>
      </c>
      <c r="IJ147" s="674" t="str" cm="1">
        <f t="array" ref="IJ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K147" s="677" t="str" cm="1">
        <f t="array" ref="IK147">IFERROR(ROUND(VALUE(IF($IJ147&lt;1,$IJ147+LARGE((IF($M$9:$M$150="",0,$M$9:$M$150)-MOD(IF($M$9:$M$150="",0,$M$9:$M$150),1)),1),$IJ147)),4),"")</f>
        <v/>
      </c>
      <c r="IL147" s="482" t="str">
        <f t="shared" si="1039"/>
        <v/>
      </c>
      <c r="IM147" s="482" t="str">
        <f t="shared" si="1055"/>
        <v/>
      </c>
      <c r="IN147" s="670" t="str">
        <f t="shared" si="1040"/>
        <v/>
      </c>
      <c r="IO147" s="702"/>
      <c r="IP147" s="5" t="str">
        <f t="shared" si="1041"/>
        <v/>
      </c>
      <c r="IQ147" s="714"/>
      <c r="IR147" s="9" t="str">
        <f t="shared" si="1042"/>
        <v/>
      </c>
      <c r="IS147" s="5" t="str">
        <f t="shared" si="1043"/>
        <v/>
      </c>
      <c r="IT147" s="5" t="str">
        <f t="shared" si="1044"/>
        <v/>
      </c>
      <c r="IU147" s="5" t="str">
        <f t="shared" si="1045"/>
        <v/>
      </c>
      <c r="IV147" s="670" t="str">
        <f t="shared" si="1046"/>
        <v/>
      </c>
      <c r="IW147" s="9" t="str">
        <f t="shared" si="1047"/>
        <v/>
      </c>
      <c r="IX147" s="5" t="str">
        <f t="shared" si="1048"/>
        <v/>
      </c>
      <c r="IY147" s="5" t="str">
        <f t="shared" si="1049"/>
        <v/>
      </c>
      <c r="IZ147" s="5" t="str">
        <f t="shared" si="1050"/>
        <v/>
      </c>
      <c r="JA147" s="705" t="str">
        <f t="shared" si="1051"/>
        <v/>
      </c>
    </row>
    <row r="148" spans="1:261" ht="15" customHeight="1" x14ac:dyDescent="0.25">
      <c r="A148" s="75" t="str">
        <f t="shared" si="736"/>
        <v/>
      </c>
      <c r="B148" s="578" t="str">
        <f t="shared" si="845"/>
        <v/>
      </c>
      <c r="C148" s="572" t="str">
        <f t="shared" si="846"/>
        <v/>
      </c>
      <c r="D148" s="576" t="str">
        <f t="shared" si="847"/>
        <v/>
      </c>
      <c r="E148" s="580" t="str">
        <f t="shared" si="848"/>
        <v/>
      </c>
      <c r="F148" s="572" t="str">
        <f t="shared" si="849"/>
        <v/>
      </c>
      <c r="G148" s="579" t="str">
        <f t="shared" si="850"/>
        <v/>
      </c>
      <c r="H148" s="580" t="str">
        <f t="shared" si="851"/>
        <v/>
      </c>
      <c r="I148" s="572" t="str">
        <f t="shared" si="852"/>
        <v/>
      </c>
      <c r="J148" s="483" t="str">
        <f t="shared" si="853"/>
        <v/>
      </c>
      <c r="K148" s="806" t="str">
        <f t="shared" si="854"/>
        <v/>
      </c>
      <c r="L148" s="309"/>
      <c r="M148" s="492" t="str">
        <f t="shared" si="998"/>
        <v/>
      </c>
      <c r="N148" s="581" t="str">
        <f t="shared" si="999"/>
        <v/>
      </c>
      <c r="O148" s="582" t="str">
        <f t="shared" si="1000"/>
        <v/>
      </c>
      <c r="P148" s="583" t="str">
        <f t="shared" si="1001"/>
        <v/>
      </c>
      <c r="Q148" s="536" t="str">
        <f t="shared" si="856"/>
        <v/>
      </c>
      <c r="R148" s="582" t="str">
        <f t="shared" si="857"/>
        <v/>
      </c>
      <c r="S148" s="584" t="str">
        <f t="shared" si="858"/>
        <v/>
      </c>
      <c r="T148" s="585" t="str">
        <f t="shared" si="859"/>
        <v/>
      </c>
      <c r="U148" s="582" t="str">
        <f t="shared" si="860"/>
        <v/>
      </c>
      <c r="V148" s="586" t="str">
        <f t="shared" si="861"/>
        <v/>
      </c>
      <c r="W148" s="536" t="str">
        <f t="shared" si="862"/>
        <v/>
      </c>
      <c r="X148" s="582" t="str">
        <f t="shared" si="863"/>
        <v/>
      </c>
      <c r="Y148" s="587" t="str">
        <f t="shared" si="864"/>
        <v/>
      </c>
      <c r="Z148" s="581" t="str">
        <f t="shared" si="1002"/>
        <v/>
      </c>
      <c r="AA148" s="582" t="str">
        <f t="shared" si="1003"/>
        <v/>
      </c>
      <c r="AB148" s="582" t="str">
        <f t="shared" si="1004"/>
        <v/>
      </c>
      <c r="AC148" s="586" t="str">
        <f t="shared" si="865"/>
        <v/>
      </c>
      <c r="AD148" s="588" t="str">
        <f t="shared" si="866"/>
        <v/>
      </c>
      <c r="AE148" s="582" t="str">
        <f t="shared" si="867"/>
        <v/>
      </c>
      <c r="AF148" s="583" t="str">
        <f t="shared" si="868"/>
        <v/>
      </c>
      <c r="AG148" s="547" t="str">
        <f t="shared" si="869"/>
        <v/>
      </c>
      <c r="AH148" s="548" t="str">
        <f t="shared" si="870"/>
        <v/>
      </c>
      <c r="AI148" s="536" t="str">
        <f t="shared" si="871"/>
        <v/>
      </c>
      <c r="AJ148" s="537" t="str">
        <f t="shared" si="872"/>
        <v/>
      </c>
      <c r="AK148" s="585" t="str">
        <f t="shared" si="873"/>
        <v/>
      </c>
      <c r="AL148" s="582" t="str">
        <f t="shared" si="874"/>
        <v/>
      </c>
      <c r="AM148" s="584" t="str">
        <f t="shared" si="875"/>
        <v/>
      </c>
      <c r="AN148" s="534" t="str">
        <f t="shared" si="876"/>
        <v/>
      </c>
      <c r="AO148" s="535" t="str">
        <f t="shared" si="855"/>
        <v/>
      </c>
      <c r="AP148" s="536" t="str">
        <f t="shared" si="877"/>
        <v/>
      </c>
      <c r="AQ148" s="537" t="str">
        <f t="shared" si="1005"/>
        <v/>
      </c>
      <c r="AS148" s="933" t="str">
        <f t="shared" si="1053"/>
        <v/>
      </c>
      <c r="AT148" s="929" t="str">
        <f t="shared" si="1006"/>
        <v/>
      </c>
      <c r="AU148" s="418"/>
      <c r="AV148" s="164" t="str">
        <f t="shared" si="1007"/>
        <v/>
      </c>
      <c r="AW148" s="832" t="str">
        <f>IFERROR(INDEX(MassProp!C$9:C$150,MATCH($M148,MassProp!$B$9:$B$150,0)),"")</f>
        <v/>
      </c>
      <c r="AX148" s="833" t="str">
        <f>IFERROR(INDEX(MassProp!D$9:D$150,MATCH($M148,MassProp!$B$9:$B$150,0)),"")</f>
        <v/>
      </c>
      <c r="AY148" s="834" t="str">
        <f>IFERROR(INDEX(MassProp!E$9:E$150,MATCH($M148,MassProp!$B$9:$B$150,0)),"")</f>
        <v/>
      </c>
      <c r="AZ148" s="297" t="str">
        <f t="shared" si="878"/>
        <v/>
      </c>
      <c r="BA148" s="505" t="str">
        <f t="shared" si="879"/>
        <v/>
      </c>
      <c r="BB148" s="506" t="str">
        <f t="shared" si="610"/>
        <v/>
      </c>
      <c r="BC148" s="496"/>
      <c r="BD148" s="494" t="str">
        <f t="shared" si="880"/>
        <v/>
      </c>
      <c r="BE148" s="497" t="str">
        <f t="shared" si="1008"/>
        <v/>
      </c>
      <c r="BF148" s="498" t="str">
        <f t="shared" si="1009"/>
        <v/>
      </c>
      <c r="BG148" s="494" t="str">
        <f t="shared" si="1010"/>
        <v/>
      </c>
      <c r="BH148" s="495" t="str">
        <f t="shared" si="1011"/>
        <v/>
      </c>
      <c r="BI148" s="496" t="str">
        <f t="shared" si="881"/>
        <v/>
      </c>
      <c r="BJ148" s="494" t="str">
        <f t="shared" si="1012"/>
        <v/>
      </c>
      <c r="BK148" s="499" t="str">
        <f t="shared" si="1013"/>
        <v/>
      </c>
      <c r="BL148" s="502" t="str">
        <f t="shared" si="1014"/>
        <v/>
      </c>
      <c r="BM148" s="494" t="str">
        <f t="shared" si="1015"/>
        <v/>
      </c>
      <c r="BN148" s="497" t="str">
        <f t="shared" si="1016"/>
        <v/>
      </c>
      <c r="BO148" s="498" t="str">
        <f t="shared" si="882"/>
        <v/>
      </c>
      <c r="BP148" s="494" t="str">
        <f t="shared" si="1056"/>
        <v/>
      </c>
      <c r="BQ148" s="494" t="str">
        <f t="shared" si="883"/>
        <v/>
      </c>
      <c r="BR148" s="497" t="str">
        <f t="shared" si="884"/>
        <v/>
      </c>
      <c r="BS148" s="498" t="str">
        <f t="shared" si="839"/>
        <v/>
      </c>
      <c r="BT148" s="494" t="str">
        <f t="shared" si="839"/>
        <v/>
      </c>
      <c r="BU148" s="495" t="str">
        <f t="shared" si="613"/>
        <v/>
      </c>
      <c r="BV148" s="496" t="str">
        <f t="shared" si="614"/>
        <v/>
      </c>
      <c r="BW148" s="494" t="str">
        <f t="shared" si="615"/>
        <v/>
      </c>
      <c r="BX148" s="499" t="str">
        <f t="shared" si="616"/>
        <v/>
      </c>
      <c r="BY148" s="502" t="str">
        <f t="shared" si="617"/>
        <v/>
      </c>
      <c r="BZ148" s="494" t="str">
        <f t="shared" si="618"/>
        <v/>
      </c>
      <c r="CA148" s="497" t="str">
        <f t="shared" si="619"/>
        <v/>
      </c>
      <c r="CB148" s="498" t="str">
        <f t="shared" si="885"/>
        <v/>
      </c>
      <c r="CC148" s="494" t="str">
        <f t="shared" si="886"/>
        <v/>
      </c>
      <c r="CD148" s="494" t="str">
        <f t="shared" si="887"/>
        <v/>
      </c>
      <c r="CE148" s="497" t="str">
        <f t="shared" si="888"/>
        <v/>
      </c>
      <c r="CF148" s="498" t="str">
        <f t="shared" si="889"/>
        <v/>
      </c>
      <c r="CG148" s="494" t="str">
        <f t="shared" si="890"/>
        <v/>
      </c>
      <c r="CH148" s="494" t="str">
        <f t="shared" si="891"/>
        <v/>
      </c>
      <c r="CI148" s="498" t="str">
        <f t="shared" si="620"/>
        <v/>
      </c>
      <c r="CJ148" s="494" t="str">
        <f t="shared" si="892"/>
        <v/>
      </c>
      <c r="CK148" s="499" t="str">
        <f t="shared" si="893"/>
        <v/>
      </c>
      <c r="CL148" s="502" t="str">
        <f t="shared" si="894"/>
        <v/>
      </c>
      <c r="CM148" s="494" t="str">
        <f t="shared" si="895"/>
        <v/>
      </c>
      <c r="CN148" s="497" t="str">
        <f t="shared" si="896"/>
        <v/>
      </c>
      <c r="CO148" s="507" t="str">
        <f t="shared" si="1017"/>
        <v/>
      </c>
      <c r="CP148" s="498" t="str">
        <f t="shared" si="897"/>
        <v/>
      </c>
      <c r="CQ148" s="494" t="str">
        <f t="shared" si="898"/>
        <v/>
      </c>
      <c r="CR148" s="494" t="str">
        <f t="shared" si="899"/>
        <v/>
      </c>
      <c r="CS148" s="499" t="str">
        <f t="shared" si="900"/>
        <v/>
      </c>
      <c r="CT148" s="496" t="str">
        <f t="shared" si="901"/>
        <v/>
      </c>
      <c r="CU148" s="497" t="str">
        <f t="shared" si="902"/>
        <v/>
      </c>
      <c r="CV148" s="498" t="str">
        <f t="shared" si="903"/>
        <v/>
      </c>
      <c r="CW148" s="494" t="str">
        <f t="shared" si="904"/>
        <v/>
      </c>
      <c r="CX148" s="499" t="str">
        <f t="shared" si="905"/>
        <v/>
      </c>
      <c r="CY148" s="496" t="str">
        <f t="shared" si="906"/>
        <v/>
      </c>
      <c r="CZ148" s="494" t="str">
        <f t="shared" si="907"/>
        <v/>
      </c>
      <c r="DA148" s="497" t="str">
        <f t="shared" si="908"/>
        <v/>
      </c>
      <c r="DB148" s="498" t="str">
        <f t="shared" si="843"/>
        <v/>
      </c>
      <c r="DC148" s="494" t="str">
        <f t="shared" si="843"/>
        <v/>
      </c>
      <c r="DD148" s="495" t="str">
        <f t="shared" si="658"/>
        <v/>
      </c>
      <c r="DE148" s="496" t="str">
        <f t="shared" si="844"/>
        <v/>
      </c>
      <c r="DF148" s="494" t="str">
        <f t="shared" si="844"/>
        <v/>
      </c>
      <c r="DG148" s="495" t="str">
        <f t="shared" si="660"/>
        <v/>
      </c>
      <c r="DH148" s="501" t="str">
        <f t="shared" si="909"/>
        <v/>
      </c>
      <c r="DI148" s="498" t="str">
        <f t="shared" si="910"/>
        <v/>
      </c>
      <c r="DJ148" s="494" t="str">
        <f t="shared" si="911"/>
        <v/>
      </c>
      <c r="DK148" s="495" t="str">
        <f t="shared" si="912"/>
        <v/>
      </c>
      <c r="DL148" s="496" t="str">
        <f t="shared" si="913"/>
        <v/>
      </c>
      <c r="DM148" s="502" t="str">
        <f t="shared" si="914"/>
        <v/>
      </c>
      <c r="DN148" s="508" t="str">
        <f t="shared" si="915"/>
        <v/>
      </c>
      <c r="DO148" s="496" t="str">
        <f t="shared" si="916"/>
        <v/>
      </c>
      <c r="DP148" s="502" t="str">
        <f t="shared" si="917"/>
        <v/>
      </c>
      <c r="DQ148" s="503" t="str">
        <f t="shared" si="918"/>
        <v/>
      </c>
      <c r="DR148" s="502" t="str">
        <f t="shared" si="919"/>
        <v/>
      </c>
      <c r="DS148" s="494" t="str">
        <f t="shared" si="920"/>
        <v/>
      </c>
      <c r="DT148" s="494" t="str">
        <f t="shared" si="921"/>
        <v/>
      </c>
      <c r="DU148" s="494" t="str">
        <f t="shared" si="922"/>
        <v/>
      </c>
      <c r="DV148" s="494" t="str">
        <f t="shared" si="923"/>
        <v/>
      </c>
      <c r="DW148" s="494" t="str">
        <f t="shared" si="924"/>
        <v/>
      </c>
      <c r="DX148" s="507" t="str">
        <f t="shared" si="925"/>
        <v/>
      </c>
      <c r="DY148" s="496" t="str">
        <f t="shared" si="926"/>
        <v/>
      </c>
      <c r="DZ148" s="494" t="str">
        <f t="shared" si="927"/>
        <v/>
      </c>
      <c r="EA148" s="495" t="str">
        <f t="shared" si="928"/>
        <v/>
      </c>
      <c r="EB148" s="497" t="str">
        <f t="shared" si="929"/>
        <v/>
      </c>
      <c r="EC148" s="502" t="str">
        <f t="shared" si="930"/>
        <v/>
      </c>
      <c r="ED148" s="494" t="str">
        <f t="shared" si="931"/>
        <v/>
      </c>
      <c r="EE148" s="498" t="str">
        <f t="shared" si="932"/>
        <v/>
      </c>
      <c r="EF148" s="494" t="str">
        <f t="shared" si="933"/>
        <v/>
      </c>
      <c r="EG148" s="495" t="str">
        <f t="shared" si="934"/>
        <v/>
      </c>
      <c r="EH148" s="496" t="str">
        <f t="shared" si="935"/>
        <v/>
      </c>
      <c r="EI148" s="494" t="str">
        <f t="shared" si="936"/>
        <v/>
      </c>
      <c r="EJ148" s="497" t="str">
        <f t="shared" si="937"/>
        <v/>
      </c>
      <c r="EK148" s="509" t="str">
        <f t="shared" si="690"/>
        <v/>
      </c>
      <c r="EL148" s="510" t="str">
        <f t="shared" si="691"/>
        <v/>
      </c>
      <c r="EM148" s="498" t="str">
        <f t="shared" si="938"/>
        <v/>
      </c>
      <c r="EN148" s="494" t="str">
        <f t="shared" si="939"/>
        <v/>
      </c>
      <c r="EO148" s="495" t="str">
        <f t="shared" si="940"/>
        <v/>
      </c>
      <c r="EP148" s="496" t="str">
        <f t="shared" si="941"/>
        <v/>
      </c>
      <c r="EQ148" s="494" t="str">
        <f t="shared" si="942"/>
        <v/>
      </c>
      <c r="ER148" s="500" t="str">
        <f t="shared" si="943"/>
        <v/>
      </c>
      <c r="ES148" s="493" t="str">
        <f t="shared" si="1018"/>
        <v/>
      </c>
      <c r="ET148" s="494" t="str">
        <f t="shared" si="1019"/>
        <v/>
      </c>
      <c r="EU148" s="495" t="str">
        <f t="shared" si="1020"/>
        <v/>
      </c>
      <c r="EV148" s="174" t="str">
        <f t="shared" si="944"/>
        <v/>
      </c>
      <c r="EW148" s="496" t="str">
        <f t="shared" si="945"/>
        <v/>
      </c>
      <c r="EX148" s="494" t="str">
        <f t="shared" si="946"/>
        <v/>
      </c>
      <c r="EY148" s="497" t="str">
        <f t="shared" si="947"/>
        <v/>
      </c>
      <c r="EZ148" s="504" t="str">
        <f t="shared" si="699"/>
        <v/>
      </c>
      <c r="FA148" s="502" t="str">
        <f t="shared" si="764"/>
        <v/>
      </c>
      <c r="FB148" s="494" t="str">
        <f t="shared" si="765"/>
        <v/>
      </c>
      <c r="FC148" s="497" t="str">
        <f t="shared" si="766"/>
        <v/>
      </c>
      <c r="FD148" s="498" t="str">
        <f t="shared" si="948"/>
        <v/>
      </c>
      <c r="FE148" s="494" t="str">
        <f t="shared" si="949"/>
        <v/>
      </c>
      <c r="FF148" s="500" t="str">
        <f t="shared" si="950"/>
        <v/>
      </c>
      <c r="FG148" s="173" t="str">
        <f t="shared" si="951"/>
        <v/>
      </c>
      <c r="FH148" s="5" t="str">
        <f t="shared" si="952"/>
        <v/>
      </c>
      <c r="FI148" s="10" t="str">
        <f t="shared" si="953"/>
        <v/>
      </c>
      <c r="FJ148" s="279" t="str">
        <f t="shared" si="954"/>
        <v/>
      </c>
      <c r="FK148" s="4" t="str">
        <f t="shared" si="955"/>
        <v/>
      </c>
      <c r="FL148" s="5" t="str">
        <f t="shared" si="956"/>
        <v/>
      </c>
      <c r="FM148" s="8" t="str">
        <f t="shared" si="957"/>
        <v/>
      </c>
      <c r="FN148" s="9" t="str">
        <f t="shared" si="958"/>
        <v/>
      </c>
      <c r="FO148" s="10" t="str">
        <f t="shared" si="959"/>
        <v/>
      </c>
      <c r="FP148" s="277" t="str">
        <f t="shared" si="960"/>
        <v/>
      </c>
      <c r="FQ148" s="173" t="str">
        <f t="shared" si="961"/>
        <v/>
      </c>
      <c r="FR148" s="10" t="str">
        <f t="shared" si="962"/>
        <v/>
      </c>
      <c r="FS148" s="9" t="str">
        <f t="shared" si="963"/>
        <v/>
      </c>
      <c r="FT148" s="6" t="str">
        <f t="shared" si="964"/>
        <v/>
      </c>
      <c r="FU148" s="4" t="str">
        <f t="shared" si="965"/>
        <v/>
      </c>
      <c r="FV148" s="5" t="str">
        <f t="shared" si="966"/>
        <v/>
      </c>
      <c r="FW148" s="8" t="str">
        <f t="shared" si="967"/>
        <v/>
      </c>
      <c r="FX148" s="9" t="str">
        <f t="shared" si="968"/>
        <v/>
      </c>
      <c r="FY148" s="10" t="str">
        <f t="shared" si="969"/>
        <v/>
      </c>
      <c r="FZ148" s="277" t="str">
        <f t="shared" si="970"/>
        <v/>
      </c>
      <c r="GA148" s="177" t="str">
        <f t="shared" si="971"/>
        <v/>
      </c>
      <c r="GB148" s="4" t="str">
        <f t="shared" si="972"/>
        <v/>
      </c>
      <c r="GC148" s="5" t="str">
        <f t="shared" si="973"/>
        <v/>
      </c>
      <c r="GD148" s="10" t="str">
        <f t="shared" si="974"/>
        <v/>
      </c>
      <c r="GE148" s="311" t="str">
        <f t="shared" si="975"/>
        <v/>
      </c>
      <c r="GF148" s="341" t="str">
        <f t="shared" si="976"/>
        <v/>
      </c>
      <c r="GG148" s="306" t="str">
        <f t="shared" si="977"/>
        <v/>
      </c>
      <c r="GH148" s="307" t="str">
        <f t="shared" si="978"/>
        <v/>
      </c>
      <c r="GI148" s="308" t="str">
        <f t="shared" si="979"/>
        <v/>
      </c>
      <c r="GJ148" s="167" t="str">
        <f t="shared" si="980"/>
        <v/>
      </c>
      <c r="GK148" s="174" t="str">
        <f t="shared" si="778"/>
        <v/>
      </c>
      <c r="GL148" s="174" t="str">
        <f t="shared" si="981"/>
        <v/>
      </c>
      <c r="GM148" s="177" t="str">
        <f t="shared" si="982"/>
        <v/>
      </c>
      <c r="GN148" s="280" t="str">
        <f t="shared" si="983"/>
        <v/>
      </c>
      <c r="GO148" s="4" t="str">
        <f t="shared" si="984"/>
        <v/>
      </c>
      <c r="GP148" s="8" t="str">
        <f t="shared" si="985"/>
        <v/>
      </c>
      <c r="GQ148" s="177" t="str">
        <f t="shared" si="986"/>
        <v/>
      </c>
      <c r="GR148" s="371" t="str">
        <f t="shared" si="987"/>
        <v/>
      </c>
      <c r="GS148" s="342" t="str">
        <f t="shared" si="988"/>
        <v/>
      </c>
      <c r="GT148" s="343" t="str">
        <f t="shared" si="989"/>
        <v/>
      </c>
      <c r="GU148" s="344" t="str">
        <f t="shared" si="781"/>
        <v/>
      </c>
      <c r="GV148" s="343" t="str">
        <f t="shared" si="990"/>
        <v/>
      </c>
      <c r="GW148" s="345" t="str">
        <f t="shared" si="782"/>
        <v/>
      </c>
      <c r="GX148" s="346" t="str">
        <f t="shared" si="783"/>
        <v/>
      </c>
      <c r="GY148" s="344" t="str">
        <f t="shared" si="991"/>
        <v/>
      </c>
      <c r="GZ148" s="345" t="str">
        <f t="shared" si="992"/>
        <v/>
      </c>
      <c r="HA148" s="342" t="str">
        <f t="shared" si="786"/>
        <v/>
      </c>
      <c r="HB148" s="5" t="str">
        <f t="shared" si="726"/>
        <v/>
      </c>
      <c r="HC148" s="343" t="str">
        <f t="shared" si="993"/>
        <v/>
      </c>
      <c r="HD148" s="363" t="str">
        <f t="shared" si="994"/>
        <v/>
      </c>
      <c r="HE148" s="344" t="str">
        <f t="shared" si="787"/>
        <v/>
      </c>
      <c r="HF148" s="5" t="str">
        <f t="shared" si="788"/>
        <v/>
      </c>
      <c r="HG148" s="343" t="str">
        <f t="shared" si="995"/>
        <v/>
      </c>
      <c r="HH148" s="349" t="str">
        <f t="shared" si="996"/>
        <v/>
      </c>
      <c r="HI148" s="317" t="str">
        <f t="shared" si="1021"/>
        <v/>
      </c>
      <c r="HK148" s="310" t="str">
        <f t="shared" si="1052"/>
        <v/>
      </c>
      <c r="HL148" s="348" t="str">
        <f t="shared" si="1022"/>
        <v/>
      </c>
      <c r="HM148" s="909" t="str">
        <f t="shared" si="1023"/>
        <v/>
      </c>
      <c r="HN148" s="910" t="str">
        <f t="shared" si="1024"/>
        <v/>
      </c>
      <c r="HO148" s="911"/>
      <c r="HP148" s="912"/>
      <c r="HQ148" s="910" t="str">
        <f t="shared" si="1025"/>
        <v/>
      </c>
      <c r="HR148" s="913" t="str">
        <f t="shared" si="1026"/>
        <v/>
      </c>
      <c r="HS148" s="865" t="str">
        <f t="shared" si="997"/>
        <v/>
      </c>
      <c r="HT148" s="875" t="str">
        <f t="shared" si="1027"/>
        <v/>
      </c>
      <c r="HU148" s="876" t="str">
        <f t="shared" si="1028"/>
        <v/>
      </c>
      <c r="HV148" s="872" t="str">
        <f t="shared" si="1029"/>
        <v/>
      </c>
      <c r="HW148" s="866" t="str">
        <f t="shared" si="1030"/>
        <v/>
      </c>
      <c r="HX148" s="867" t="str">
        <f t="shared" si="1031"/>
        <v/>
      </c>
      <c r="HY148" s="866" t="str">
        <f t="shared" si="1032"/>
        <v/>
      </c>
      <c r="HZ148" s="868" t="str">
        <f t="shared" si="1033"/>
        <v/>
      </c>
      <c r="IA148" s="869" t="str">
        <f t="shared" si="1034"/>
        <v/>
      </c>
      <c r="IB148" s="870" t="str">
        <f t="shared" si="1035"/>
        <v/>
      </c>
      <c r="IC148" s="841" t="str">
        <f t="shared" si="1036"/>
        <v/>
      </c>
      <c r="ID148" s="351" t="str">
        <f t="shared" si="1037"/>
        <v/>
      </c>
      <c r="IE148" s="843" t="str">
        <f t="shared" si="1038"/>
        <v/>
      </c>
      <c r="IF148" s="844"/>
      <c r="IG148" s="790" t="str">
        <f>IFERROR(IF($IW148="","",IF($IW148&lt;(((Settings!$C$19/2)*-1)*$IG$8),"Taper","Nose")),"")</f>
        <v/>
      </c>
      <c r="IH148" s="482" t="str">
        <f>IFERROR(IF((((($IY148*COS(RADIANS(180-$JA148)))*COS(RADIANS($JA148)))-(($IZ148*SIN(RADIANS(180-$JA148)))*SIN(RADIANS($JA148))))+$IW148)&lt;(((Settings!$C$19+$IH$8)/2)*-1),"Gage",""),"")</f>
        <v/>
      </c>
      <c r="II148" s="788" t="str">
        <f t="shared" si="1054"/>
        <v/>
      </c>
      <c r="IJ148" s="674" t="str" cm="1">
        <f t="array" ref="IJ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K148" s="677" t="str" cm="1">
        <f t="array" ref="IK148">IFERROR(ROUND(VALUE(IF($IJ148&lt;1,$IJ148+LARGE((IF($M$9:$M$150="",0,$M$9:$M$150)-MOD(IF($M$9:$M$150="",0,$M$9:$M$150),1)),1),$IJ148)),4),"")</f>
        <v/>
      </c>
      <c r="IL148" s="482" t="str">
        <f t="shared" si="1039"/>
        <v/>
      </c>
      <c r="IM148" s="482" t="str">
        <f t="shared" si="1055"/>
        <v/>
      </c>
      <c r="IN148" s="670" t="str">
        <f t="shared" si="1040"/>
        <v/>
      </c>
      <c r="IO148" s="702"/>
      <c r="IP148" s="5" t="str">
        <f t="shared" si="1041"/>
        <v/>
      </c>
      <c r="IQ148" s="714"/>
      <c r="IR148" s="9" t="str">
        <f t="shared" si="1042"/>
        <v/>
      </c>
      <c r="IS148" s="5" t="str">
        <f t="shared" si="1043"/>
        <v/>
      </c>
      <c r="IT148" s="5" t="str">
        <f t="shared" si="1044"/>
        <v/>
      </c>
      <c r="IU148" s="5" t="str">
        <f t="shared" si="1045"/>
        <v/>
      </c>
      <c r="IV148" s="670" t="str">
        <f t="shared" si="1046"/>
        <v/>
      </c>
      <c r="IW148" s="9" t="str">
        <f t="shared" si="1047"/>
        <v/>
      </c>
      <c r="IX148" s="5" t="str">
        <f t="shared" si="1048"/>
        <v/>
      </c>
      <c r="IY148" s="5" t="str">
        <f t="shared" si="1049"/>
        <v/>
      </c>
      <c r="IZ148" s="5" t="str">
        <f t="shared" si="1050"/>
        <v/>
      </c>
      <c r="JA148" s="705" t="str">
        <f t="shared" si="1051"/>
        <v/>
      </c>
    </row>
    <row r="149" spans="1:261" ht="15" customHeight="1" x14ac:dyDescent="0.25">
      <c r="A149" s="75" t="str">
        <f t="shared" si="736"/>
        <v/>
      </c>
      <c r="B149" s="578" t="str">
        <f t="shared" si="845"/>
        <v/>
      </c>
      <c r="C149" s="572" t="str">
        <f t="shared" si="846"/>
        <v/>
      </c>
      <c r="D149" s="576" t="str">
        <f t="shared" si="847"/>
        <v/>
      </c>
      <c r="E149" s="580" t="str">
        <f t="shared" si="848"/>
        <v/>
      </c>
      <c r="F149" s="572" t="str">
        <f t="shared" si="849"/>
        <v/>
      </c>
      <c r="G149" s="579" t="str">
        <f t="shared" si="850"/>
        <v/>
      </c>
      <c r="H149" s="580" t="str">
        <f t="shared" si="851"/>
        <v/>
      </c>
      <c r="I149" s="572" t="str">
        <f t="shared" si="852"/>
        <v/>
      </c>
      <c r="J149" s="483" t="str">
        <f t="shared" si="853"/>
        <v/>
      </c>
      <c r="K149" s="806" t="str">
        <f t="shared" si="854"/>
        <v/>
      </c>
      <c r="L149" s="309"/>
      <c r="M149" s="492" t="str">
        <f t="shared" si="998"/>
        <v/>
      </c>
      <c r="N149" s="581" t="str">
        <f t="shared" si="999"/>
        <v/>
      </c>
      <c r="O149" s="582" t="str">
        <f t="shared" si="1000"/>
        <v/>
      </c>
      <c r="P149" s="583" t="str">
        <f t="shared" si="1001"/>
        <v/>
      </c>
      <c r="Q149" s="536" t="str">
        <f t="shared" si="856"/>
        <v/>
      </c>
      <c r="R149" s="582" t="str">
        <f t="shared" si="857"/>
        <v/>
      </c>
      <c r="S149" s="584" t="str">
        <f t="shared" si="858"/>
        <v/>
      </c>
      <c r="T149" s="585" t="str">
        <f t="shared" si="859"/>
        <v/>
      </c>
      <c r="U149" s="582" t="str">
        <f t="shared" si="860"/>
        <v/>
      </c>
      <c r="V149" s="586" t="str">
        <f t="shared" si="861"/>
        <v/>
      </c>
      <c r="W149" s="536" t="str">
        <f t="shared" si="862"/>
        <v/>
      </c>
      <c r="X149" s="582" t="str">
        <f t="shared" si="863"/>
        <v/>
      </c>
      <c r="Y149" s="587" t="str">
        <f t="shared" si="864"/>
        <v/>
      </c>
      <c r="Z149" s="581" t="str">
        <f t="shared" si="1002"/>
        <v/>
      </c>
      <c r="AA149" s="582" t="str">
        <f t="shared" si="1003"/>
        <v/>
      </c>
      <c r="AB149" s="582" t="str">
        <f t="shared" si="1004"/>
        <v/>
      </c>
      <c r="AC149" s="586" t="str">
        <f t="shared" si="865"/>
        <v/>
      </c>
      <c r="AD149" s="588" t="str">
        <f t="shared" si="866"/>
        <v/>
      </c>
      <c r="AE149" s="582" t="str">
        <f t="shared" si="867"/>
        <v/>
      </c>
      <c r="AF149" s="583" t="str">
        <f t="shared" si="868"/>
        <v/>
      </c>
      <c r="AG149" s="547" t="str">
        <f t="shared" si="869"/>
        <v/>
      </c>
      <c r="AH149" s="548" t="str">
        <f t="shared" si="870"/>
        <v/>
      </c>
      <c r="AI149" s="536" t="str">
        <f t="shared" si="871"/>
        <v/>
      </c>
      <c r="AJ149" s="537" t="str">
        <f t="shared" si="872"/>
        <v/>
      </c>
      <c r="AK149" s="585" t="str">
        <f t="shared" si="873"/>
        <v/>
      </c>
      <c r="AL149" s="582" t="str">
        <f t="shared" si="874"/>
        <v/>
      </c>
      <c r="AM149" s="584" t="str">
        <f t="shared" si="875"/>
        <v/>
      </c>
      <c r="AN149" s="534" t="str">
        <f t="shared" si="876"/>
        <v/>
      </c>
      <c r="AO149" s="535" t="str">
        <f t="shared" si="855"/>
        <v/>
      </c>
      <c r="AP149" s="536" t="str">
        <f t="shared" si="877"/>
        <v/>
      </c>
      <c r="AQ149" s="537" t="str">
        <f t="shared" si="1005"/>
        <v/>
      </c>
      <c r="AS149" s="933" t="str">
        <f t="shared" si="1053"/>
        <v/>
      </c>
      <c r="AT149" s="929" t="str">
        <f t="shared" si="1006"/>
        <v/>
      </c>
      <c r="AU149" s="418"/>
      <c r="AV149" s="164" t="str">
        <f t="shared" si="1007"/>
        <v/>
      </c>
      <c r="AW149" s="832" t="str">
        <f>IFERROR(INDEX(MassProp!C$9:C$150,MATCH($M149,MassProp!$B$9:$B$150,0)),"")</f>
        <v/>
      </c>
      <c r="AX149" s="833" t="str">
        <f>IFERROR(INDEX(MassProp!D$9:D$150,MATCH($M149,MassProp!$B$9:$B$150,0)),"")</f>
        <v/>
      </c>
      <c r="AY149" s="834" t="str">
        <f>IFERROR(INDEX(MassProp!E$9:E$150,MATCH($M149,MassProp!$B$9:$B$150,0)),"")</f>
        <v/>
      </c>
      <c r="AZ149" s="297" t="str">
        <f t="shared" si="878"/>
        <v/>
      </c>
      <c r="BA149" s="505" t="str">
        <f t="shared" si="879"/>
        <v/>
      </c>
      <c r="BB149" s="506" t="str">
        <f t="shared" si="610"/>
        <v/>
      </c>
      <c r="BC149" s="496"/>
      <c r="BD149" s="494" t="str">
        <f t="shared" si="880"/>
        <v/>
      </c>
      <c r="BE149" s="497" t="str">
        <f t="shared" si="1008"/>
        <v/>
      </c>
      <c r="BF149" s="498" t="str">
        <f t="shared" si="1009"/>
        <v/>
      </c>
      <c r="BG149" s="494" t="str">
        <f t="shared" si="1010"/>
        <v/>
      </c>
      <c r="BH149" s="495" t="str">
        <f t="shared" si="1011"/>
        <v/>
      </c>
      <c r="BI149" s="496" t="str">
        <f t="shared" si="881"/>
        <v/>
      </c>
      <c r="BJ149" s="494" t="str">
        <f t="shared" si="1012"/>
        <v/>
      </c>
      <c r="BK149" s="499" t="str">
        <f t="shared" si="1013"/>
        <v/>
      </c>
      <c r="BL149" s="502" t="str">
        <f t="shared" si="1014"/>
        <v/>
      </c>
      <c r="BM149" s="494" t="str">
        <f t="shared" si="1015"/>
        <v/>
      </c>
      <c r="BN149" s="497" t="str">
        <f t="shared" si="1016"/>
        <v/>
      </c>
      <c r="BO149" s="498" t="str">
        <f t="shared" si="882"/>
        <v/>
      </c>
      <c r="BP149" s="494" t="str">
        <f t="shared" si="1056"/>
        <v/>
      </c>
      <c r="BQ149" s="494" t="str">
        <f t="shared" si="883"/>
        <v/>
      </c>
      <c r="BR149" s="497" t="str">
        <f t="shared" si="884"/>
        <v/>
      </c>
      <c r="BS149" s="498" t="str">
        <f t="shared" si="839"/>
        <v/>
      </c>
      <c r="BT149" s="494" t="str">
        <f t="shared" si="839"/>
        <v/>
      </c>
      <c r="BU149" s="495" t="str">
        <f t="shared" si="613"/>
        <v/>
      </c>
      <c r="BV149" s="496" t="str">
        <f t="shared" si="614"/>
        <v/>
      </c>
      <c r="BW149" s="494" t="str">
        <f t="shared" si="615"/>
        <v/>
      </c>
      <c r="BX149" s="499" t="str">
        <f t="shared" si="616"/>
        <v/>
      </c>
      <c r="BY149" s="502" t="str">
        <f t="shared" si="617"/>
        <v/>
      </c>
      <c r="BZ149" s="494" t="str">
        <f t="shared" si="618"/>
        <v/>
      </c>
      <c r="CA149" s="497" t="str">
        <f t="shared" si="619"/>
        <v/>
      </c>
      <c r="CB149" s="498" t="str">
        <f t="shared" si="885"/>
        <v/>
      </c>
      <c r="CC149" s="494" t="str">
        <f t="shared" si="886"/>
        <v/>
      </c>
      <c r="CD149" s="494" t="str">
        <f t="shared" si="887"/>
        <v/>
      </c>
      <c r="CE149" s="497" t="str">
        <f t="shared" si="888"/>
        <v/>
      </c>
      <c r="CF149" s="498" t="str">
        <f t="shared" si="889"/>
        <v/>
      </c>
      <c r="CG149" s="494" t="str">
        <f t="shared" si="890"/>
        <v/>
      </c>
      <c r="CH149" s="494" t="str">
        <f t="shared" si="891"/>
        <v/>
      </c>
      <c r="CI149" s="498" t="str">
        <f t="shared" si="620"/>
        <v/>
      </c>
      <c r="CJ149" s="494" t="str">
        <f t="shared" si="892"/>
        <v/>
      </c>
      <c r="CK149" s="499" t="str">
        <f t="shared" si="893"/>
        <v/>
      </c>
      <c r="CL149" s="502" t="str">
        <f t="shared" si="894"/>
        <v/>
      </c>
      <c r="CM149" s="494" t="str">
        <f t="shared" si="895"/>
        <v/>
      </c>
      <c r="CN149" s="497" t="str">
        <f t="shared" si="896"/>
        <v/>
      </c>
      <c r="CO149" s="507" t="str">
        <f t="shared" si="1017"/>
        <v/>
      </c>
      <c r="CP149" s="498" t="str">
        <f t="shared" si="897"/>
        <v/>
      </c>
      <c r="CQ149" s="494" t="str">
        <f t="shared" si="898"/>
        <v/>
      </c>
      <c r="CR149" s="494" t="str">
        <f t="shared" si="899"/>
        <v/>
      </c>
      <c r="CS149" s="499" t="str">
        <f t="shared" si="900"/>
        <v/>
      </c>
      <c r="CT149" s="496" t="str">
        <f t="shared" si="901"/>
        <v/>
      </c>
      <c r="CU149" s="497" t="str">
        <f t="shared" si="902"/>
        <v/>
      </c>
      <c r="CV149" s="498" t="str">
        <f t="shared" si="903"/>
        <v/>
      </c>
      <c r="CW149" s="494" t="str">
        <f t="shared" si="904"/>
        <v/>
      </c>
      <c r="CX149" s="499" t="str">
        <f t="shared" si="905"/>
        <v/>
      </c>
      <c r="CY149" s="496" t="str">
        <f t="shared" si="906"/>
        <v/>
      </c>
      <c r="CZ149" s="494" t="str">
        <f t="shared" si="907"/>
        <v/>
      </c>
      <c r="DA149" s="497" t="str">
        <f t="shared" si="908"/>
        <v/>
      </c>
      <c r="DB149" s="498" t="str">
        <f t="shared" si="843"/>
        <v/>
      </c>
      <c r="DC149" s="494" t="str">
        <f t="shared" si="843"/>
        <v/>
      </c>
      <c r="DD149" s="495" t="str">
        <f t="shared" si="658"/>
        <v/>
      </c>
      <c r="DE149" s="496" t="str">
        <f t="shared" si="844"/>
        <v/>
      </c>
      <c r="DF149" s="494" t="str">
        <f t="shared" si="844"/>
        <v/>
      </c>
      <c r="DG149" s="495" t="str">
        <f t="shared" si="660"/>
        <v/>
      </c>
      <c r="DH149" s="501" t="str">
        <f t="shared" si="909"/>
        <v/>
      </c>
      <c r="DI149" s="498" t="str">
        <f t="shared" si="910"/>
        <v/>
      </c>
      <c r="DJ149" s="494" t="str">
        <f t="shared" si="911"/>
        <v/>
      </c>
      <c r="DK149" s="495" t="str">
        <f t="shared" si="912"/>
        <v/>
      </c>
      <c r="DL149" s="496" t="str">
        <f t="shared" si="913"/>
        <v/>
      </c>
      <c r="DM149" s="502" t="str">
        <f t="shared" si="914"/>
        <v/>
      </c>
      <c r="DN149" s="508" t="str">
        <f t="shared" si="915"/>
        <v/>
      </c>
      <c r="DO149" s="496" t="str">
        <f t="shared" si="916"/>
        <v/>
      </c>
      <c r="DP149" s="502" t="str">
        <f t="shared" si="917"/>
        <v/>
      </c>
      <c r="DQ149" s="503" t="str">
        <f t="shared" si="918"/>
        <v/>
      </c>
      <c r="DR149" s="502" t="str">
        <f t="shared" si="919"/>
        <v/>
      </c>
      <c r="DS149" s="494" t="str">
        <f t="shared" si="920"/>
        <v/>
      </c>
      <c r="DT149" s="494" t="str">
        <f t="shared" si="921"/>
        <v/>
      </c>
      <c r="DU149" s="494" t="str">
        <f t="shared" si="922"/>
        <v/>
      </c>
      <c r="DV149" s="494" t="str">
        <f t="shared" si="923"/>
        <v/>
      </c>
      <c r="DW149" s="494" t="str">
        <f t="shared" si="924"/>
        <v/>
      </c>
      <c r="DX149" s="507" t="str">
        <f t="shared" si="925"/>
        <v/>
      </c>
      <c r="DY149" s="496" t="str">
        <f t="shared" si="926"/>
        <v/>
      </c>
      <c r="DZ149" s="494" t="str">
        <f t="shared" si="927"/>
        <v/>
      </c>
      <c r="EA149" s="495" t="str">
        <f t="shared" si="928"/>
        <v/>
      </c>
      <c r="EB149" s="497" t="str">
        <f t="shared" si="929"/>
        <v/>
      </c>
      <c r="EC149" s="502" t="str">
        <f t="shared" si="930"/>
        <v/>
      </c>
      <c r="ED149" s="494" t="str">
        <f t="shared" si="931"/>
        <v/>
      </c>
      <c r="EE149" s="498" t="str">
        <f t="shared" si="932"/>
        <v/>
      </c>
      <c r="EF149" s="494" t="str">
        <f t="shared" si="933"/>
        <v/>
      </c>
      <c r="EG149" s="495" t="str">
        <f t="shared" si="934"/>
        <v/>
      </c>
      <c r="EH149" s="496" t="str">
        <f t="shared" si="935"/>
        <v/>
      </c>
      <c r="EI149" s="494" t="str">
        <f t="shared" si="936"/>
        <v/>
      </c>
      <c r="EJ149" s="497" t="str">
        <f t="shared" si="937"/>
        <v/>
      </c>
      <c r="EK149" s="509" t="str">
        <f t="shared" si="690"/>
        <v/>
      </c>
      <c r="EL149" s="510" t="str">
        <f t="shared" si="691"/>
        <v/>
      </c>
      <c r="EM149" s="498" t="str">
        <f t="shared" si="938"/>
        <v/>
      </c>
      <c r="EN149" s="494" t="str">
        <f t="shared" si="939"/>
        <v/>
      </c>
      <c r="EO149" s="495" t="str">
        <f t="shared" si="940"/>
        <v/>
      </c>
      <c r="EP149" s="496" t="str">
        <f t="shared" si="941"/>
        <v/>
      </c>
      <c r="EQ149" s="494" t="str">
        <f t="shared" si="942"/>
        <v/>
      </c>
      <c r="ER149" s="500" t="str">
        <f t="shared" si="943"/>
        <v/>
      </c>
      <c r="ES149" s="493" t="str">
        <f t="shared" si="1018"/>
        <v/>
      </c>
      <c r="ET149" s="494" t="str">
        <f t="shared" si="1019"/>
        <v/>
      </c>
      <c r="EU149" s="495" t="str">
        <f t="shared" si="1020"/>
        <v/>
      </c>
      <c r="EV149" s="174" t="str">
        <f t="shared" si="944"/>
        <v/>
      </c>
      <c r="EW149" s="496" t="str">
        <f t="shared" si="945"/>
        <v/>
      </c>
      <c r="EX149" s="494" t="str">
        <f t="shared" si="946"/>
        <v/>
      </c>
      <c r="EY149" s="497" t="str">
        <f t="shared" si="947"/>
        <v/>
      </c>
      <c r="EZ149" s="504" t="str">
        <f t="shared" si="699"/>
        <v/>
      </c>
      <c r="FA149" s="502" t="str">
        <f t="shared" si="764"/>
        <v/>
      </c>
      <c r="FB149" s="494" t="str">
        <f t="shared" si="765"/>
        <v/>
      </c>
      <c r="FC149" s="497" t="str">
        <f t="shared" si="766"/>
        <v/>
      </c>
      <c r="FD149" s="498" t="str">
        <f t="shared" si="948"/>
        <v/>
      </c>
      <c r="FE149" s="494" t="str">
        <f t="shared" si="949"/>
        <v/>
      </c>
      <c r="FF149" s="500" t="str">
        <f t="shared" si="950"/>
        <v/>
      </c>
      <c r="FG149" s="173" t="str">
        <f t="shared" si="951"/>
        <v/>
      </c>
      <c r="FH149" s="5" t="str">
        <f t="shared" si="952"/>
        <v/>
      </c>
      <c r="FI149" s="10" t="str">
        <f t="shared" si="953"/>
        <v/>
      </c>
      <c r="FJ149" s="279" t="str">
        <f t="shared" si="954"/>
        <v/>
      </c>
      <c r="FK149" s="4" t="str">
        <f t="shared" si="955"/>
        <v/>
      </c>
      <c r="FL149" s="5" t="str">
        <f t="shared" si="956"/>
        <v/>
      </c>
      <c r="FM149" s="8" t="str">
        <f t="shared" si="957"/>
        <v/>
      </c>
      <c r="FN149" s="9" t="str">
        <f t="shared" si="958"/>
        <v/>
      </c>
      <c r="FO149" s="10" t="str">
        <f t="shared" si="959"/>
        <v/>
      </c>
      <c r="FP149" s="277" t="str">
        <f t="shared" si="960"/>
        <v/>
      </c>
      <c r="FQ149" s="173" t="str">
        <f t="shared" si="961"/>
        <v/>
      </c>
      <c r="FR149" s="10" t="str">
        <f t="shared" si="962"/>
        <v/>
      </c>
      <c r="FS149" s="9" t="str">
        <f t="shared" si="963"/>
        <v/>
      </c>
      <c r="FT149" s="6" t="str">
        <f t="shared" si="964"/>
        <v/>
      </c>
      <c r="FU149" s="4" t="str">
        <f t="shared" si="965"/>
        <v/>
      </c>
      <c r="FV149" s="5" t="str">
        <f t="shared" si="966"/>
        <v/>
      </c>
      <c r="FW149" s="8" t="str">
        <f t="shared" si="967"/>
        <v/>
      </c>
      <c r="FX149" s="9" t="str">
        <f t="shared" si="968"/>
        <v/>
      </c>
      <c r="FY149" s="10" t="str">
        <f t="shared" si="969"/>
        <v/>
      </c>
      <c r="FZ149" s="277" t="str">
        <f t="shared" si="970"/>
        <v/>
      </c>
      <c r="GA149" s="177" t="str">
        <f t="shared" si="971"/>
        <v/>
      </c>
      <c r="GB149" s="4" t="str">
        <f t="shared" si="972"/>
        <v/>
      </c>
      <c r="GC149" s="5" t="str">
        <f t="shared" si="973"/>
        <v/>
      </c>
      <c r="GD149" s="10" t="str">
        <f t="shared" si="974"/>
        <v/>
      </c>
      <c r="GE149" s="311" t="str">
        <f t="shared" si="975"/>
        <v/>
      </c>
      <c r="GF149" s="341" t="str">
        <f t="shared" si="976"/>
        <v/>
      </c>
      <c r="GG149" s="306" t="str">
        <f t="shared" si="977"/>
        <v/>
      </c>
      <c r="GH149" s="307" t="str">
        <f t="shared" si="978"/>
        <v/>
      </c>
      <c r="GI149" s="308" t="str">
        <f t="shared" si="979"/>
        <v/>
      </c>
      <c r="GJ149" s="167" t="str">
        <f t="shared" si="980"/>
        <v/>
      </c>
      <c r="GK149" s="174" t="str">
        <f t="shared" si="778"/>
        <v/>
      </c>
      <c r="GL149" s="174" t="str">
        <f t="shared" si="981"/>
        <v/>
      </c>
      <c r="GM149" s="177" t="str">
        <f t="shared" si="982"/>
        <v/>
      </c>
      <c r="GN149" s="280" t="str">
        <f t="shared" si="983"/>
        <v/>
      </c>
      <c r="GO149" s="4" t="str">
        <f t="shared" si="984"/>
        <v/>
      </c>
      <c r="GP149" s="8" t="str">
        <f t="shared" si="985"/>
        <v/>
      </c>
      <c r="GQ149" s="177" t="str">
        <f t="shared" si="986"/>
        <v/>
      </c>
      <c r="GR149" s="371" t="str">
        <f t="shared" si="987"/>
        <v/>
      </c>
      <c r="GS149" s="342" t="str">
        <f t="shared" si="988"/>
        <v/>
      </c>
      <c r="GT149" s="343" t="str">
        <f t="shared" si="989"/>
        <v/>
      </c>
      <c r="GU149" s="344" t="str">
        <f t="shared" si="781"/>
        <v/>
      </c>
      <c r="GV149" s="343" t="str">
        <f t="shared" si="990"/>
        <v/>
      </c>
      <c r="GW149" s="345" t="str">
        <f t="shared" si="782"/>
        <v/>
      </c>
      <c r="GX149" s="346" t="str">
        <f t="shared" si="783"/>
        <v/>
      </c>
      <c r="GY149" s="344" t="str">
        <f t="shared" si="991"/>
        <v/>
      </c>
      <c r="GZ149" s="345" t="str">
        <f t="shared" si="992"/>
        <v/>
      </c>
      <c r="HA149" s="342" t="str">
        <f t="shared" si="786"/>
        <v/>
      </c>
      <c r="HB149" s="5" t="str">
        <f t="shared" si="726"/>
        <v/>
      </c>
      <c r="HC149" s="343" t="str">
        <f t="shared" si="993"/>
        <v/>
      </c>
      <c r="HD149" s="363" t="str">
        <f t="shared" si="994"/>
        <v/>
      </c>
      <c r="HE149" s="344" t="str">
        <f t="shared" si="787"/>
        <v/>
      </c>
      <c r="HF149" s="5" t="str">
        <f t="shared" si="788"/>
        <v/>
      </c>
      <c r="HG149" s="343" t="str">
        <f t="shared" si="995"/>
        <v/>
      </c>
      <c r="HH149" s="349" t="str">
        <f t="shared" si="996"/>
        <v/>
      </c>
      <c r="HI149" s="317" t="str">
        <f t="shared" si="1021"/>
        <v/>
      </c>
      <c r="HK149" s="310" t="str">
        <f t="shared" si="1052"/>
        <v/>
      </c>
      <c r="HL149" s="348" t="str">
        <f t="shared" si="1022"/>
        <v/>
      </c>
      <c r="HM149" s="909" t="str">
        <f t="shared" si="1023"/>
        <v/>
      </c>
      <c r="HN149" s="910" t="str">
        <f t="shared" si="1024"/>
        <v/>
      </c>
      <c r="HO149" s="911"/>
      <c r="HP149" s="912"/>
      <c r="HQ149" s="910" t="str">
        <f t="shared" si="1025"/>
        <v/>
      </c>
      <c r="HR149" s="913" t="str">
        <f t="shared" si="1026"/>
        <v/>
      </c>
      <c r="HS149" s="865" t="str">
        <f t="shared" si="997"/>
        <v/>
      </c>
      <c r="HT149" s="875" t="str">
        <f t="shared" si="1027"/>
        <v/>
      </c>
      <c r="HU149" s="876" t="str">
        <f t="shared" si="1028"/>
        <v/>
      </c>
      <c r="HV149" s="872" t="str">
        <f t="shared" si="1029"/>
        <v/>
      </c>
      <c r="HW149" s="866" t="str">
        <f t="shared" si="1030"/>
        <v/>
      </c>
      <c r="HX149" s="867" t="str">
        <f t="shared" si="1031"/>
        <v/>
      </c>
      <c r="HY149" s="866" t="str">
        <f t="shared" si="1032"/>
        <v/>
      </c>
      <c r="HZ149" s="868" t="str">
        <f t="shared" si="1033"/>
        <v/>
      </c>
      <c r="IA149" s="869" t="str">
        <f t="shared" si="1034"/>
        <v/>
      </c>
      <c r="IB149" s="870" t="str">
        <f t="shared" si="1035"/>
        <v/>
      </c>
      <c r="IC149" s="841" t="str">
        <f t="shared" si="1036"/>
        <v/>
      </c>
      <c r="ID149" s="351" t="str">
        <f t="shared" si="1037"/>
        <v/>
      </c>
      <c r="IE149" s="843" t="str">
        <f t="shared" si="1038"/>
        <v/>
      </c>
      <c r="IF149" s="844"/>
      <c r="IG149" s="790" t="str">
        <f>IFERROR(IF($IW149="","",IF($IW149&lt;(((Settings!$C$19/2)*-1)*$IG$8),"Taper","Nose")),"")</f>
        <v/>
      </c>
      <c r="IH149" s="482" t="str">
        <f>IFERROR(IF((((($IY149*COS(RADIANS(180-$JA149)))*COS(RADIANS($JA149)))-(($IZ149*SIN(RADIANS(180-$JA149)))*SIN(RADIANS($JA149))))+$IW149)&lt;(((Settings!$C$19+$IH$8)/2)*-1),"Gage",""),"")</f>
        <v/>
      </c>
      <c r="II149" s="788" t="str">
        <f t="shared" si="1054"/>
        <v/>
      </c>
      <c r="IJ149" s="674" t="str" cm="1">
        <f t="array" ref="IJ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K149" s="677" t="str" cm="1">
        <f t="array" ref="IK149">IFERROR(ROUND(VALUE(IF($IJ149&lt;1,$IJ149+LARGE((IF($M$9:$M$150="",0,$M$9:$M$150)-MOD(IF($M$9:$M$150="",0,$M$9:$M$150),1)),1),$IJ149)),4),"")</f>
        <v/>
      </c>
      <c r="IL149" s="482" t="str">
        <f t="shared" si="1039"/>
        <v/>
      </c>
      <c r="IM149" s="482" t="str">
        <f t="shared" si="1055"/>
        <v/>
      </c>
      <c r="IN149" s="670" t="str">
        <f t="shared" si="1040"/>
        <v/>
      </c>
      <c r="IO149" s="702"/>
      <c r="IP149" s="5" t="str">
        <f t="shared" si="1041"/>
        <v/>
      </c>
      <c r="IQ149" s="714"/>
      <c r="IR149" s="9" t="str">
        <f t="shared" si="1042"/>
        <v/>
      </c>
      <c r="IS149" s="5" t="str">
        <f t="shared" si="1043"/>
        <v/>
      </c>
      <c r="IT149" s="5" t="str">
        <f t="shared" si="1044"/>
        <v/>
      </c>
      <c r="IU149" s="5" t="str">
        <f t="shared" si="1045"/>
        <v/>
      </c>
      <c r="IV149" s="670" t="str">
        <f t="shared" si="1046"/>
        <v/>
      </c>
      <c r="IW149" s="9" t="str">
        <f t="shared" si="1047"/>
        <v/>
      </c>
      <c r="IX149" s="5" t="str">
        <f t="shared" si="1048"/>
        <v/>
      </c>
      <c r="IY149" s="5" t="str">
        <f t="shared" si="1049"/>
        <v/>
      </c>
      <c r="IZ149" s="5" t="str">
        <f t="shared" si="1050"/>
        <v/>
      </c>
      <c r="JA149" s="705" t="str">
        <f t="shared" si="1051"/>
        <v/>
      </c>
    </row>
    <row r="150" spans="1:261" ht="15" customHeight="1" thickBot="1" x14ac:dyDescent="0.3">
      <c r="A150" s="75" t="str">
        <f t="shared" si="736"/>
        <v/>
      </c>
      <c r="B150" s="578" t="str">
        <f t="shared" si="845"/>
        <v/>
      </c>
      <c r="C150" s="572" t="str">
        <f t="shared" si="846"/>
        <v/>
      </c>
      <c r="D150" s="576" t="str">
        <f t="shared" si="847"/>
        <v/>
      </c>
      <c r="E150" s="580" t="str">
        <f t="shared" si="848"/>
        <v/>
      </c>
      <c r="F150" s="572" t="str">
        <f t="shared" si="849"/>
        <v/>
      </c>
      <c r="G150" s="579" t="str">
        <f t="shared" si="850"/>
        <v/>
      </c>
      <c r="H150" s="580" t="str">
        <f t="shared" si="851"/>
        <v/>
      </c>
      <c r="I150" s="572" t="str">
        <f t="shared" si="852"/>
        <v/>
      </c>
      <c r="J150" s="483" t="str">
        <f t="shared" si="853"/>
        <v/>
      </c>
      <c r="K150" s="806" t="str">
        <f t="shared" si="854"/>
        <v/>
      </c>
      <c r="L150" s="309"/>
      <c r="M150" s="165" t="str">
        <f t="shared" si="998"/>
        <v/>
      </c>
      <c r="N150" s="589" t="str">
        <f t="shared" si="999"/>
        <v/>
      </c>
      <c r="O150" s="590" t="str">
        <f t="shared" si="1000"/>
        <v/>
      </c>
      <c r="P150" s="591" t="str">
        <f t="shared" si="1001"/>
        <v/>
      </c>
      <c r="Q150" s="540" t="str">
        <f t="shared" si="856"/>
        <v/>
      </c>
      <c r="R150" s="590" t="str">
        <f t="shared" si="857"/>
        <v/>
      </c>
      <c r="S150" s="592" t="str">
        <f t="shared" si="858"/>
        <v/>
      </c>
      <c r="T150" s="593" t="str">
        <f t="shared" si="859"/>
        <v/>
      </c>
      <c r="U150" s="590" t="str">
        <f t="shared" si="860"/>
        <v/>
      </c>
      <c r="V150" s="594" t="str">
        <f t="shared" si="861"/>
        <v/>
      </c>
      <c r="W150" s="540" t="str">
        <f t="shared" si="862"/>
        <v/>
      </c>
      <c r="X150" s="590" t="str">
        <f t="shared" si="863"/>
        <v/>
      </c>
      <c r="Y150" s="595" t="str">
        <f t="shared" si="864"/>
        <v/>
      </c>
      <c r="Z150" s="589" t="str">
        <f t="shared" si="1002"/>
        <v/>
      </c>
      <c r="AA150" s="590" t="str">
        <f t="shared" si="1003"/>
        <v/>
      </c>
      <c r="AB150" s="590" t="str">
        <f t="shared" si="1004"/>
        <v/>
      </c>
      <c r="AC150" s="594" t="str">
        <f t="shared" si="865"/>
        <v/>
      </c>
      <c r="AD150" s="596" t="str">
        <f t="shared" si="866"/>
        <v/>
      </c>
      <c r="AE150" s="590" t="str">
        <f t="shared" si="867"/>
        <v/>
      </c>
      <c r="AF150" s="591" t="str">
        <f t="shared" si="868"/>
        <v/>
      </c>
      <c r="AG150" s="549" t="str">
        <f t="shared" si="869"/>
        <v/>
      </c>
      <c r="AH150" s="550" t="str">
        <f t="shared" si="870"/>
        <v/>
      </c>
      <c r="AI150" s="540" t="str">
        <f t="shared" si="871"/>
        <v/>
      </c>
      <c r="AJ150" s="541" t="str">
        <f t="shared" si="872"/>
        <v/>
      </c>
      <c r="AK150" s="593" t="str">
        <f t="shared" si="873"/>
        <v/>
      </c>
      <c r="AL150" s="590" t="str">
        <f t="shared" si="874"/>
        <v/>
      </c>
      <c r="AM150" s="592" t="str">
        <f t="shared" si="875"/>
        <v/>
      </c>
      <c r="AN150" s="538" t="str">
        <f t="shared" si="876"/>
        <v/>
      </c>
      <c r="AO150" s="539" t="str">
        <f t="shared" si="855"/>
        <v/>
      </c>
      <c r="AP150" s="540" t="str">
        <f t="shared" si="877"/>
        <v/>
      </c>
      <c r="AQ150" s="541" t="str">
        <f t="shared" si="1005"/>
        <v/>
      </c>
      <c r="AS150" s="934" t="str">
        <f t="shared" si="1053"/>
        <v/>
      </c>
      <c r="AT150" s="930" t="str">
        <f t="shared" si="1006"/>
        <v/>
      </c>
      <c r="AU150" s="418"/>
      <c r="AV150" s="164" t="str">
        <f t="shared" si="1007"/>
        <v/>
      </c>
      <c r="AW150" s="835" t="str">
        <f>IFERROR(INDEX(MassProp!C$9:C$150,MATCH($M150,MassProp!$B$9:$B$150,0)),"")</f>
        <v/>
      </c>
      <c r="AX150" s="836" t="str">
        <f>IFERROR(INDEX(MassProp!D$9:D$150,MATCH($M150,MassProp!$B$9:$B$150,0)),"")</f>
        <v/>
      </c>
      <c r="AY150" s="837" t="str">
        <f>IFERROR(INDEX(MassProp!E$9:E$150,MATCH($M150,MassProp!$B$9:$B$150,0)),"")</f>
        <v/>
      </c>
      <c r="AZ150" s="297" t="str">
        <f t="shared" si="878"/>
        <v/>
      </c>
      <c r="BA150" s="298" t="str">
        <f t="shared" si="879"/>
        <v/>
      </c>
      <c r="BB150" s="372" t="str">
        <f t="shared" si="610"/>
        <v/>
      </c>
      <c r="BC150" s="17"/>
      <c r="BD150" s="13" t="str">
        <f t="shared" si="880"/>
        <v/>
      </c>
      <c r="BE150" s="14" t="str">
        <f t="shared" si="1008"/>
        <v/>
      </c>
      <c r="BF150" s="12" t="str">
        <f t="shared" si="1009"/>
        <v/>
      </c>
      <c r="BG150" s="13" t="str">
        <f t="shared" si="1010"/>
        <v/>
      </c>
      <c r="BH150" s="18" t="str">
        <f t="shared" si="1011"/>
        <v/>
      </c>
      <c r="BI150" s="17" t="str">
        <f t="shared" si="881"/>
        <v/>
      </c>
      <c r="BJ150" s="13" t="str">
        <f t="shared" si="1012"/>
        <v/>
      </c>
      <c r="BK150" s="16" t="str">
        <f t="shared" si="1013"/>
        <v/>
      </c>
      <c r="BL150" s="214" t="str">
        <f t="shared" si="1014"/>
        <v/>
      </c>
      <c r="BM150" s="13" t="str">
        <f t="shared" si="1015"/>
        <v/>
      </c>
      <c r="BN150" s="14" t="str">
        <f t="shared" si="1016"/>
        <v/>
      </c>
      <c r="BO150" s="12" t="str">
        <f t="shared" si="882"/>
        <v/>
      </c>
      <c r="BP150" s="13" t="str">
        <f t="shared" si="1056"/>
        <v/>
      </c>
      <c r="BQ150" s="13" t="str">
        <f t="shared" si="883"/>
        <v/>
      </c>
      <c r="BR150" s="14" t="str">
        <f t="shared" si="884"/>
        <v/>
      </c>
      <c r="BS150" s="12" t="str">
        <f t="shared" si="839"/>
        <v/>
      </c>
      <c r="BT150" s="13" t="str">
        <f t="shared" si="839"/>
        <v/>
      </c>
      <c r="BU150" s="18" t="str">
        <f t="shared" si="613"/>
        <v/>
      </c>
      <c r="BV150" s="17" t="str">
        <f t="shared" si="614"/>
        <v/>
      </c>
      <c r="BW150" s="13" t="str">
        <f t="shared" si="615"/>
        <v/>
      </c>
      <c r="BX150" s="16" t="str">
        <f t="shared" si="616"/>
        <v/>
      </c>
      <c r="BY150" s="214" t="str">
        <f t="shared" si="617"/>
        <v/>
      </c>
      <c r="BZ150" s="13" t="str">
        <f t="shared" si="618"/>
        <v/>
      </c>
      <c r="CA150" s="14" t="str">
        <f t="shared" si="619"/>
        <v/>
      </c>
      <c r="CB150" s="12" t="str">
        <f t="shared" si="885"/>
        <v/>
      </c>
      <c r="CC150" s="13" t="str">
        <f t="shared" si="886"/>
        <v/>
      </c>
      <c r="CD150" s="13" t="str">
        <f t="shared" si="887"/>
        <v/>
      </c>
      <c r="CE150" s="14" t="str">
        <f t="shared" si="888"/>
        <v/>
      </c>
      <c r="CF150" s="12" t="str">
        <f t="shared" si="889"/>
        <v/>
      </c>
      <c r="CG150" s="13" t="str">
        <f t="shared" si="890"/>
        <v/>
      </c>
      <c r="CH150" s="13" t="str">
        <f t="shared" si="891"/>
        <v/>
      </c>
      <c r="CI150" s="12" t="str">
        <f t="shared" si="620"/>
        <v/>
      </c>
      <c r="CJ150" s="13" t="str">
        <f t="shared" si="892"/>
        <v/>
      </c>
      <c r="CK150" s="16" t="str">
        <f t="shared" si="893"/>
        <v/>
      </c>
      <c r="CL150" s="214" t="str">
        <f t="shared" si="894"/>
        <v/>
      </c>
      <c r="CM150" s="13" t="str">
        <f t="shared" si="895"/>
        <v/>
      </c>
      <c r="CN150" s="14" t="str">
        <f t="shared" si="896"/>
        <v/>
      </c>
      <c r="CO150" s="227" t="str">
        <f t="shared" si="1017"/>
        <v/>
      </c>
      <c r="CP150" s="12" t="str">
        <f t="shared" si="897"/>
        <v/>
      </c>
      <c r="CQ150" s="13" t="str">
        <f t="shared" si="898"/>
        <v/>
      </c>
      <c r="CR150" s="13" t="str">
        <f t="shared" si="899"/>
        <v/>
      </c>
      <c r="CS150" s="16" t="str">
        <f t="shared" si="900"/>
        <v/>
      </c>
      <c r="CT150" s="17" t="str">
        <f t="shared" si="901"/>
        <v/>
      </c>
      <c r="CU150" s="14" t="str">
        <f t="shared" si="902"/>
        <v/>
      </c>
      <c r="CV150" s="12" t="str">
        <f t="shared" si="903"/>
        <v/>
      </c>
      <c r="CW150" s="13" t="str">
        <f t="shared" si="904"/>
        <v/>
      </c>
      <c r="CX150" s="16" t="str">
        <f t="shared" si="905"/>
        <v/>
      </c>
      <c r="CY150" s="17" t="str">
        <f t="shared" si="906"/>
        <v/>
      </c>
      <c r="CZ150" s="13" t="str">
        <f t="shared" si="907"/>
        <v/>
      </c>
      <c r="DA150" s="14" t="str">
        <f t="shared" si="908"/>
        <v/>
      </c>
      <c r="DB150" s="12" t="str">
        <f t="shared" si="843"/>
        <v/>
      </c>
      <c r="DC150" s="13" t="str">
        <f t="shared" si="843"/>
        <v/>
      </c>
      <c r="DD150" s="18" t="str">
        <f t="shared" si="658"/>
        <v/>
      </c>
      <c r="DE150" s="17" t="str">
        <f t="shared" si="844"/>
        <v/>
      </c>
      <c r="DF150" s="13" t="str">
        <f t="shared" si="844"/>
        <v/>
      </c>
      <c r="DG150" s="18" t="str">
        <f t="shared" si="660"/>
        <v/>
      </c>
      <c r="DH150" s="218" t="str">
        <f t="shared" si="909"/>
        <v/>
      </c>
      <c r="DI150" s="12" t="str">
        <f t="shared" si="910"/>
        <v/>
      </c>
      <c r="DJ150" s="13" t="str">
        <f t="shared" si="911"/>
        <v/>
      </c>
      <c r="DK150" s="18" t="str">
        <f t="shared" si="912"/>
        <v/>
      </c>
      <c r="DL150" s="17" t="str">
        <f t="shared" si="913"/>
        <v/>
      </c>
      <c r="DM150" s="214" t="str">
        <f t="shared" si="914"/>
        <v/>
      </c>
      <c r="DN150" s="245" t="str">
        <f t="shared" si="915"/>
        <v/>
      </c>
      <c r="DO150" s="17" t="str">
        <f t="shared" si="916"/>
        <v/>
      </c>
      <c r="DP150" s="214" t="str">
        <f t="shared" si="917"/>
        <v/>
      </c>
      <c r="DQ150" s="19" t="str">
        <f t="shared" si="918"/>
        <v/>
      </c>
      <c r="DR150" s="214" t="str">
        <f t="shared" si="919"/>
        <v/>
      </c>
      <c r="DS150" s="13" t="str">
        <f t="shared" si="920"/>
        <v/>
      </c>
      <c r="DT150" s="13" t="str">
        <f t="shared" si="921"/>
        <v/>
      </c>
      <c r="DU150" s="13" t="str">
        <f t="shared" si="922"/>
        <v/>
      </c>
      <c r="DV150" s="13" t="str">
        <f t="shared" si="923"/>
        <v/>
      </c>
      <c r="DW150" s="13" t="str">
        <f t="shared" si="924"/>
        <v/>
      </c>
      <c r="DX150" s="227" t="str">
        <f t="shared" si="925"/>
        <v/>
      </c>
      <c r="DY150" s="17" t="str">
        <f t="shared" si="926"/>
        <v/>
      </c>
      <c r="DZ150" s="13" t="str">
        <f t="shared" si="927"/>
        <v/>
      </c>
      <c r="EA150" s="18" t="str">
        <f t="shared" si="928"/>
        <v/>
      </c>
      <c r="EB150" s="14" t="str">
        <f t="shared" si="929"/>
        <v/>
      </c>
      <c r="EC150" s="214" t="str">
        <f t="shared" si="930"/>
        <v/>
      </c>
      <c r="ED150" s="13" t="str">
        <f t="shared" si="931"/>
        <v/>
      </c>
      <c r="EE150" s="12" t="str">
        <f t="shared" si="932"/>
        <v/>
      </c>
      <c r="EF150" s="13" t="str">
        <f t="shared" si="933"/>
        <v/>
      </c>
      <c r="EG150" s="18" t="str">
        <f t="shared" si="934"/>
        <v/>
      </c>
      <c r="EH150" s="17" t="str">
        <f t="shared" si="935"/>
        <v/>
      </c>
      <c r="EI150" s="13" t="str">
        <f t="shared" si="936"/>
        <v/>
      </c>
      <c r="EJ150" s="14" t="str">
        <f t="shared" si="937"/>
        <v/>
      </c>
      <c r="EK150" s="246" t="str">
        <f t="shared" si="690"/>
        <v/>
      </c>
      <c r="EL150" s="247" t="str">
        <f t="shared" si="691"/>
        <v/>
      </c>
      <c r="EM150" s="12" t="str">
        <f t="shared" si="938"/>
        <v/>
      </c>
      <c r="EN150" s="13" t="str">
        <f t="shared" si="939"/>
        <v/>
      </c>
      <c r="EO150" s="18" t="str">
        <f t="shared" si="940"/>
        <v/>
      </c>
      <c r="EP150" s="17" t="str">
        <f t="shared" si="941"/>
        <v/>
      </c>
      <c r="EQ150" s="13" t="str">
        <f t="shared" si="942"/>
        <v/>
      </c>
      <c r="ER150" s="15" t="str">
        <f t="shared" si="943"/>
        <v/>
      </c>
      <c r="ES150" s="255" t="str">
        <f t="shared" si="1018"/>
        <v/>
      </c>
      <c r="ET150" s="256" t="str">
        <f t="shared" si="1019"/>
        <v/>
      </c>
      <c r="EU150" s="257" t="str">
        <f t="shared" si="1020"/>
        <v/>
      </c>
      <c r="EV150" s="174" t="str">
        <f t="shared" si="944"/>
        <v/>
      </c>
      <c r="EW150" s="258" t="str">
        <f t="shared" si="945"/>
        <v/>
      </c>
      <c r="EX150" s="256" t="str">
        <f t="shared" si="946"/>
        <v/>
      </c>
      <c r="EY150" s="259" t="str">
        <f t="shared" si="947"/>
        <v/>
      </c>
      <c r="EZ150" s="260" t="str">
        <f t="shared" si="699"/>
        <v/>
      </c>
      <c r="FA150" s="261" t="str">
        <f t="shared" si="764"/>
        <v/>
      </c>
      <c r="FB150" s="256" t="str">
        <f t="shared" si="765"/>
        <v/>
      </c>
      <c r="FC150" s="259" t="str">
        <f t="shared" si="766"/>
        <v/>
      </c>
      <c r="FD150" s="270" t="str">
        <f t="shared" si="948"/>
        <v/>
      </c>
      <c r="FE150" s="256" t="str">
        <f t="shared" si="949"/>
        <v/>
      </c>
      <c r="FF150" s="262" t="str">
        <f t="shared" si="950"/>
        <v/>
      </c>
      <c r="FG150" s="173" t="str">
        <f t="shared" si="951"/>
        <v/>
      </c>
      <c r="FH150" s="5" t="str">
        <f t="shared" si="952"/>
        <v/>
      </c>
      <c r="FI150" s="10" t="str">
        <f t="shared" si="953"/>
        <v/>
      </c>
      <c r="FJ150" s="279" t="str">
        <f t="shared" si="954"/>
        <v/>
      </c>
      <c r="FK150" s="4" t="str">
        <f t="shared" si="955"/>
        <v/>
      </c>
      <c r="FL150" s="5" t="str">
        <f t="shared" si="956"/>
        <v/>
      </c>
      <c r="FM150" s="8" t="str">
        <f t="shared" si="957"/>
        <v/>
      </c>
      <c r="FN150" s="9" t="str">
        <f t="shared" si="958"/>
        <v/>
      </c>
      <c r="FO150" s="10" t="str">
        <f t="shared" si="959"/>
        <v/>
      </c>
      <c r="FP150" s="277" t="str">
        <f t="shared" si="960"/>
        <v/>
      </c>
      <c r="FQ150" s="173" t="str">
        <f t="shared" si="961"/>
        <v/>
      </c>
      <c r="FR150" s="10" t="str">
        <f t="shared" si="962"/>
        <v/>
      </c>
      <c r="FS150" s="9" t="str">
        <f t="shared" si="963"/>
        <v/>
      </c>
      <c r="FT150" s="6" t="str">
        <f t="shared" si="964"/>
        <v/>
      </c>
      <c r="FU150" s="4" t="str">
        <f t="shared" si="965"/>
        <v/>
      </c>
      <c r="FV150" s="5" t="str">
        <f t="shared" si="966"/>
        <v/>
      </c>
      <c r="FW150" s="8" t="str">
        <f t="shared" si="967"/>
        <v/>
      </c>
      <c r="FX150" s="9" t="str">
        <f t="shared" si="968"/>
        <v/>
      </c>
      <c r="FY150" s="10" t="str">
        <f t="shared" si="969"/>
        <v/>
      </c>
      <c r="FZ150" s="277" t="str">
        <f t="shared" si="970"/>
        <v/>
      </c>
      <c r="GA150" s="177" t="str">
        <f t="shared" si="971"/>
        <v/>
      </c>
      <c r="GB150" s="4" t="str">
        <f t="shared" si="972"/>
        <v/>
      </c>
      <c r="GC150" s="5" t="str">
        <f t="shared" si="973"/>
        <v/>
      </c>
      <c r="GD150" s="10" t="str">
        <f t="shared" si="974"/>
        <v/>
      </c>
      <c r="GE150" s="311" t="str">
        <f t="shared" si="975"/>
        <v/>
      </c>
      <c r="GF150" s="341" t="str">
        <f t="shared" si="976"/>
        <v/>
      </c>
      <c r="GG150" s="306" t="str">
        <f t="shared" si="977"/>
        <v/>
      </c>
      <c r="GH150" s="307" t="str">
        <f t="shared" si="978"/>
        <v/>
      </c>
      <c r="GI150" s="308" t="str">
        <f t="shared" si="979"/>
        <v/>
      </c>
      <c r="GJ150" s="167" t="str">
        <f t="shared" si="980"/>
        <v/>
      </c>
      <c r="GK150" s="174" t="str">
        <f t="shared" si="778"/>
        <v/>
      </c>
      <c r="GL150" s="174" t="str">
        <f t="shared" si="981"/>
        <v/>
      </c>
      <c r="GM150" s="177" t="str">
        <f t="shared" si="982"/>
        <v/>
      </c>
      <c r="GN150" s="280" t="str">
        <f t="shared" si="983"/>
        <v/>
      </c>
      <c r="GO150" s="4" t="str">
        <f t="shared" si="984"/>
        <v/>
      </c>
      <c r="GP150" s="8" t="str">
        <f t="shared" si="985"/>
        <v/>
      </c>
      <c r="GQ150" s="177" t="str">
        <f t="shared" si="986"/>
        <v/>
      </c>
      <c r="GR150" s="371" t="str">
        <f t="shared" si="987"/>
        <v/>
      </c>
      <c r="GS150" s="342" t="str">
        <f t="shared" si="988"/>
        <v/>
      </c>
      <c r="GT150" s="343" t="str">
        <f t="shared" si="989"/>
        <v/>
      </c>
      <c r="GU150" s="344" t="str">
        <f t="shared" si="781"/>
        <v/>
      </c>
      <c r="GV150" s="343" t="str">
        <f t="shared" si="990"/>
        <v/>
      </c>
      <c r="GW150" s="345" t="str">
        <f t="shared" si="782"/>
        <v/>
      </c>
      <c r="GX150" s="346" t="str">
        <f t="shared" si="783"/>
        <v/>
      </c>
      <c r="GY150" s="344" t="str">
        <f t="shared" si="991"/>
        <v/>
      </c>
      <c r="GZ150" s="345" t="str">
        <f t="shared" si="992"/>
        <v/>
      </c>
      <c r="HA150" s="342" t="str">
        <f t="shared" si="786"/>
        <v/>
      </c>
      <c r="HB150" s="5" t="str">
        <f t="shared" si="726"/>
        <v/>
      </c>
      <c r="HC150" s="343" t="str">
        <f t="shared" si="993"/>
        <v/>
      </c>
      <c r="HD150" s="363" t="str">
        <f t="shared" si="994"/>
        <v/>
      </c>
      <c r="HE150" s="344" t="str">
        <f t="shared" si="787"/>
        <v/>
      </c>
      <c r="HF150" s="5" t="str">
        <f t="shared" si="788"/>
        <v/>
      </c>
      <c r="HG150" s="343" t="str">
        <f t="shared" si="995"/>
        <v/>
      </c>
      <c r="HH150" s="349" t="str">
        <f t="shared" si="996"/>
        <v/>
      </c>
      <c r="HI150" s="317" t="str">
        <f t="shared" si="1021"/>
        <v/>
      </c>
      <c r="HK150" s="310" t="str">
        <f t="shared" si="1052"/>
        <v/>
      </c>
      <c r="HL150" s="348" t="str">
        <f t="shared" si="1022"/>
        <v/>
      </c>
      <c r="HM150" s="909" t="str">
        <f t="shared" si="1023"/>
        <v/>
      </c>
      <c r="HN150" s="910" t="str">
        <f t="shared" si="1024"/>
        <v/>
      </c>
      <c r="HO150" s="911"/>
      <c r="HP150" s="912"/>
      <c r="HQ150" s="910" t="str">
        <f t="shared" si="1025"/>
        <v/>
      </c>
      <c r="HR150" s="913" t="str">
        <f t="shared" si="1026"/>
        <v/>
      </c>
      <c r="HS150" s="865" t="str">
        <f t="shared" si="997"/>
        <v/>
      </c>
      <c r="HT150" s="875" t="str">
        <f t="shared" si="1027"/>
        <v/>
      </c>
      <c r="HU150" s="876" t="str">
        <f t="shared" si="1028"/>
        <v/>
      </c>
      <c r="HV150" s="872" t="str">
        <f t="shared" si="1029"/>
        <v/>
      </c>
      <c r="HW150" s="866" t="str">
        <f t="shared" si="1030"/>
        <v/>
      </c>
      <c r="HX150" s="867" t="str">
        <f t="shared" si="1031"/>
        <v/>
      </c>
      <c r="HY150" s="866" t="str">
        <f t="shared" si="1032"/>
        <v/>
      </c>
      <c r="HZ150" s="868" t="str">
        <f t="shared" si="1033"/>
        <v/>
      </c>
      <c r="IA150" s="869" t="str">
        <f t="shared" si="1034"/>
        <v/>
      </c>
      <c r="IB150" s="870" t="str">
        <f t="shared" si="1035"/>
        <v/>
      </c>
      <c r="IC150" s="841" t="str">
        <f t="shared" si="1036"/>
        <v/>
      </c>
      <c r="ID150" s="351" t="str">
        <f t="shared" si="1037"/>
        <v/>
      </c>
      <c r="IE150" s="843" t="str">
        <f t="shared" si="1038"/>
        <v/>
      </c>
      <c r="IF150" s="844"/>
      <c r="IG150" s="791" t="str">
        <f>IFERROR(IF($IW150="","",IF($IW150&lt;(((Settings!$C$19/2)*-1)*$IG$8),"Taper","Nose")),"")</f>
        <v/>
      </c>
      <c r="IH150" s="782" t="str">
        <f>IFERROR(IF((((($IY150*COS(RADIANS(180-$JA150)))*COS(RADIANS($JA150)))-(($IZ150*SIN(RADIANS(180-$JA150)))*SIN(RADIANS($JA150))))+$IW150)&lt;(((Settings!$C$19+$IH$8)/2)*-1),"Gage",""),"")</f>
        <v/>
      </c>
      <c r="II150" s="789" t="str">
        <f t="shared" si="1054"/>
        <v/>
      </c>
      <c r="IJ150" s="675" t="str" cm="1">
        <f t="array" ref="IJ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K150" s="678" t="str" cm="1">
        <f t="array" ref="IK150">IFERROR(ROUND(VALUE(IF($IJ150&lt;1,$IJ150+LARGE((IF($M$9:$M$150="",0,$M$9:$M$150)-MOD(IF($M$9:$M$150="",0,$M$9:$M$150),1)),1),$IJ150)),4),"")</f>
        <v/>
      </c>
      <c r="IL150" s="782" t="str">
        <f t="shared" si="1039"/>
        <v/>
      </c>
      <c r="IM150" s="782" t="str">
        <f t="shared" si="1055"/>
        <v/>
      </c>
      <c r="IN150" s="671" t="str">
        <f t="shared" si="1040"/>
        <v/>
      </c>
      <c r="IO150" s="703"/>
      <c r="IP150" s="175" t="str">
        <f t="shared" si="1041"/>
        <v/>
      </c>
      <c r="IQ150" s="715"/>
      <c r="IR150" s="711" t="str">
        <f t="shared" si="1042"/>
        <v/>
      </c>
      <c r="IS150" s="175" t="str">
        <f t="shared" si="1043"/>
        <v/>
      </c>
      <c r="IT150" s="175" t="str">
        <f t="shared" si="1044"/>
        <v/>
      </c>
      <c r="IU150" s="175" t="str">
        <f t="shared" si="1045"/>
        <v/>
      </c>
      <c r="IV150" s="671" t="str">
        <f t="shared" si="1046"/>
        <v/>
      </c>
      <c r="IW150" s="711" t="str">
        <f t="shared" si="1047"/>
        <v/>
      </c>
      <c r="IX150" s="175" t="str">
        <f t="shared" si="1048"/>
        <v/>
      </c>
      <c r="IY150" s="175" t="str">
        <f t="shared" si="1049"/>
        <v/>
      </c>
      <c r="IZ150" s="175" t="str">
        <f t="shared" si="1050"/>
        <v/>
      </c>
      <c r="JA150" s="706" t="str">
        <f t="shared" si="1051"/>
        <v/>
      </c>
    </row>
    <row r="151" spans="1:261" x14ac:dyDescent="0.25">
      <c r="L151" s="309"/>
      <c r="AZ151" s="187">
        <f>SUM(AZ9:AZ150)</f>
        <v>0</v>
      </c>
      <c r="BA151" s="288">
        <f>SUM(BA9:BA150)</f>
        <v>0</v>
      </c>
      <c r="BB151" s="189"/>
    </row>
    <row r="152" spans="1:261" x14ac:dyDescent="0.25">
      <c r="H152" s="68"/>
    </row>
    <row r="153" spans="1:261" x14ac:dyDescent="0.25">
      <c r="H153" s="68"/>
    </row>
    <row r="154" spans="1:261" x14ac:dyDescent="0.25">
      <c r="E154" s="166"/>
      <c r="F154" s="166"/>
      <c r="G154" s="166"/>
      <c r="H154" s="135"/>
      <c r="I154" s="82"/>
      <c r="J154" s="75"/>
    </row>
    <row r="155" spans="1:261" x14ac:dyDescent="0.25">
      <c r="E155" s="166"/>
      <c r="F155" s="166"/>
      <c r="G155" s="166"/>
      <c r="H155" s="135"/>
      <c r="I155" s="82"/>
      <c r="J155" s="75"/>
    </row>
    <row r="156" spans="1:261" ht="15.75" thickBot="1" x14ac:dyDescent="0.3">
      <c r="B156" s="69"/>
      <c r="C156" s="69"/>
      <c r="D156" s="69"/>
      <c r="E156" s="166"/>
      <c r="F156" s="166"/>
      <c r="G156" s="166"/>
      <c r="H156" s="135"/>
      <c r="I156" s="82"/>
      <c r="J156" s="75"/>
    </row>
    <row r="157" spans="1:261" ht="15" customHeight="1" x14ac:dyDescent="0.25">
      <c r="B157" s="1264" t="s">
        <v>42</v>
      </c>
      <c r="C157" s="1265"/>
      <c r="D157" s="1265"/>
      <c r="E157" s="1265"/>
      <c r="F157" s="1265"/>
      <c r="G157" s="1265"/>
      <c r="H157" s="1265"/>
      <c r="I157" s="1265"/>
      <c r="J157" s="1265"/>
      <c r="K157" s="1265"/>
      <c r="L157" s="1265"/>
      <c r="M157" s="1265"/>
      <c r="N157" s="1265"/>
      <c r="O157" s="1266"/>
      <c r="BC157" t="s">
        <v>101</v>
      </c>
      <c r="BD157" s="219">
        <v>0</v>
      </c>
    </row>
    <row r="158" spans="1:261" ht="15" customHeight="1" x14ac:dyDescent="0.25">
      <c r="B158" s="1267"/>
      <c r="C158" s="1268"/>
      <c r="D158" s="1268"/>
      <c r="E158" s="1268"/>
      <c r="F158" s="1268"/>
      <c r="G158" s="1268"/>
      <c r="H158" s="1268"/>
      <c r="I158" s="1268"/>
      <c r="J158" s="1268"/>
      <c r="K158" s="1268"/>
      <c r="L158" s="1268"/>
      <c r="M158" s="1268"/>
      <c r="N158" s="1268"/>
      <c r="O158" s="1269"/>
      <c r="BC158" t="s">
        <v>102</v>
      </c>
      <c r="BD158" s="219">
        <v>0.01</v>
      </c>
    </row>
    <row r="159" spans="1:261" ht="15" customHeight="1" x14ac:dyDescent="0.25">
      <c r="B159" s="1267"/>
      <c r="C159" s="1268"/>
      <c r="D159" s="1268"/>
      <c r="E159" s="1268"/>
      <c r="F159" s="1268"/>
      <c r="G159" s="1268"/>
      <c r="H159" s="1268"/>
      <c r="I159" s="1268"/>
      <c r="J159" s="1268"/>
      <c r="K159" s="1268"/>
      <c r="L159" s="1268"/>
      <c r="M159" s="1268"/>
      <c r="N159" s="1268"/>
      <c r="O159" s="1269"/>
      <c r="AJ159" s="31" t="s">
        <v>349</v>
      </c>
      <c r="AU159"/>
    </row>
    <row r="160" spans="1:261" ht="15" customHeight="1" x14ac:dyDescent="0.25">
      <c r="B160" s="1270" t="str">
        <f>CONCATENATE(B162," ; ",E162," ; ",H163)</f>
        <v>Absolute-Point ; Incremental-Vector Point ; Radius</v>
      </c>
      <c r="C160" s="1271"/>
      <c r="D160" s="1271"/>
      <c r="E160" s="1271"/>
      <c r="F160" s="1271"/>
      <c r="G160" s="1271"/>
      <c r="H160" s="1271"/>
      <c r="I160" s="1271"/>
      <c r="J160" s="1271"/>
      <c r="K160" s="1271"/>
      <c r="L160" s="1271"/>
      <c r="M160" s="1271"/>
      <c r="N160" s="1271"/>
      <c r="O160" s="1272"/>
      <c r="AJ160" s="82">
        <f>COUNT(_xlfn.ANCHORARRAY($AJ$164))</f>
        <v>540</v>
      </c>
      <c r="AU160"/>
      <c r="BC160" t="s">
        <v>160</v>
      </c>
      <c r="BD160" s="31" t="s">
        <v>159</v>
      </c>
      <c r="BE160" s="31" t="s">
        <v>101</v>
      </c>
      <c r="BF160" s="31" t="s">
        <v>102</v>
      </c>
    </row>
    <row r="161" spans="2:58" ht="15" customHeight="1" x14ac:dyDescent="0.25">
      <c r="B161" s="1270"/>
      <c r="C161" s="1271"/>
      <c r="D161" s="1271"/>
      <c r="E161" s="1271"/>
      <c r="F161" s="1271"/>
      <c r="G161" s="1271"/>
      <c r="H161" s="1271"/>
      <c r="I161" s="1271"/>
      <c r="J161" s="1271"/>
      <c r="K161" s="1271"/>
      <c r="L161" s="1271"/>
      <c r="M161" s="1271"/>
      <c r="N161" s="1271"/>
      <c r="O161" s="1272"/>
      <c r="AJ161" s="948"/>
      <c r="AK161" s="948"/>
      <c r="AL161" s="949" t="s">
        <v>417</v>
      </c>
      <c r="AM161" s="948"/>
      <c r="AN161" s="948"/>
      <c r="AO161" s="948"/>
      <c r="AP161" s="948"/>
      <c r="AQ161" s="948"/>
      <c r="AR161" s="948"/>
      <c r="AS161" s="948"/>
      <c r="AT161" s="948"/>
      <c r="AU161" s="948"/>
      <c r="AV161" s="948"/>
      <c r="BC161" t="s">
        <v>151</v>
      </c>
      <c r="BD161" s="199">
        <v>0.433</v>
      </c>
      <c r="BE161" s="162">
        <f t="shared" ref="BE161:BE168" si="1057">BD161+$BD$157</f>
        <v>0.433</v>
      </c>
      <c r="BF161" s="162">
        <f t="shared" ref="BF161:BF168" si="1058">BD161+$BD$158</f>
        <v>0.443</v>
      </c>
    </row>
    <row r="162" spans="2:58" x14ac:dyDescent="0.25">
      <c r="B162" s="976" t="s">
        <v>40</v>
      </c>
      <c r="C162" s="977"/>
      <c r="D162" s="978"/>
      <c r="E162" s="979" t="s">
        <v>41</v>
      </c>
      <c r="F162" s="977"/>
      <c r="G162" s="980"/>
      <c r="H162" s="981" t="s">
        <v>305</v>
      </c>
      <c r="I162" s="982"/>
      <c r="J162" s="983"/>
      <c r="K162" s="981" t="s">
        <v>386</v>
      </c>
      <c r="L162" s="1052"/>
      <c r="M162" s="937"/>
      <c r="N162" s="984" t="s">
        <v>398</v>
      </c>
      <c r="O162" s="985"/>
      <c r="AF162" s="31" t="s">
        <v>87</v>
      </c>
      <c r="AG162" s="31" t="s">
        <v>37</v>
      </c>
      <c r="AH162" s="31" t="s">
        <v>415</v>
      </c>
      <c r="AI162" s="31" t="s">
        <v>413</v>
      </c>
      <c r="AJ162" s="948"/>
      <c r="AK162" s="948"/>
      <c r="AL162" s="949" t="s">
        <v>55</v>
      </c>
      <c r="AM162" s="949" t="s">
        <v>244</v>
      </c>
      <c r="AN162" s="949" t="s">
        <v>107</v>
      </c>
      <c r="AO162" s="949" t="s">
        <v>26</v>
      </c>
      <c r="AP162" s="949" t="s">
        <v>407</v>
      </c>
      <c r="AQ162" s="949" t="s">
        <v>30</v>
      </c>
      <c r="AR162" s="948"/>
      <c r="AS162" s="948"/>
      <c r="AT162" s="948"/>
      <c r="AU162" s="948"/>
      <c r="AV162" s="948"/>
      <c r="BC162" t="s">
        <v>152</v>
      </c>
      <c r="BD162" s="199">
        <v>0.48099999999999998</v>
      </c>
      <c r="BE162" s="162">
        <f t="shared" si="1057"/>
        <v>0.48099999999999998</v>
      </c>
      <c r="BF162" s="162">
        <f t="shared" si="1058"/>
        <v>0.49099999999999999</v>
      </c>
    </row>
    <row r="163" spans="2:58" ht="18.75" thickBot="1" x14ac:dyDescent="0.4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32" t="s">
        <v>403</v>
      </c>
      <c r="L163" s="39" t="s">
        <v>337</v>
      </c>
      <c r="M163" s="854" t="s">
        <v>401</v>
      </c>
      <c r="N163" s="915" t="s">
        <v>402</v>
      </c>
      <c r="O163" s="916" t="s">
        <v>397</v>
      </c>
      <c r="AE163" s="31" t="s">
        <v>409</v>
      </c>
      <c r="AF163" s="31" t="s">
        <v>414</v>
      </c>
      <c r="AG163" s="31" t="s">
        <v>411</v>
      </c>
      <c r="AH163" s="31" t="s">
        <v>416</v>
      </c>
      <c r="AI163" s="31" t="s">
        <v>412</v>
      </c>
      <c r="AJ163" s="949" t="s">
        <v>410</v>
      </c>
      <c r="AK163" s="949" t="s">
        <v>408</v>
      </c>
      <c r="AL163" s="949" t="s">
        <v>8</v>
      </c>
      <c r="AM163" s="949" t="s">
        <v>9</v>
      </c>
      <c r="AN163" s="949" t="s">
        <v>10</v>
      </c>
      <c r="AO163" s="949" t="s">
        <v>404</v>
      </c>
      <c r="AP163" s="949" t="s">
        <v>405</v>
      </c>
      <c r="AQ163" s="949" t="s">
        <v>406</v>
      </c>
      <c r="AR163" s="950" t="s">
        <v>337</v>
      </c>
      <c r="AS163" s="951"/>
      <c r="AT163" s="951"/>
      <c r="AU163" s="951"/>
      <c r="AV163" s="718" t="s">
        <v>78</v>
      </c>
      <c r="AW163" s="31" t="s">
        <v>401</v>
      </c>
      <c r="AX163" s="31" t="s">
        <v>26</v>
      </c>
      <c r="AY163" s="31" t="s">
        <v>418</v>
      </c>
      <c r="BC163" t="s">
        <v>153</v>
      </c>
      <c r="BD163" s="199">
        <v>0.52900000000000003</v>
      </c>
      <c r="BE163" s="162">
        <f t="shared" si="1057"/>
        <v>0.52900000000000003</v>
      </c>
      <c r="BF163" s="162">
        <f t="shared" si="1058"/>
        <v>0.53900000000000003</v>
      </c>
    </row>
    <row r="164" spans="2:58" ht="15.75" thickTop="1" x14ac:dyDescent="0.25">
      <c r="B164" s="645">
        <v>0</v>
      </c>
      <c r="C164" s="646">
        <v>0.34420207622379279</v>
      </c>
      <c r="D164" s="647">
        <v>-0.67270405774475717</v>
      </c>
      <c r="E164" s="648">
        <v>-0.93969265526075596</v>
      </c>
      <c r="F164" s="646">
        <v>-5.9391149678350096E-2</v>
      </c>
      <c r="G164" s="649">
        <v>0.33682399705020138</v>
      </c>
      <c r="H164" s="648">
        <v>0.314</v>
      </c>
      <c r="I164" s="919">
        <v>0.52</v>
      </c>
      <c r="J164" s="923">
        <v>1.101</v>
      </c>
      <c r="K164" s="792">
        <f>IF($J164="","",IF(IFERROR(INDEX(Settings!$AK$14:$AK$36,MATCH((((ROUND($H164,6)*2)*1000000)+ROUND($I164,6)),Settings!$AI$14:$AI$36,0)),"Undefined")="Undefined","Undefined",IFERROR(INDEX(_xlfn.ANCHORARRAY(Settings!$BC$14),MATCH(IFERROR(INDEX(Settings!$AK$14:$AK$36,MATCH((((ROUND($H164,6)*2)*1000000)+ROUND($I164,6)),Settings!$AI$14:$AI$36,0)),"Undefined"),_xlfn.ANCHORARRAY(Settings!$BC$14),0)),"Inactive")))</f>
        <v>1613</v>
      </c>
      <c r="L164" s="940" t="s">
        <v>420</v>
      </c>
      <c r="M164" s="972">
        <f>AN9</f>
        <v>18.141294048916745</v>
      </c>
      <c r="N164" s="938"/>
      <c r="O164" s="939"/>
      <c r="P164" s="1"/>
      <c r="Q164" s="162">
        <f t="shared" ref="Q164:Q195" si="1059">IFERROR(INDEX(B$164:B$305,MATCH($Y164,$J$164:$J$305,0)),"")</f>
        <v>0</v>
      </c>
      <c r="R164" s="162">
        <f t="shared" ref="R164:R195" si="1060">IFERROR(INDEX(C$164:C$305,MATCH($Y164,$J$164:$J$305,0)),"")</f>
        <v>0.34420207622379279</v>
      </c>
      <c r="S164" s="162">
        <f t="shared" ref="S164:S195" si="1061">IFERROR(INDEX(D$164:D$305,MATCH($Y164,$J$164:$J$305,0)),"")</f>
        <v>-0.67270405774475717</v>
      </c>
      <c r="T164" s="162">
        <f t="shared" ref="T164:T195" si="1062">IFERROR(IF($N164="Y",-1*INDEX(E$164:E$305,MATCH($Y164,$J$164:$J$305,0)),INDEX(E$164:E$305,MATCH($Y164,$J$164:$J$305,0))),"")</f>
        <v>-0.93969265526075596</v>
      </c>
      <c r="U164" s="162">
        <f t="shared" ref="U164:U195" si="1063">IFERROR(IF($N164="Y",-1*INDEX(F$164:F$305,MATCH($Y164,$J$164:$J$305,0)),INDEX(F$164:F$305,MATCH($Y164,$J$164:$J$305,0))),"")</f>
        <v>-5.9391149678350096E-2</v>
      </c>
      <c r="V164" s="162">
        <f t="shared" ref="V164:V195" si="1064">IFERROR(IF($N164="Y",-1*INDEX(G$164:G$305,MATCH($Y164,$J$164:$J$305,0)),INDEX(G$164:G$305,MATCH($Y164,$J$164:$J$305,0))),"")</f>
        <v>0.33682399705020138</v>
      </c>
      <c r="W164" s="162">
        <f>IFERROR(IF(ISNUMBER(MATCH($Z164,Settings!$AK$28:$AK$36,0)),INDEX(Settings!$AO$14:$AO$36,MATCH($Z164,Settings!$AK$14:$AK$36,0))/2,INDEX(Settings!$AM$14:$AM$36,MATCH($Z164,Settings!$AK$14:$AK$36,0))/2),"")</f>
        <v>0.3125</v>
      </c>
      <c r="X164" s="162">
        <f t="shared" ref="X164:X195" si="1065">IFERROR(INDEX(I$164:I$305,MATCH($Y164,$J$164:$J$305,0)),"")</f>
        <v>0.52</v>
      </c>
      <c r="Y164" s="75" cm="1">
        <f t="array" ref="Y164:Y253">IFERROR(_xlfn._xlws.FILTER(_xlfn._xlws.SORT(_xlfn.UNIQUE(_xlfn._xlws.FILTER($J$164:$J$305,$O$164:$O$305&lt;&gt;"Y")),,1),_xlfn._xlws.SORT(_xlfn.UNIQUE(_xlfn._xlws.FILTER($J$164:$J$305,$O$164:$O$305&lt;&gt;"Y")),,1)&lt;&gt;0),"")</f>
        <v>1.101</v>
      </c>
      <c r="Z164" s="917">
        <f t="shared" ref="Z164:Z195" si="1066">IFERROR(INDEX(K$164:K$305,MATCH($Y164,$J$164:$J$305,0)),"")</f>
        <v>1613</v>
      </c>
      <c r="AC164" s="166" cm="1">
        <f t="array" ref="AC164:AC199">_xlfn.UNIQUE(VALUE(_xlfn.ANCHORARRAY($AF$164)+ROUND((_xlfn.ANCHORARRAY($AG$164)/10),2)+ROUND((_xlfn.ANCHORARRAY($AI$164)/100000),5)))</f>
        <v>6.2000099999999998</v>
      </c>
      <c r="AD164" s="75" cm="1">
        <f t="array" ref="AD164:AD199">(ROW(_xlfn.ANCHORARRAY($AC$164):$AC164)-ROW($AC$164)-COUNT(_xlfn.ANCHORARRAY($AC$164))+1)*0.75</f>
        <v>-26.25</v>
      </c>
      <c r="AE164" s="75" cm="1">
        <f t="array" ref="AE164:AE703">ROUNDDOWN((_xlfn.ANCHORARRAY(AJ164)*1000),0)/1000</f>
        <v>6.2539999999999996</v>
      </c>
      <c r="AF164" s="166" cm="1">
        <f t="array" ref="AF164:AF703">ROUNDDOWN(_xlfn.ANCHORARRAY(AJ164),0)</f>
        <v>6</v>
      </c>
      <c r="AG164" s="82" cm="1">
        <f t="array" ref="AG164:AG703">VALUE(RIGHT(ROUNDDOWN(_xlfn.ANCHORARRAY(AJ164)*10,0),1))</f>
        <v>2</v>
      </c>
      <c r="AH164" s="82" cm="1">
        <f t="array" ref="AH164:AH703">VALUE(LEFT(RIGHT((_xlfn.ANCHORARRAY($AJ$164)*100000),2),1))</f>
        <v>1</v>
      </c>
      <c r="AI164" s="82" cm="1">
        <f t="array" ref="AI164:AI703">MOD(_xlfn.ANCHORARRAY($AJ$164)*10000,1)*10</f>
        <v>0.99999999998544808</v>
      </c>
      <c r="AJ164" s="166" cm="1">
        <f t="array" ref="AJ164:AJ703">_xlfn.VSTACK((_xlfn._xlws.SORT(_xlfn._xlws.FILTER(J9:J150,J9:J150&lt;&gt;""),,-1)+0.00011),(_xlfn._xlws.SORT(_xlfn._xlws.FILTER(J9:J150,J9:J150&lt;&gt;""),,-1)+0.00021),(_xlfn._xlws.SORT(_xlfn._xlws.FILTER(J9:J150,J9:J150&lt;&gt;""),,-1)+0.00012),(_xlfn._xlws.SORT(_xlfn._xlws.FILTER(J9:J150,J9:J150&lt;&gt;""),,-1)+0.00022),(_xlfn._xlws.SORT(_xlfn._xlws.FILTER(J9:J150,J9:J150&lt;&gt;""),,-1)+0.00013),(_xlfn._xlws.SORT(_xlfn._xlws.FILTER(J9:J150,J9:J150&lt;&gt;""),,-1)+0.00023))</f>
        <v>6.2541099999999998</v>
      </c>
      <c r="AK164" s="82" t="str" cm="1">
        <f t="array" ref="AK164:AK703">IF(_xlfn.ANCHORARRAY($AH$164)=1,"Base",_xlfn.ANCHORARRAY($AJ$164)-0.0001)</f>
        <v>Base</v>
      </c>
      <c r="AL164" s="162" cm="1">
        <f t="array" ref="AL164:AL703">IF(_xlfn.ANCHORARRAY($AH$164)=1,INDEX(_xlfn.ANCHORARRAY($AD$164),MATCH((_xlfn.ANCHORARRAY($AF$164)+(_xlfn.ANCHORARRAY($AG$164)/10)+ROUND((_xlfn.ANCHORARRAY($AI$164)/100000),5)),_xlfn.ANCHORARRAY($AC$164),0)),0)</f>
        <v>-26.25</v>
      </c>
      <c r="AM164" s="162" cm="1">
        <f t="array" ref="AM164:AM703">IF(_xlfn.ANCHORARRAY($AH$164)=1,-INDEX($R$9:$R$150,MATCH(_xlfn.ANCHORARRAY($AE$164),$M$9:$M$150,0)),0)</f>
        <v>-5.1223779559634774</v>
      </c>
      <c r="AN164" s="162" cm="1">
        <f t="array" ref="AN164:AN703">IF(_xlfn.ANCHORARRAY($AH$164)=1,INDEX($AT$9:$AT$150,MATCH(_xlfn.ANCHORARRAY($AE$164),$M$9:$M$150,0))+((_xlfn.ANCHORARRAY($AI$164)-1)*-AS5),0)</f>
        <v>-8.8963284688673046</v>
      </c>
      <c r="AO164" s="162" cm="1">
        <f t="array" ref="AO164:AO703">IF(_xlfn.ANCHORARRAY($AH$164)=1,-INDEX($AN$9:$AN$150,MATCH(_xlfn.ANCHORARRAY($AE$164),$M$9:$M$150,0)),IF(_xlfn.ANCHORARRAY($AH$164)=2,_xlfn.ANCHORARRAY($AY$164),0))</f>
        <v>100.03561890671624</v>
      </c>
      <c r="AP164" s="162" cm="1">
        <f t="array" ref="AP164:AP703">IF(_xlfn.ANCHORARRAY($AH$164)=1,-INDEX($AO$9:$AO$150,MATCH(_xlfn.ANCHORARRAY($AE$164),$M$9:$M$150,0)),0)</f>
        <v>-39.831236627249652</v>
      </c>
      <c r="AQ164" s="162" cm="1">
        <f t="array" ref="AQ164:AQ703">IF(_xlfn.ANCHORARRAY($AJ$164)="value",0,0)</f>
        <v>0</v>
      </c>
      <c r="AR164" s="710" t="str" cm="1">
        <f t="array" ref="AR164:AR703">INDEX($L$164:$L$305,MATCH(_xlfn.ANCHORARRAY($AE$164),$J$164:$J$305,0))</f>
        <v>1313.par</v>
      </c>
      <c r="AV164" s="82" t="str" cm="1">
        <f t="array" ref="AV164:AV703">INDEX(Settings!$C$3:$K$4,_xlfn.ANCHORARRAY(Assy.Model!$AG$164),_xlfn.ANCHORARRAY(Assy.Model!$AF$164))</f>
        <v>188,121,255</v>
      </c>
      <c r="AW164" s="947" cm="1">
        <f t="array" ref="AW164:AW703">-INDEX($M$164:$M$305,MATCH(_xlfn.ANCHORARRAY($AE$164),$J$164:$J$305,0))</f>
        <v>100.03561890671624</v>
      </c>
      <c r="AX164" s="947" cm="1">
        <f t="array" ref="AX164:AX703">-INDEX($AN$9:$AN$150,MATCH(_xlfn.ANCHORARRAY($AE$164),$M$9:$M$150,0))</f>
        <v>100.03561890671624</v>
      </c>
      <c r="AY164" s="947" cm="1">
        <f t="array" ref="AY164:AY703">IF(_xlfn.ANCHORARRAY($AH$164)=2,(_xlfn.ANCHORARRAY($AW$164)-_xlfn.ANCHORARRAY($AX$164)),0)</f>
        <v>0</v>
      </c>
      <c r="AZ164" s="489"/>
      <c r="BC164" t="s">
        <v>154</v>
      </c>
      <c r="BD164" s="199">
        <v>0.57699999999999996</v>
      </c>
      <c r="BE164" s="162">
        <f t="shared" si="1057"/>
        <v>0.57699999999999996</v>
      </c>
      <c r="BF164" s="162">
        <f t="shared" si="1058"/>
        <v>0.58699999999999997</v>
      </c>
    </row>
    <row r="165" spans="2:58" x14ac:dyDescent="0.25">
      <c r="B165" s="650">
        <v>0</v>
      </c>
      <c r="C165" s="651">
        <v>1.1168067365680765</v>
      </c>
      <c r="D165" s="652">
        <v>-0.46570280911510842</v>
      </c>
      <c r="E165" s="653">
        <v>-0.96592584585534391</v>
      </c>
      <c r="F165" s="651">
        <v>-4.4943436424344438E-2</v>
      </c>
      <c r="G165" s="654">
        <v>0.25488693146375618</v>
      </c>
      <c r="H165" s="653">
        <v>0.314</v>
      </c>
      <c r="I165" s="920">
        <v>0.52</v>
      </c>
      <c r="J165" s="924">
        <v>1.1040000000000001</v>
      </c>
      <c r="K165" s="790">
        <f>IF($J165="","",IF(IFERROR(INDEX(Settings!$AK$14:$AK$36,MATCH((((ROUND($H165,6)*2)*1000000)+ROUND($I165,6)),Settings!$AI$14:$AI$36,0)),"Undefined")="Undefined","Undefined",IFERROR(INDEX(_xlfn.ANCHORARRAY(Settings!$BC$14),MATCH(IFERROR(INDEX(Settings!$AK$14:$AK$36,MATCH((((ROUND($H165,6)*2)*1000000)+ROUND($I165,6)),Settings!$AI$14:$AI$36,0)),"Undefined"),_xlfn.ANCHORARRAY(Settings!$BC$14),0)),"Inactive")))</f>
        <v>1613</v>
      </c>
      <c r="L165" s="940" t="s">
        <v>422</v>
      </c>
      <c r="M165" s="973">
        <f t="shared" ref="M165:M228" si="1067">AN10</f>
        <v>13.592723484172373</v>
      </c>
      <c r="N165" s="941"/>
      <c r="O165" s="942"/>
      <c r="Q165" s="162">
        <f t="shared" si="1059"/>
        <v>0</v>
      </c>
      <c r="R165" s="162">
        <f t="shared" si="1060"/>
        <v>1.1168067365680765</v>
      </c>
      <c r="S165" s="162">
        <f t="shared" si="1061"/>
        <v>-0.46570280911510842</v>
      </c>
      <c r="T165" s="162">
        <f t="shared" si="1062"/>
        <v>-0.96592584585534391</v>
      </c>
      <c r="U165" s="162">
        <f t="shared" si="1063"/>
        <v>-4.4943436424344438E-2</v>
      </c>
      <c r="V165" s="162">
        <f t="shared" si="1064"/>
        <v>0.25488693146375618</v>
      </c>
      <c r="W165" s="162">
        <f>IFERROR(IF(ISNUMBER(MATCH($Z165,Settings!$AK$28:$AK$36,0)),INDEX(Settings!$AO$14:$AO$36,MATCH($Z165,Settings!$AK$14:$AK$36,0))/2,INDEX(Settings!$AM$14:$AM$36,MATCH($Z165,Settings!$AK$14:$AK$36,0))/2),"")</f>
        <v>0.3125</v>
      </c>
      <c r="X165" s="162">
        <f t="shared" si="1065"/>
        <v>0.52</v>
      </c>
      <c r="Y165" s="75">
        <v>1.1040000000000001</v>
      </c>
      <c r="Z165" s="917">
        <f t="shared" si="1066"/>
        <v>1613</v>
      </c>
      <c r="AA165" s="82"/>
      <c r="AB165" s="75"/>
      <c r="AC165" s="166">
        <v>6.1000099999999993</v>
      </c>
      <c r="AD165" s="166">
        <v>-25.5</v>
      </c>
      <c r="AE165" s="75">
        <v>6.2480000000000002</v>
      </c>
      <c r="AF165" s="82">
        <v>6</v>
      </c>
      <c r="AG165" s="82">
        <v>2</v>
      </c>
      <c r="AH165" s="82">
        <v>1</v>
      </c>
      <c r="AI165" s="82">
        <v>1.0000000000582077</v>
      </c>
      <c r="AJ165" s="166">
        <v>6.2481100000000005</v>
      </c>
      <c r="AK165" s="82" t="str">
        <v>Base</v>
      </c>
      <c r="AL165" s="162">
        <v>-26.25</v>
      </c>
      <c r="AM165" s="162">
        <v>-5.02087479466259</v>
      </c>
      <c r="AN165" s="162">
        <v>-2.8474651622693177</v>
      </c>
      <c r="AO165" s="162">
        <v>89.999987005609597</v>
      </c>
      <c r="AP165" s="162">
        <v>0</v>
      </c>
      <c r="AQ165" s="162">
        <v>0</v>
      </c>
      <c r="AR165" s="710" t="str">
        <v>32193r1.par</v>
      </c>
      <c r="AV165" s="82" t="str">
        <v>188,121,255</v>
      </c>
      <c r="AW165" s="947">
        <v>89.999987005609597</v>
      </c>
      <c r="AX165" s="947">
        <v>89.999987005609597</v>
      </c>
      <c r="AY165" s="947">
        <v>0</v>
      </c>
      <c r="BC165" t="s">
        <v>155</v>
      </c>
      <c r="BD165" s="199">
        <v>0.625</v>
      </c>
      <c r="BE165" s="162">
        <f t="shared" si="1057"/>
        <v>0.625</v>
      </c>
      <c r="BF165" s="162">
        <f t="shared" si="1058"/>
        <v>0.63500000000000001</v>
      </c>
    </row>
    <row r="166" spans="2:58" x14ac:dyDescent="0.25">
      <c r="B166" s="650">
        <v>0</v>
      </c>
      <c r="C166" s="651">
        <v>1.8441111236615237</v>
      </c>
      <c r="D166" s="652">
        <v>-0.27080163347298997</v>
      </c>
      <c r="E166" s="653">
        <v>-0.96592584585534369</v>
      </c>
      <c r="F166" s="651">
        <v>-4.4943436424344438E-2</v>
      </c>
      <c r="G166" s="654">
        <v>0.25488693146375646</v>
      </c>
      <c r="H166" s="653">
        <v>0.314</v>
      </c>
      <c r="I166" s="920">
        <v>0.52</v>
      </c>
      <c r="J166" s="924">
        <v>1.107</v>
      </c>
      <c r="K166" s="790">
        <f>IF($J166="","",IF(IFERROR(INDEX(Settings!$AK$14:$AK$36,MATCH((((ROUND($H166,6)*2)*1000000)+ROUND($I166,6)),Settings!$AI$14:$AI$36,0)),"Undefined")="Undefined","Undefined",IFERROR(INDEX(_xlfn.ANCHORARRAY(Settings!$BC$14),MATCH(IFERROR(INDEX(Settings!$AK$14:$AK$36,MATCH((((ROUND($H166,6)*2)*1000000)+ROUND($I166,6)),Settings!$AI$14:$AI$36,0)),"Undefined"),_xlfn.ANCHORARRAY(Settings!$BC$14),0)),"Inactive")))</f>
        <v>1613</v>
      </c>
      <c r="L166" s="940" t="s">
        <v>422</v>
      </c>
      <c r="M166" s="973">
        <f t="shared" si="1067"/>
        <v>12.188363844259069</v>
      </c>
      <c r="N166" s="941"/>
      <c r="O166" s="942"/>
      <c r="Q166" s="162">
        <f t="shared" si="1059"/>
        <v>0</v>
      </c>
      <c r="R166" s="162">
        <f t="shared" si="1060"/>
        <v>1.8441111236615237</v>
      </c>
      <c r="S166" s="162">
        <f t="shared" si="1061"/>
        <v>-0.27080163347298997</v>
      </c>
      <c r="T166" s="162">
        <f t="shared" si="1062"/>
        <v>-0.96592584585534369</v>
      </c>
      <c r="U166" s="162">
        <f t="shared" si="1063"/>
        <v>-4.4943436424344438E-2</v>
      </c>
      <c r="V166" s="162">
        <f t="shared" si="1064"/>
        <v>0.25488693146375646</v>
      </c>
      <c r="W166" s="162">
        <f>IFERROR(IF(ISNUMBER(MATCH($Z166,Settings!$AK$28:$AK$36,0)),INDEX(Settings!$AO$14:$AO$36,MATCH($Z166,Settings!$AK$14:$AK$36,0))/2,INDEX(Settings!$AM$14:$AM$36,MATCH($Z166,Settings!$AK$14:$AK$36,0))/2),"")</f>
        <v>0.3125</v>
      </c>
      <c r="X166" s="162">
        <f t="shared" si="1065"/>
        <v>0.52</v>
      </c>
      <c r="Y166" s="75">
        <v>1.107</v>
      </c>
      <c r="Z166" s="917">
        <f t="shared" si="1066"/>
        <v>1613</v>
      </c>
      <c r="AA166" s="82"/>
      <c r="AB166" s="75"/>
      <c r="AC166" s="166">
        <v>5.2000099999999998</v>
      </c>
      <c r="AD166" s="166">
        <v>-24.75</v>
      </c>
      <c r="AE166" s="75">
        <v>6.242</v>
      </c>
      <c r="AF166" s="82">
        <v>6</v>
      </c>
      <c r="AG166" s="82">
        <v>2</v>
      </c>
      <c r="AH166" s="82">
        <v>1</v>
      </c>
      <c r="AI166" s="82">
        <v>1.0000000000582077</v>
      </c>
      <c r="AJ166" s="166">
        <v>6.2421100000000003</v>
      </c>
      <c r="AK166" s="82" t="str">
        <v>Base</v>
      </c>
      <c r="AL166" s="162">
        <v>-26.25</v>
      </c>
      <c r="AM166" s="162">
        <v>-4.9927899012947687</v>
      </c>
      <c r="AN166" s="162">
        <v>-2.096082918515016</v>
      </c>
      <c r="AO166" s="162">
        <v>89.999987005609626</v>
      </c>
      <c r="AP166" s="162">
        <v>0</v>
      </c>
      <c r="AQ166" s="162">
        <v>0</v>
      </c>
      <c r="AR166" s="710" t="str">
        <v>32193r1.par</v>
      </c>
      <c r="AV166" s="82" t="str">
        <v>188,121,255</v>
      </c>
      <c r="AW166" s="947">
        <v>89.999987005609626</v>
      </c>
      <c r="AX166" s="947">
        <v>89.999987005609626</v>
      </c>
      <c r="AY166" s="947">
        <v>0</v>
      </c>
      <c r="BC166" t="s">
        <v>156</v>
      </c>
      <c r="BD166" s="199">
        <v>0.66500000000000004</v>
      </c>
      <c r="BE166" s="162">
        <f t="shared" si="1057"/>
        <v>0.66500000000000004</v>
      </c>
      <c r="BF166" s="162">
        <f t="shared" si="1058"/>
        <v>0.67500000000000004</v>
      </c>
    </row>
    <row r="167" spans="2:58" x14ac:dyDescent="0.25">
      <c r="B167" s="650">
        <v>0</v>
      </c>
      <c r="C167" s="651">
        <v>2.5541154064008995</v>
      </c>
      <c r="D167" s="652">
        <v>-8.9900542279253259E-2</v>
      </c>
      <c r="E167" s="653">
        <v>-0.96501651244339892</v>
      </c>
      <c r="F167" s="651">
        <v>-1.7700318061921998E-2</v>
      </c>
      <c r="G167" s="654">
        <v>0.26159095827663092</v>
      </c>
      <c r="H167" s="653">
        <v>0.314</v>
      </c>
      <c r="I167" s="920">
        <v>0.52</v>
      </c>
      <c r="J167" s="924">
        <v>1.111</v>
      </c>
      <c r="K167" s="790">
        <f>IF($J167="","",IF(IFERROR(INDEX(Settings!$AK$14:$AK$36,MATCH((((ROUND($H167,6)*2)*1000000)+ROUND($I167,6)),Settings!$AI$14:$AI$36,0)),"Undefined")="Undefined","Undefined",IFERROR(INDEX(_xlfn.ANCHORARRAY(Settings!$BC$14),MATCH(IFERROR(INDEX(Settings!$AK$14:$AK$36,MATCH((((ROUND($H167,6)*2)*1000000)+ROUND($I167,6)),Settings!$AI$14:$AI$36,0)),"Undefined"),_xlfn.ANCHORARRAY(Settings!$BC$14),0)),"Inactive")))</f>
        <v>1613</v>
      </c>
      <c r="L167" s="940" t="s">
        <v>422</v>
      </c>
      <c r="M167" s="973">
        <f t="shared" si="1067"/>
        <v>5.4571267998021593</v>
      </c>
      <c r="N167" s="941"/>
      <c r="O167" s="942"/>
      <c r="Q167" s="162">
        <f t="shared" si="1059"/>
        <v>0</v>
      </c>
      <c r="R167" s="162">
        <f t="shared" si="1060"/>
        <v>2.5541154064008995</v>
      </c>
      <c r="S167" s="162">
        <f t="shared" si="1061"/>
        <v>-8.9900542279253259E-2</v>
      </c>
      <c r="T167" s="162">
        <f t="shared" si="1062"/>
        <v>-0.96501651244339892</v>
      </c>
      <c r="U167" s="162">
        <f t="shared" si="1063"/>
        <v>-1.7700318061921998E-2</v>
      </c>
      <c r="V167" s="162">
        <f t="shared" si="1064"/>
        <v>0.26159095827663092</v>
      </c>
      <c r="W167" s="162">
        <f>IFERROR(IF(ISNUMBER(MATCH($Z167,Settings!$AK$28:$AK$36,0)),INDEX(Settings!$AO$14:$AO$36,MATCH($Z167,Settings!$AK$14:$AK$36,0))/2,INDEX(Settings!$AM$14:$AM$36,MATCH($Z167,Settings!$AK$14:$AK$36,0))/2),"")</f>
        <v>0.3125</v>
      </c>
      <c r="X167" s="162">
        <f t="shared" si="1065"/>
        <v>0.52</v>
      </c>
      <c r="Y167" s="75">
        <v>1.111</v>
      </c>
      <c r="Z167" s="917">
        <f t="shared" si="1066"/>
        <v>1613</v>
      </c>
      <c r="AA167" s="82"/>
      <c r="AB167" s="75"/>
      <c r="AC167" s="166">
        <v>5.1000099999999993</v>
      </c>
      <c r="AD167" s="166">
        <v>-24</v>
      </c>
      <c r="AE167" s="75">
        <v>6.2359999999999998</v>
      </c>
      <c r="AF167" s="82">
        <v>6</v>
      </c>
      <c r="AG167" s="82">
        <v>2</v>
      </c>
      <c r="AH167" s="82">
        <v>1</v>
      </c>
      <c r="AI167" s="82">
        <v>0.99999999998544808</v>
      </c>
      <c r="AJ167" s="166">
        <v>6.23611</v>
      </c>
      <c r="AK167" s="82" t="str">
        <v>Base</v>
      </c>
      <c r="AL167" s="162">
        <v>-26.25</v>
      </c>
      <c r="AM167" s="162">
        <v>-4.9489444380016616</v>
      </c>
      <c r="AN167" s="162">
        <v>-1.3409083573378755</v>
      </c>
      <c r="AO167" s="162">
        <v>75.999989026959227</v>
      </c>
      <c r="AP167" s="162">
        <v>0</v>
      </c>
      <c r="AQ167" s="162">
        <v>0</v>
      </c>
      <c r="AR167" s="710" t="str">
        <v>32193r1.par</v>
      </c>
      <c r="AV167" s="82" t="str">
        <v>188,121,255</v>
      </c>
      <c r="AW167" s="947">
        <v>75.999989026959227</v>
      </c>
      <c r="AX167" s="947">
        <v>75.999989026959227</v>
      </c>
      <c r="AY167" s="947">
        <v>0</v>
      </c>
      <c r="BC167" t="s">
        <v>157</v>
      </c>
      <c r="BD167" s="199">
        <v>0.70799999999999996</v>
      </c>
      <c r="BE167" s="162">
        <f t="shared" si="1057"/>
        <v>0.70799999999999996</v>
      </c>
      <c r="BF167" s="162">
        <f t="shared" si="1058"/>
        <v>0.71799999999999997</v>
      </c>
    </row>
    <row r="168" spans="2:58" x14ac:dyDescent="0.25">
      <c r="B168" s="650">
        <v>6.61092891505207E-3</v>
      </c>
      <c r="C168" s="651">
        <v>3.3226134652124575</v>
      </c>
      <c r="D168" s="652">
        <v>-9.9500600186715388E-2</v>
      </c>
      <c r="E168" s="653">
        <v>-0.96208031115016845</v>
      </c>
      <c r="F168" s="651">
        <v>7.0162076877133495E-2</v>
      </c>
      <c r="G168" s="654">
        <v>0.2635882354458986</v>
      </c>
      <c r="H168" s="653">
        <v>0.314</v>
      </c>
      <c r="I168" s="920">
        <v>0.52</v>
      </c>
      <c r="J168" s="924">
        <v>1.117</v>
      </c>
      <c r="K168" s="790">
        <f>IF($J168="","",IF(IFERROR(INDEX(Settings!$AK$14:$AK$36,MATCH((((ROUND($H168,6)*2)*1000000)+ROUND($I168,6)),Settings!$AI$14:$AI$36,0)),"Undefined")="Undefined","Undefined",IFERROR(INDEX(_xlfn.ANCHORARRAY(Settings!$BC$14),MATCH(IFERROR(INDEX(Settings!$AK$14:$AK$36,MATCH((((ROUND($H168,6)*2)*1000000)+ROUND($I168,6)),Settings!$AI$14:$AI$36,0)),"Undefined"),_xlfn.ANCHORARRAY(Settings!$BC$14),0)),"Inactive")))</f>
        <v>1613</v>
      </c>
      <c r="L168" s="940" t="s">
        <v>422</v>
      </c>
      <c r="M168" s="973">
        <f t="shared" si="1067"/>
        <v>-13.374429842880255</v>
      </c>
      <c r="N168" s="941"/>
      <c r="O168" s="942"/>
      <c r="Q168" s="162">
        <f t="shared" si="1059"/>
        <v>6.61092891505207E-3</v>
      </c>
      <c r="R168" s="162">
        <f t="shared" si="1060"/>
        <v>3.3226134652124575</v>
      </c>
      <c r="S168" s="162">
        <f t="shared" si="1061"/>
        <v>-9.9500600186715388E-2</v>
      </c>
      <c r="T168" s="162">
        <f t="shared" si="1062"/>
        <v>-0.96208031115016845</v>
      </c>
      <c r="U168" s="162">
        <f t="shared" si="1063"/>
        <v>7.0162076877133495E-2</v>
      </c>
      <c r="V168" s="162">
        <f t="shared" si="1064"/>
        <v>0.2635882354458986</v>
      </c>
      <c r="W168" s="162">
        <f>IFERROR(IF(ISNUMBER(MATCH($Z168,Settings!$AK$28:$AK$36,0)),INDEX(Settings!$AO$14:$AO$36,MATCH($Z168,Settings!$AK$14:$AK$36,0))/2,INDEX(Settings!$AM$14:$AM$36,MATCH($Z168,Settings!$AK$14:$AK$36,0))/2),"")</f>
        <v>0.3125</v>
      </c>
      <c r="X168" s="162">
        <f t="shared" si="1065"/>
        <v>0.52</v>
      </c>
      <c r="Y168" s="75">
        <v>1.117</v>
      </c>
      <c r="Z168" s="917">
        <f t="shared" si="1066"/>
        <v>1613</v>
      </c>
      <c r="AA168" s="82"/>
      <c r="AB168" s="75"/>
      <c r="AC168" s="166">
        <v>4.2000099999999998</v>
      </c>
      <c r="AD168" s="166">
        <v>-23.25</v>
      </c>
      <c r="AE168" s="75">
        <v>6.23</v>
      </c>
      <c r="AF168" s="82">
        <v>6</v>
      </c>
      <c r="AG168" s="82">
        <v>2</v>
      </c>
      <c r="AH168" s="82">
        <v>1</v>
      </c>
      <c r="AI168" s="82">
        <v>1.0000000000582077</v>
      </c>
      <c r="AJ168" s="166">
        <v>6.2301100000000007</v>
      </c>
      <c r="AK168" s="82" t="str">
        <v>Base</v>
      </c>
      <c r="AL168" s="162">
        <v>-26.25</v>
      </c>
      <c r="AM168" s="162">
        <v>-4.6587367544457434</v>
      </c>
      <c r="AN168" s="162">
        <v>-0.64016761195885841</v>
      </c>
      <c r="AO168" s="162">
        <v>54.999992058983658</v>
      </c>
      <c r="AP168" s="162">
        <v>0</v>
      </c>
      <c r="AQ168" s="162">
        <v>0</v>
      </c>
      <c r="AR168" s="710" t="str">
        <v>32193r1.par</v>
      </c>
      <c r="AV168" s="82" t="str">
        <v>188,121,255</v>
      </c>
      <c r="AW168" s="947">
        <v>54.999992058983658</v>
      </c>
      <c r="AX168" s="947">
        <v>54.999992058983658</v>
      </c>
      <c r="AY168" s="947">
        <v>0</v>
      </c>
      <c r="BC168" t="s">
        <v>158</v>
      </c>
      <c r="BD168" s="199">
        <v>0.75</v>
      </c>
      <c r="BE168" s="162">
        <f t="shared" si="1057"/>
        <v>0.75</v>
      </c>
      <c r="BF168" s="162">
        <f t="shared" si="1058"/>
        <v>0.76</v>
      </c>
    </row>
    <row r="169" spans="2:58" x14ac:dyDescent="0.25">
      <c r="B169" s="650">
        <v>5.1651688724834777E-2</v>
      </c>
      <c r="C169" s="651">
        <v>4.0371939530693473</v>
      </c>
      <c r="D169" s="652">
        <v>-0.38190230363122141</v>
      </c>
      <c r="E169" s="653">
        <v>-0.9451157257678009</v>
      </c>
      <c r="F169" s="651">
        <v>0.18593768732828911</v>
      </c>
      <c r="G169" s="654">
        <v>0.26866976260348052</v>
      </c>
      <c r="H169" s="653">
        <v>0.314</v>
      </c>
      <c r="I169" s="920">
        <v>0.52</v>
      </c>
      <c r="J169" s="924">
        <v>1.123</v>
      </c>
      <c r="K169" s="790">
        <f>IF($J169="","",IF(IFERROR(INDEX(Settings!$AK$14:$AK$36,MATCH((((ROUND($H169,6)*2)*1000000)+ROUND($I169,6)),Settings!$AI$14:$AI$36,0)),"Undefined")="Undefined","Undefined",IFERROR(INDEX(_xlfn.ANCHORARRAY(Settings!$BC$14),MATCH(IFERROR(INDEX(Settings!$AK$14:$AK$36,MATCH((((ROUND($H169,6)*2)*1000000)+ROUND($I169,6)),Settings!$AI$14:$AI$36,0)),"Undefined"),_xlfn.ANCHORARRAY(Settings!$BC$14),0)),"Inactive")))</f>
        <v>1613</v>
      </c>
      <c r="L169" s="940" t="s">
        <v>420</v>
      </c>
      <c r="M169" s="973">
        <f t="shared" si="1067"/>
        <v>-32.228901208944677</v>
      </c>
      <c r="N169" s="941"/>
      <c r="O169" s="942"/>
      <c r="Q169" s="162">
        <f t="shared" si="1059"/>
        <v>5.1651688724834777E-2</v>
      </c>
      <c r="R169" s="162">
        <f t="shared" si="1060"/>
        <v>4.0371939530693473</v>
      </c>
      <c r="S169" s="162">
        <f t="shared" si="1061"/>
        <v>-0.38190230363122141</v>
      </c>
      <c r="T169" s="162">
        <f t="shared" si="1062"/>
        <v>-0.9451157257678009</v>
      </c>
      <c r="U169" s="162">
        <f t="shared" si="1063"/>
        <v>0.18593768732828911</v>
      </c>
      <c r="V169" s="162">
        <f t="shared" si="1064"/>
        <v>0.26866976260348052</v>
      </c>
      <c r="W169" s="162">
        <f>IFERROR(IF(ISNUMBER(MATCH($Z169,Settings!$AK$28:$AK$36,0)),INDEX(Settings!$AO$14:$AO$36,MATCH($Z169,Settings!$AK$14:$AK$36,0))/2,INDEX(Settings!$AM$14:$AM$36,MATCH($Z169,Settings!$AK$14:$AK$36,0))/2),"")</f>
        <v>0.3125</v>
      </c>
      <c r="X169" s="162">
        <f t="shared" si="1065"/>
        <v>0.52</v>
      </c>
      <c r="Y169" s="75">
        <v>1.123</v>
      </c>
      <c r="Z169" s="917">
        <f t="shared" si="1066"/>
        <v>1613</v>
      </c>
      <c r="AA169" s="82"/>
      <c r="AB169" s="75"/>
      <c r="AC169" s="166">
        <v>4.1000099999999993</v>
      </c>
      <c r="AD169" s="166">
        <v>-22.5</v>
      </c>
      <c r="AE169" s="75">
        <v>6.2240000000000002</v>
      </c>
      <c r="AF169" s="82">
        <v>6</v>
      </c>
      <c r="AG169" s="82">
        <v>2</v>
      </c>
      <c r="AH169" s="82">
        <v>1</v>
      </c>
      <c r="AI169" s="82">
        <v>1.0000000000582077</v>
      </c>
      <c r="AJ169" s="166">
        <v>6.2241100000000005</v>
      </c>
      <c r="AK169" s="82" t="str">
        <v>Base</v>
      </c>
      <c r="AL169" s="162">
        <v>-26.25</v>
      </c>
      <c r="AM169" s="162">
        <v>-4.1347966802298517</v>
      </c>
      <c r="AN169" s="162">
        <v>-8.8472826002854166E-2</v>
      </c>
      <c r="AO169" s="162">
        <v>33.999995091008067</v>
      </c>
      <c r="AP169" s="162">
        <v>0</v>
      </c>
      <c r="AQ169" s="162">
        <v>0</v>
      </c>
      <c r="AR169" s="710" t="str">
        <v>32193r1.par</v>
      </c>
      <c r="AV169" s="82" t="str">
        <v>188,121,255</v>
      </c>
      <c r="AW169" s="947">
        <v>33.999995091008067</v>
      </c>
      <c r="AX169" s="947">
        <v>33.999995091008067</v>
      </c>
      <c r="AY169" s="947">
        <v>0</v>
      </c>
    </row>
    <row r="170" spans="2:58" x14ac:dyDescent="0.25">
      <c r="B170" s="650">
        <v>0.11797703187631134</v>
      </c>
      <c r="C170" s="651">
        <v>4.6036163255070868</v>
      </c>
      <c r="D170" s="652">
        <v>-0.90010542942776239</v>
      </c>
      <c r="E170" s="653">
        <v>-0.91482010490391252</v>
      </c>
      <c r="F170" s="651">
        <v>0.32414112389035665</v>
      </c>
      <c r="G170" s="654">
        <v>0.24090808925125587</v>
      </c>
      <c r="H170" s="653">
        <v>0.314</v>
      </c>
      <c r="I170" s="920">
        <v>0.52</v>
      </c>
      <c r="J170" s="924">
        <v>1.129</v>
      </c>
      <c r="K170" s="790">
        <f>IF($J170="","",IF(IFERROR(INDEX(Settings!$AK$14:$AK$36,MATCH((((ROUND($H170,6)*2)*1000000)+ROUND($I170,6)),Settings!$AI$14:$AI$36,0)),"Undefined")="Undefined","Undefined",IFERROR(INDEX(_xlfn.ANCHORARRAY(Settings!$BC$14),MATCH(IFERROR(INDEX(Settings!$AK$14:$AK$36,MATCH((((ROUND($H170,6)*2)*1000000)+ROUND($I170,6)),Settings!$AI$14:$AI$36,0)),"Undefined"),_xlfn.ANCHORARRAY(Settings!$BC$14),0)),"Inactive")))</f>
        <v>1613</v>
      </c>
      <c r="L170" s="940" t="s">
        <v>420</v>
      </c>
      <c r="M170" s="973">
        <f t="shared" si="1067"/>
        <v>-50.943025181030578</v>
      </c>
      <c r="N170" s="941"/>
      <c r="O170" s="942"/>
      <c r="Q170" s="162">
        <f t="shared" si="1059"/>
        <v>0.11797703187631134</v>
      </c>
      <c r="R170" s="162">
        <f t="shared" si="1060"/>
        <v>4.6036163255070868</v>
      </c>
      <c r="S170" s="162">
        <f t="shared" si="1061"/>
        <v>-0.90010542942776239</v>
      </c>
      <c r="T170" s="162">
        <f t="shared" si="1062"/>
        <v>-0.91482010490391252</v>
      </c>
      <c r="U170" s="162">
        <f t="shared" si="1063"/>
        <v>0.32414112389035665</v>
      </c>
      <c r="V170" s="162">
        <f t="shared" si="1064"/>
        <v>0.24090808925125587</v>
      </c>
      <c r="W170" s="162">
        <f>IFERROR(IF(ISNUMBER(MATCH($Z170,Settings!$AK$28:$AK$36,0)),INDEX(Settings!$AO$14:$AO$36,MATCH($Z170,Settings!$AK$14:$AK$36,0))/2,INDEX(Settings!$AM$14:$AM$36,MATCH($Z170,Settings!$AK$14:$AK$36,0))/2),"")</f>
        <v>0.3125</v>
      </c>
      <c r="X170" s="162">
        <f t="shared" si="1065"/>
        <v>0.52</v>
      </c>
      <c r="Y170" s="75">
        <v>1.129</v>
      </c>
      <c r="Z170" s="917">
        <f t="shared" si="1066"/>
        <v>1613</v>
      </c>
      <c r="AA170" s="82"/>
      <c r="AB170" s="75"/>
      <c r="AC170" s="166">
        <v>3.2000100000000002</v>
      </c>
      <c r="AD170" s="166">
        <v>-21.75</v>
      </c>
      <c r="AE170" s="75">
        <v>6.218</v>
      </c>
      <c r="AF170" s="82">
        <v>6</v>
      </c>
      <c r="AG170" s="82">
        <v>2</v>
      </c>
      <c r="AH170" s="82">
        <v>1</v>
      </c>
      <c r="AI170" s="82">
        <v>1.0000000000582077</v>
      </c>
      <c r="AJ170" s="166">
        <v>6.2181100000000002</v>
      </c>
      <c r="AK170" s="82" t="str">
        <v>Base</v>
      </c>
      <c r="AL170" s="162">
        <v>-26.25</v>
      </c>
      <c r="AM170" s="162">
        <v>-3.4452199378410095</v>
      </c>
      <c r="AN170" s="162">
        <v>0.23920510963528685</v>
      </c>
      <c r="AO170" s="162">
        <v>12.999998123032499</v>
      </c>
      <c r="AP170" s="162">
        <v>0</v>
      </c>
      <c r="AQ170" s="162">
        <v>0</v>
      </c>
      <c r="AR170" s="710" t="str">
        <v>32193r1.par</v>
      </c>
      <c r="AV170" s="82" t="str">
        <v>188,121,255</v>
      </c>
      <c r="AW170" s="947">
        <v>12.999998123032499</v>
      </c>
      <c r="AX170" s="947">
        <v>12.999998123032499</v>
      </c>
      <c r="AY170" s="947">
        <v>0</v>
      </c>
    </row>
    <row r="171" spans="2:58" x14ac:dyDescent="0.25">
      <c r="B171" s="650">
        <v>0.17176249459594459</v>
      </c>
      <c r="C171" s="651">
        <v>4.9483497341158342</v>
      </c>
      <c r="D171" s="652">
        <v>-1.586309568604888</v>
      </c>
      <c r="E171" s="653">
        <v>-0.87861683332969831</v>
      </c>
      <c r="F171" s="651">
        <v>0.45139956533975029</v>
      </c>
      <c r="G171" s="654">
        <v>0.15579118267982281</v>
      </c>
      <c r="H171" s="653">
        <v>0.314</v>
      </c>
      <c r="I171" s="920">
        <v>0.52</v>
      </c>
      <c r="J171" s="924">
        <v>1.135</v>
      </c>
      <c r="K171" s="790">
        <f>IF($J171="","",IF(IFERROR(INDEX(Settings!$AK$14:$AK$36,MATCH((((ROUND($H171,6)*2)*1000000)+ROUND($I171,6)),Settings!$AI$14:$AI$36,0)),"Undefined")="Undefined","Undefined",IFERROR(INDEX(_xlfn.ANCHORARRAY(Settings!$BC$14),MATCH(IFERROR(INDEX(Settings!$AK$14:$AK$36,MATCH((((ROUND($H171,6)*2)*1000000)+ROUND($I171,6)),Settings!$AI$14:$AI$36,0)),"Undefined"),_xlfn.ANCHORARRAY(Settings!$BC$14),0)),"Inactive")))</f>
        <v>1613</v>
      </c>
      <c r="L171" s="940" t="s">
        <v>420</v>
      </c>
      <c r="M171" s="973">
        <f t="shared" si="1067"/>
        <v>-69.53293472939626</v>
      </c>
      <c r="N171" s="941"/>
      <c r="O171" s="942"/>
      <c r="Q171" s="162">
        <f t="shared" si="1059"/>
        <v>0.17176249459594459</v>
      </c>
      <c r="R171" s="162">
        <f t="shared" si="1060"/>
        <v>4.9483497341158342</v>
      </c>
      <c r="S171" s="162">
        <f t="shared" si="1061"/>
        <v>-1.586309568604888</v>
      </c>
      <c r="T171" s="162">
        <f t="shared" si="1062"/>
        <v>-0.87861683332969831</v>
      </c>
      <c r="U171" s="162">
        <f t="shared" si="1063"/>
        <v>0.45139956533975029</v>
      </c>
      <c r="V171" s="162">
        <f t="shared" si="1064"/>
        <v>0.15579118267982281</v>
      </c>
      <c r="W171" s="162">
        <f>IFERROR(IF(ISNUMBER(MATCH($Z171,Settings!$AK$28:$AK$36,0)),INDEX(Settings!$AO$14:$AO$36,MATCH($Z171,Settings!$AK$14:$AK$36,0))/2,INDEX(Settings!$AM$14:$AM$36,MATCH($Z171,Settings!$AK$14:$AK$36,0))/2),"")</f>
        <v>0.3125</v>
      </c>
      <c r="X171" s="162">
        <f t="shared" si="1065"/>
        <v>0.52</v>
      </c>
      <c r="Y171" s="75">
        <v>1.135</v>
      </c>
      <c r="Z171" s="917">
        <f t="shared" si="1066"/>
        <v>1613</v>
      </c>
      <c r="AA171" s="82"/>
      <c r="AB171" s="75"/>
      <c r="AC171" s="166">
        <v>3.1000100000000002</v>
      </c>
      <c r="AD171" s="166">
        <v>-21</v>
      </c>
      <c r="AE171" s="75">
        <v>6.1479999999999997</v>
      </c>
      <c r="AF171" s="82">
        <v>6</v>
      </c>
      <c r="AG171" s="82">
        <v>1</v>
      </c>
      <c r="AH171" s="82">
        <v>1</v>
      </c>
      <c r="AI171" s="82">
        <v>0.99999999998544808</v>
      </c>
      <c r="AJ171" s="166">
        <v>6.14811</v>
      </c>
      <c r="AK171" s="82" t="str">
        <v>Base</v>
      </c>
      <c r="AL171" s="162">
        <v>-25.5</v>
      </c>
      <c r="AM171" s="162">
        <v>-5.0550887932628417</v>
      </c>
      <c r="AN171" s="162">
        <v>-2.8407576245830413</v>
      </c>
      <c r="AO171" s="162">
        <v>84.970117416838406</v>
      </c>
      <c r="AP171" s="162">
        <v>-29.785208788526884</v>
      </c>
      <c r="AQ171" s="162">
        <v>0</v>
      </c>
      <c r="AR171" s="710" t="str">
        <v>1613.par</v>
      </c>
      <c r="AV171" s="82" t="str">
        <v>127,0,255</v>
      </c>
      <c r="AW171" s="947">
        <v>84.970117416838406</v>
      </c>
      <c r="AX171" s="947">
        <v>84.970117416838406</v>
      </c>
      <c r="AY171" s="947">
        <v>0</v>
      </c>
    </row>
    <row r="172" spans="2:58" x14ac:dyDescent="0.25">
      <c r="B172" s="650">
        <v>0.18668018705037731</v>
      </c>
      <c r="C172" s="651">
        <v>5.0334697960863011</v>
      </c>
      <c r="D172" s="652">
        <v>-2.3477141613904662</v>
      </c>
      <c r="E172" s="653">
        <v>-0.84714778051037243</v>
      </c>
      <c r="F172" s="651">
        <v>0.52956944831640185</v>
      </c>
      <c r="G172" s="654">
        <v>4.3552696658322988E-2</v>
      </c>
      <c r="H172" s="653">
        <v>0.314</v>
      </c>
      <c r="I172" s="920">
        <v>0.52</v>
      </c>
      <c r="J172" s="924">
        <v>1.141</v>
      </c>
      <c r="K172" s="790">
        <f>IF($J172="","",IF(IFERROR(INDEX(Settings!$AK$14:$AK$36,MATCH((((ROUND($H172,6)*2)*1000000)+ROUND($I172,6)),Settings!$AI$14:$AI$36,0)),"Undefined")="Undefined","Undefined",IFERROR(INDEX(_xlfn.ANCHORARRAY(Settings!$BC$14),MATCH(IFERROR(INDEX(Settings!$AK$14:$AK$36,MATCH((((ROUND($H172,6)*2)*1000000)+ROUND($I172,6)),Settings!$AI$14:$AI$36,0)),"Undefined"),_xlfn.ANCHORARRAY(Settings!$BC$14),0)),"Inactive")))</f>
        <v>1613</v>
      </c>
      <c r="L172" s="940" t="s">
        <v>420</v>
      </c>
      <c r="M172" s="973">
        <f t="shared" si="1067"/>
        <v>-84.96994937215598</v>
      </c>
      <c r="N172" s="941"/>
      <c r="O172" s="942"/>
      <c r="Q172" s="162">
        <f t="shared" si="1059"/>
        <v>0.18668018705037731</v>
      </c>
      <c r="R172" s="162">
        <f t="shared" si="1060"/>
        <v>5.0334697960863011</v>
      </c>
      <c r="S172" s="162">
        <f t="shared" si="1061"/>
        <v>-2.3477141613904662</v>
      </c>
      <c r="T172" s="162">
        <f t="shared" si="1062"/>
        <v>-0.84714778051037243</v>
      </c>
      <c r="U172" s="162">
        <f t="shared" si="1063"/>
        <v>0.52956944831640185</v>
      </c>
      <c r="V172" s="162">
        <f t="shared" si="1064"/>
        <v>4.3552696658322988E-2</v>
      </c>
      <c r="W172" s="162">
        <f>IFERROR(IF(ISNUMBER(MATCH($Z172,Settings!$AK$28:$AK$36,0)),INDEX(Settings!$AO$14:$AO$36,MATCH($Z172,Settings!$AK$14:$AK$36,0))/2,INDEX(Settings!$AM$14:$AM$36,MATCH($Z172,Settings!$AK$14:$AK$36,0))/2),"")</f>
        <v>0.3125</v>
      </c>
      <c r="X172" s="162">
        <f t="shared" si="1065"/>
        <v>0.52</v>
      </c>
      <c r="Y172" s="75">
        <v>1.141</v>
      </c>
      <c r="Z172" s="917">
        <f t="shared" si="1066"/>
        <v>1613</v>
      </c>
      <c r="AA172" s="82"/>
      <c r="AB172" s="75"/>
      <c r="AC172" s="166">
        <v>2.2000100000000002</v>
      </c>
      <c r="AD172" s="166">
        <v>-20.25</v>
      </c>
      <c r="AE172" s="75">
        <v>6.1420000000000003</v>
      </c>
      <c r="AF172" s="82">
        <v>6</v>
      </c>
      <c r="AG172" s="82">
        <v>1</v>
      </c>
      <c r="AH172" s="82">
        <v>1</v>
      </c>
      <c r="AI172" s="82">
        <v>1.0000000000582077</v>
      </c>
      <c r="AJ172" s="166">
        <v>6.1421100000000006</v>
      </c>
      <c r="AK172" s="82" t="str">
        <v>Base</v>
      </c>
      <c r="AL172" s="162">
        <v>-25.5</v>
      </c>
      <c r="AM172" s="162">
        <v>-5.0270040657372705</v>
      </c>
      <c r="AN172" s="162">
        <v>-2.0893543457042836</v>
      </c>
      <c r="AO172" s="162">
        <v>84.96994937215598</v>
      </c>
      <c r="AP172" s="162">
        <v>-29.78411602484832</v>
      </c>
      <c r="AQ172" s="162">
        <v>0</v>
      </c>
      <c r="AR172" s="710" t="str">
        <v>1613.par</v>
      </c>
      <c r="AV172" s="82" t="str">
        <v>127,0,255</v>
      </c>
      <c r="AW172" s="947">
        <v>84.96994937215598</v>
      </c>
      <c r="AX172" s="947">
        <v>84.96994937215598</v>
      </c>
      <c r="AY172" s="947">
        <v>0</v>
      </c>
    </row>
    <row r="173" spans="2:58" x14ac:dyDescent="0.25">
      <c r="B173" s="650">
        <v>0.1942581111897328</v>
      </c>
      <c r="C173" s="651">
        <v>5.0612887225707919</v>
      </c>
      <c r="D173" s="652">
        <v>-3.0992186944589748</v>
      </c>
      <c r="E173" s="653">
        <v>-0.84646311228494375</v>
      </c>
      <c r="F173" s="651">
        <v>0.53066313434671042</v>
      </c>
      <c r="G173" s="654">
        <v>4.355269665832287E-2</v>
      </c>
      <c r="H173" s="653">
        <v>0.314</v>
      </c>
      <c r="I173" s="920">
        <v>0.52</v>
      </c>
      <c r="J173" s="924">
        <v>1.147</v>
      </c>
      <c r="K173" s="790">
        <f>IF($J173="","",IF(IFERROR(INDEX(Settings!$AK$14:$AK$36,MATCH((((ROUND($H173,6)*2)*1000000)+ROUND($I173,6)),Settings!$AI$14:$AI$36,0)),"Undefined")="Undefined","Undefined",IFERROR(INDEX(_xlfn.ANCHORARRAY(Settings!$BC$14),MATCH(IFERROR(INDEX(Settings!$AK$14:$AK$36,MATCH((((ROUND($H173,6)*2)*1000000)+ROUND($I173,6)),Settings!$AI$14:$AI$36,0)),"Undefined"),_xlfn.ANCHORARRAY(Settings!$BC$14),0)),"Inactive")))</f>
        <v>1613</v>
      </c>
      <c r="L173" s="940" t="s">
        <v>420</v>
      </c>
      <c r="M173" s="973">
        <f t="shared" si="1067"/>
        <v>-84.970117416838434</v>
      </c>
      <c r="N173" s="941"/>
      <c r="O173" s="942"/>
      <c r="Q173" s="162">
        <f t="shared" si="1059"/>
        <v>0.1942581111897328</v>
      </c>
      <c r="R173" s="162">
        <f t="shared" si="1060"/>
        <v>5.0612887225707919</v>
      </c>
      <c r="S173" s="162">
        <f t="shared" si="1061"/>
        <v>-3.0992186944589748</v>
      </c>
      <c r="T173" s="162">
        <f t="shared" si="1062"/>
        <v>-0.84646311228494375</v>
      </c>
      <c r="U173" s="162">
        <f t="shared" si="1063"/>
        <v>0.53066313434671042</v>
      </c>
      <c r="V173" s="162">
        <f t="shared" si="1064"/>
        <v>4.355269665832287E-2</v>
      </c>
      <c r="W173" s="162">
        <f>IFERROR(IF(ISNUMBER(MATCH($Z173,Settings!$AK$28:$AK$36,0)),INDEX(Settings!$AO$14:$AO$36,MATCH($Z173,Settings!$AK$14:$AK$36,0))/2,INDEX(Settings!$AM$14:$AM$36,MATCH($Z173,Settings!$AK$14:$AK$36,0))/2),"")</f>
        <v>0.3125</v>
      </c>
      <c r="X173" s="162">
        <f t="shared" si="1065"/>
        <v>0.52</v>
      </c>
      <c r="Y173" s="75">
        <v>1.147</v>
      </c>
      <c r="Z173" s="917">
        <f t="shared" si="1066"/>
        <v>1613</v>
      </c>
      <c r="AA173" s="82"/>
      <c r="AB173" s="75"/>
      <c r="AC173" s="166">
        <v>2.1000100000000002</v>
      </c>
      <c r="AD173" s="166">
        <v>-19.5</v>
      </c>
      <c r="AE173" s="75">
        <v>6.1360000000000001</v>
      </c>
      <c r="AF173" s="82">
        <v>6</v>
      </c>
      <c r="AG173" s="82">
        <v>1</v>
      </c>
      <c r="AH173" s="82">
        <v>1</v>
      </c>
      <c r="AI173" s="82">
        <v>1.0000000000582077</v>
      </c>
      <c r="AJ173" s="166">
        <v>6.1361100000000004</v>
      </c>
      <c r="AK173" s="82" t="str">
        <v>Base</v>
      </c>
      <c r="AL173" s="162">
        <v>-25.5</v>
      </c>
      <c r="AM173" s="162">
        <v>-4.9750965181077582</v>
      </c>
      <c r="AN173" s="162">
        <v>-1.3290084164909357</v>
      </c>
      <c r="AO173" s="162">
        <v>72.623499997444313</v>
      </c>
      <c r="AP173" s="162">
        <v>-27.122431911212644</v>
      </c>
      <c r="AQ173" s="162">
        <v>0</v>
      </c>
      <c r="AR173" s="710" t="str">
        <v>1613.par</v>
      </c>
      <c r="AV173" s="82" t="str">
        <v>127,0,255</v>
      </c>
      <c r="AW173" s="947">
        <v>72.623499997444313</v>
      </c>
      <c r="AX173" s="947">
        <v>72.623499997444313</v>
      </c>
      <c r="AY173" s="947">
        <v>0</v>
      </c>
    </row>
    <row r="174" spans="2:58" x14ac:dyDescent="0.25">
      <c r="B174" s="650">
        <v>1.0430133809359119</v>
      </c>
      <c r="C174" s="651">
        <v>3.1520927613063705</v>
      </c>
      <c r="D174" s="652">
        <v>-0.13926712580907585</v>
      </c>
      <c r="E174" s="653">
        <v>3.2836989647781638E-2</v>
      </c>
      <c r="F174" s="651">
        <v>9.923673009735301E-2</v>
      </c>
      <c r="G174" s="654">
        <v>0.99452189694870807</v>
      </c>
      <c r="H174" s="653">
        <v>0.25700000000000001</v>
      </c>
      <c r="I174" s="920">
        <v>0.41499999999999992</v>
      </c>
      <c r="J174" s="924">
        <v>1.2170000000000001</v>
      </c>
      <c r="K174" s="790" t="str">
        <f>IF($J174="","",IF(IFERROR(INDEX(Settings!$AK$14:$AK$36,MATCH((((ROUND($H174,6)*2)*1000000)+ROUND($I174,6)),Settings!$AI$14:$AI$36,0)),"Undefined")="Undefined","Undefined",IFERROR(INDEX(_xlfn.ANCHORARRAY(Settings!$BC$14),MATCH(IFERROR(INDEX(Settings!$AK$14:$AK$36,MATCH((((ROUND($H174,6)*2)*1000000)+ROUND($I174,6)),Settings!$AI$14:$AI$36,0)),"Undefined"),_xlfn.ANCHORARRAY(Settings!$BC$14),0)),"Inactive")))</f>
        <v>CPS-32193r1</v>
      </c>
      <c r="L174" s="940" t="s">
        <v>423</v>
      </c>
      <c r="M174" s="973">
        <f t="shared" si="1067"/>
        <v>-5.9999991337073153</v>
      </c>
      <c r="N174" s="941"/>
      <c r="O174" s="942"/>
      <c r="Q174" s="162">
        <f t="shared" si="1059"/>
        <v>1.0430133809359119</v>
      </c>
      <c r="R174" s="162">
        <f t="shared" si="1060"/>
        <v>3.1520927613063705</v>
      </c>
      <c r="S174" s="162">
        <f t="shared" si="1061"/>
        <v>-0.13926712580907585</v>
      </c>
      <c r="T174" s="162">
        <f t="shared" si="1062"/>
        <v>3.2836989647781638E-2</v>
      </c>
      <c r="U174" s="162">
        <f t="shared" si="1063"/>
        <v>9.923673009735301E-2</v>
      </c>
      <c r="V174" s="162">
        <f t="shared" si="1064"/>
        <v>0.99452189694870807</v>
      </c>
      <c r="W174" s="162">
        <f>IFERROR(IF(ISNUMBER(MATCH($Z174,Settings!$AK$28:$AK$36,0)),INDEX(Settings!$AO$14:$AO$36,MATCH($Z174,Settings!$AK$14:$AK$36,0))/2,INDEX(Settings!$AM$14:$AM$36,MATCH($Z174,Settings!$AK$14:$AK$36,0))/2),"")</f>
        <v>0.255</v>
      </c>
      <c r="X174" s="162">
        <f t="shared" si="1065"/>
        <v>0.41499999999999992</v>
      </c>
      <c r="Y174" s="75">
        <v>1.2170000000000001</v>
      </c>
      <c r="Z174" s="917" t="str">
        <f t="shared" si="1066"/>
        <v>CPS-32193r1</v>
      </c>
      <c r="AA174" s="82"/>
      <c r="AB174" s="75"/>
      <c r="AC174" s="166">
        <v>1.20001</v>
      </c>
      <c r="AD174" s="166">
        <v>-18.75</v>
      </c>
      <c r="AE174" s="75">
        <v>6.13</v>
      </c>
      <c r="AF174" s="82">
        <v>6</v>
      </c>
      <c r="AG174" s="82">
        <v>1</v>
      </c>
      <c r="AH174" s="82">
        <v>1</v>
      </c>
      <c r="AI174" s="82">
        <v>0.99999999998544808</v>
      </c>
      <c r="AJ174" s="166">
        <v>6.1301100000000002</v>
      </c>
      <c r="AK174" s="82" t="str">
        <v>Base</v>
      </c>
      <c r="AL174" s="162">
        <v>-25.5</v>
      </c>
      <c r="AM174" s="162">
        <v>-4.6734295163530577</v>
      </c>
      <c r="AN174" s="162">
        <v>-0.62561159929002708</v>
      </c>
      <c r="AO174" s="162">
        <v>54.048010045486649</v>
      </c>
      <c r="AP174" s="162">
        <v>-23.140655756290503</v>
      </c>
      <c r="AQ174" s="162">
        <v>0</v>
      </c>
      <c r="AR174" s="710" t="str">
        <v>1613.par</v>
      </c>
      <c r="AV174" s="82" t="str">
        <v>127,0,255</v>
      </c>
      <c r="AW174" s="947">
        <v>54.048010045486649</v>
      </c>
      <c r="AX174" s="947">
        <v>54.048010045486649</v>
      </c>
      <c r="AY174" s="947">
        <v>0</v>
      </c>
    </row>
    <row r="175" spans="2:58" x14ac:dyDescent="0.25">
      <c r="B175" s="650">
        <v>0.88599752940412335</v>
      </c>
      <c r="C175" s="651">
        <v>3.9532730771290243</v>
      </c>
      <c r="D175" s="652">
        <v>-0.38038060343536761</v>
      </c>
      <c r="E175" s="653">
        <v>-0.84607041262505911</v>
      </c>
      <c r="F175" s="651">
        <v>0.41305318949291936</v>
      </c>
      <c r="G175" s="654">
        <v>0.33697465710374852</v>
      </c>
      <c r="H175" s="653">
        <v>0.26600000000000001</v>
      </c>
      <c r="I175" s="920">
        <v>0.52</v>
      </c>
      <c r="J175" s="924">
        <v>1.2230000000000001</v>
      </c>
      <c r="K175" s="790">
        <f>IF($J175="","",IF(IFERROR(INDEX(Settings!$AK$14:$AK$36,MATCH((((ROUND($H175,6)*2)*1000000)+ROUND($I175,6)),Settings!$AI$14:$AI$36,0)),"Undefined")="Undefined","Undefined",IFERROR(INDEX(_xlfn.ANCHORARRAY(Settings!$BC$14),MATCH(IFERROR(INDEX(Settings!$AK$14:$AK$36,MATCH((((ROUND($H175,6)*2)*1000000)+ROUND($I175,6)),Settings!$AI$14:$AI$36,0)),"Undefined"),_xlfn.ANCHORARRAY(Settings!$BC$14),0)),"Inactive")))</f>
        <v>1313</v>
      </c>
      <c r="L175" s="940" t="s">
        <v>424</v>
      </c>
      <c r="M175" s="973">
        <f t="shared" si="1067"/>
        <v>-32.403257224374144</v>
      </c>
      <c r="N175" s="941"/>
      <c r="O175" s="942"/>
      <c r="Q175" s="162">
        <f t="shared" si="1059"/>
        <v>0.88599752940412335</v>
      </c>
      <c r="R175" s="162">
        <f t="shared" si="1060"/>
        <v>3.9532730771290243</v>
      </c>
      <c r="S175" s="162">
        <f t="shared" si="1061"/>
        <v>-0.38038060343536761</v>
      </c>
      <c r="T175" s="162">
        <f t="shared" si="1062"/>
        <v>-0.84607041262505911</v>
      </c>
      <c r="U175" s="162">
        <f t="shared" si="1063"/>
        <v>0.41305318949291936</v>
      </c>
      <c r="V175" s="162">
        <f t="shared" si="1064"/>
        <v>0.33697465710374852</v>
      </c>
      <c r="W175" s="162">
        <f>IFERROR(IF(ISNUMBER(MATCH($Z175,Settings!$AK$28:$AK$36,0)),INDEX(Settings!$AO$14:$AO$36,MATCH($Z175,Settings!$AK$14:$AK$36,0))/2,INDEX(Settings!$AM$14:$AM$36,MATCH($Z175,Settings!$AK$14:$AK$36,0))/2),"")</f>
        <v>0.26450000000000001</v>
      </c>
      <c r="X175" s="162">
        <f t="shared" si="1065"/>
        <v>0.52</v>
      </c>
      <c r="Y175" s="75">
        <v>1.2230000000000001</v>
      </c>
      <c r="Z175" s="917">
        <f t="shared" si="1066"/>
        <v>1313</v>
      </c>
      <c r="AA175" s="82"/>
      <c r="AB175" s="75"/>
      <c r="AC175" s="166">
        <v>1.1000100000000002</v>
      </c>
      <c r="AD175" s="166">
        <v>-18</v>
      </c>
      <c r="AE175" s="75">
        <v>6.1239999999999997</v>
      </c>
      <c r="AF175" s="82">
        <v>6</v>
      </c>
      <c r="AG175" s="82">
        <v>1</v>
      </c>
      <c r="AH175" s="82">
        <v>1</v>
      </c>
      <c r="AI175" s="82">
        <v>0.99999999998544808</v>
      </c>
      <c r="AJ175" s="166">
        <v>6.1241099999999999</v>
      </c>
      <c r="AK175" s="82" t="str">
        <v>Base</v>
      </c>
      <c r="AL175" s="162">
        <v>-25.5</v>
      </c>
      <c r="AM175" s="162">
        <v>-4.1407800265276293</v>
      </c>
      <c r="AN175" s="162">
        <v>-7.5698672488310026E-2</v>
      </c>
      <c r="AO175" s="162">
        <v>35.360276952469491</v>
      </c>
      <c r="AP175" s="162">
        <v>-19.176506828006705</v>
      </c>
      <c r="AQ175" s="162">
        <v>0</v>
      </c>
      <c r="AR175" s="710" t="str">
        <v>1613.par</v>
      </c>
      <c r="AV175" s="82" t="str">
        <v>127,0,255</v>
      </c>
      <c r="AW175" s="947">
        <v>35.360276952469491</v>
      </c>
      <c r="AX175" s="947">
        <v>35.360276952469491</v>
      </c>
      <c r="AY175" s="947">
        <v>0</v>
      </c>
    </row>
    <row r="176" spans="2:58" x14ac:dyDescent="0.25">
      <c r="B176" s="650">
        <v>0.95238933441480822</v>
      </c>
      <c r="C176" s="651">
        <v>4.5260523247386155</v>
      </c>
      <c r="D176" s="652">
        <v>-0.9014016790366165</v>
      </c>
      <c r="E176" s="653">
        <v>-0.79217119160184946</v>
      </c>
      <c r="F176" s="651">
        <v>0.53683945664133548</v>
      </c>
      <c r="G176" s="654">
        <v>0.29028985684853303</v>
      </c>
      <c r="H176" s="653">
        <v>0.26600000000000001</v>
      </c>
      <c r="I176" s="920">
        <v>0.52</v>
      </c>
      <c r="J176" s="924">
        <v>1.2290000000000001</v>
      </c>
      <c r="K176" s="790">
        <f>IF($J176="","",IF(IFERROR(INDEX(Settings!$AK$14:$AK$36,MATCH((((ROUND($H176,6)*2)*1000000)+ROUND($I176,6)),Settings!$AI$14:$AI$36,0)),"Undefined")="Undefined","Undefined",IFERROR(INDEX(_xlfn.ANCHORARRAY(Settings!$BC$14),MATCH(IFERROR(INDEX(Settings!$AK$14:$AK$36,MATCH((((ROUND($H176,6)*2)*1000000)+ROUND($I176,6)),Settings!$AI$14:$AI$36,0)),"Undefined"),_xlfn.ANCHORARRAY(Settings!$BC$14),0)),"Inactive")))</f>
        <v>1313</v>
      </c>
      <c r="L176" s="940" t="s">
        <v>424</v>
      </c>
      <c r="M176" s="973">
        <f t="shared" si="1067"/>
        <v>-51.026324417745535</v>
      </c>
      <c r="N176" s="941"/>
      <c r="O176" s="942"/>
      <c r="Q176" s="162">
        <f t="shared" si="1059"/>
        <v>0.95238933441480822</v>
      </c>
      <c r="R176" s="162">
        <f t="shared" si="1060"/>
        <v>4.5260523247386155</v>
      </c>
      <c r="S176" s="162">
        <f t="shared" si="1061"/>
        <v>-0.9014016790366165</v>
      </c>
      <c r="T176" s="162">
        <f t="shared" si="1062"/>
        <v>-0.79217119160184946</v>
      </c>
      <c r="U176" s="162">
        <f t="shared" si="1063"/>
        <v>0.53683945664133548</v>
      </c>
      <c r="V176" s="162">
        <f t="shared" si="1064"/>
        <v>0.29028985684853303</v>
      </c>
      <c r="W176" s="162">
        <f>IFERROR(IF(ISNUMBER(MATCH($Z176,Settings!$AK$28:$AK$36,0)),INDEX(Settings!$AO$14:$AO$36,MATCH($Z176,Settings!$AK$14:$AK$36,0))/2,INDEX(Settings!$AM$14:$AM$36,MATCH($Z176,Settings!$AK$14:$AK$36,0))/2),"")</f>
        <v>0.26450000000000001</v>
      </c>
      <c r="X176" s="162">
        <f t="shared" si="1065"/>
        <v>0.52</v>
      </c>
      <c r="Y176" s="75">
        <v>1.2290000000000001</v>
      </c>
      <c r="Z176" s="917">
        <f t="shared" si="1066"/>
        <v>1313</v>
      </c>
      <c r="AA176" s="82"/>
      <c r="AB176" s="75"/>
      <c r="AC176" s="166">
        <v>6.2000200000000003</v>
      </c>
      <c r="AD176" s="166">
        <v>-17.25</v>
      </c>
      <c r="AE176" s="75">
        <v>6.1180000000000003</v>
      </c>
      <c r="AF176" s="82">
        <v>6</v>
      </c>
      <c r="AG176" s="82">
        <v>1</v>
      </c>
      <c r="AH176" s="82">
        <v>1</v>
      </c>
      <c r="AI176" s="82">
        <v>1.0000000000582077</v>
      </c>
      <c r="AJ176" s="166">
        <v>6.1181100000000006</v>
      </c>
      <c r="AK176" s="82" t="str">
        <v>Base</v>
      </c>
      <c r="AL176" s="162">
        <v>-25.5</v>
      </c>
      <c r="AM176" s="162">
        <v>-3.4466194971855479</v>
      </c>
      <c r="AN176" s="162">
        <v>0.248791346476679</v>
      </c>
      <c r="AO176" s="162">
        <v>16.504059297615232</v>
      </c>
      <c r="AP176" s="162">
        <v>-15.806279282856705</v>
      </c>
      <c r="AQ176" s="162">
        <v>0</v>
      </c>
      <c r="AR176" s="710" t="str">
        <v>1613 Ripper.par</v>
      </c>
      <c r="AV176" s="82" t="str">
        <v>127,0,255</v>
      </c>
      <c r="AW176" s="947">
        <v>16.504059297615232</v>
      </c>
      <c r="AX176" s="947">
        <v>16.504059297615232</v>
      </c>
      <c r="AY176" s="947">
        <v>0</v>
      </c>
    </row>
    <row r="177" spans="2:51" x14ac:dyDescent="0.25">
      <c r="B177" s="650">
        <v>1.0061855614519621</v>
      </c>
      <c r="C177" s="651">
        <v>4.8725927030482774</v>
      </c>
      <c r="D177" s="652">
        <v>-1.5935289032137043</v>
      </c>
      <c r="E177" s="653">
        <v>-0.73414441929273966</v>
      </c>
      <c r="F177" s="651">
        <v>0.65407664994514347</v>
      </c>
      <c r="G177" s="654">
        <v>0.18225176986209024</v>
      </c>
      <c r="H177" s="653">
        <v>0.26600000000000001</v>
      </c>
      <c r="I177" s="920">
        <v>0.52</v>
      </c>
      <c r="J177" s="924">
        <v>1.2350000000000001</v>
      </c>
      <c r="K177" s="790">
        <f>IF($J177="","",IF(IFERROR(INDEX(Settings!$AK$14:$AK$36,MATCH((((ROUND($H177,6)*2)*1000000)+ROUND($I177,6)),Settings!$AI$14:$AI$36,0)),"Undefined")="Undefined","Undefined",IFERROR(INDEX(_xlfn.ANCHORARRAY(Settings!$BC$14),MATCH(IFERROR(INDEX(Settings!$AK$14:$AK$36,MATCH((((ROUND($H177,6)*2)*1000000)+ROUND($I177,6)),Settings!$AI$14:$AI$36,0)),"Undefined"),_xlfn.ANCHORARRAY(Settings!$BC$14),0)),"Inactive")))</f>
        <v>1313</v>
      </c>
      <c r="L177" s="940" t="s">
        <v>424</v>
      </c>
      <c r="M177" s="973">
        <f t="shared" si="1067"/>
        <v>-69.566043588691343</v>
      </c>
      <c r="N177" s="941"/>
      <c r="O177" s="942"/>
      <c r="Q177" s="162">
        <f t="shared" si="1059"/>
        <v>1.0061855614519621</v>
      </c>
      <c r="R177" s="162">
        <f t="shared" si="1060"/>
        <v>4.8725927030482774</v>
      </c>
      <c r="S177" s="162">
        <f t="shared" si="1061"/>
        <v>-1.5935289032137043</v>
      </c>
      <c r="T177" s="162">
        <f t="shared" si="1062"/>
        <v>-0.73414441929273966</v>
      </c>
      <c r="U177" s="162">
        <f t="shared" si="1063"/>
        <v>0.65407664994514347</v>
      </c>
      <c r="V177" s="162">
        <f t="shared" si="1064"/>
        <v>0.18225176986209024</v>
      </c>
      <c r="W177" s="162">
        <f>IFERROR(IF(ISNUMBER(MATCH($Z177,Settings!$AK$28:$AK$36,0)),INDEX(Settings!$AO$14:$AO$36,MATCH($Z177,Settings!$AK$14:$AK$36,0))/2,INDEX(Settings!$AM$14:$AM$36,MATCH($Z177,Settings!$AK$14:$AK$36,0))/2),"")</f>
        <v>0.26450000000000001</v>
      </c>
      <c r="X177" s="162">
        <f t="shared" si="1065"/>
        <v>0.52</v>
      </c>
      <c r="Y177" s="75">
        <v>1.2350000000000001</v>
      </c>
      <c r="Z177" s="917">
        <f t="shared" si="1066"/>
        <v>1313</v>
      </c>
      <c r="AA177" s="82"/>
      <c r="AB177" s="75"/>
      <c r="AC177" s="166">
        <v>6.1000199999999998</v>
      </c>
      <c r="AD177" s="166">
        <v>-16.5</v>
      </c>
      <c r="AE177" s="75">
        <v>6.1120000000000001</v>
      </c>
      <c r="AF177" s="82">
        <v>6</v>
      </c>
      <c r="AG177" s="82">
        <v>1</v>
      </c>
      <c r="AH177" s="82">
        <v>1</v>
      </c>
      <c r="AI177" s="82">
        <v>1.0000000000582077</v>
      </c>
      <c r="AJ177" s="166">
        <v>6.1121100000000004</v>
      </c>
      <c r="AK177" s="82" t="str">
        <v>Base</v>
      </c>
      <c r="AL177" s="162">
        <v>-25.5</v>
      </c>
      <c r="AM177" s="162">
        <v>-2.6817598405224108</v>
      </c>
      <c r="AN177" s="162">
        <v>0.30470246120225064</v>
      </c>
      <c r="AO177" s="162">
        <v>-2.3119637600075813</v>
      </c>
      <c r="AP177" s="162">
        <v>-15.311212110967897</v>
      </c>
      <c r="AQ177" s="162">
        <v>0</v>
      </c>
      <c r="AR177" s="710" t="str">
        <v>1613 Ripper.par</v>
      </c>
      <c r="AV177" s="82" t="str">
        <v>127,0,255</v>
      </c>
      <c r="AW177" s="947">
        <v>-2.3119637600075813</v>
      </c>
      <c r="AX177" s="947">
        <v>-2.3119637600075813</v>
      </c>
      <c r="AY177" s="947">
        <v>0</v>
      </c>
    </row>
    <row r="178" spans="2:51" x14ac:dyDescent="0.25">
      <c r="B178" s="650">
        <v>1.2579121378462765</v>
      </c>
      <c r="C178" s="651">
        <v>4.8317293024268277</v>
      </c>
      <c r="D178" s="652">
        <v>-2.3723571641368855</v>
      </c>
      <c r="E178" s="653">
        <v>0.25194573829754657</v>
      </c>
      <c r="F178" s="651">
        <v>0.96774136263448662</v>
      </c>
      <c r="G178" s="654">
        <v>2.2679489666832531E-7</v>
      </c>
      <c r="H178" s="653">
        <v>0.25700000000000001</v>
      </c>
      <c r="I178" s="920">
        <v>0.41499999999999992</v>
      </c>
      <c r="J178" s="924">
        <v>1.2410000000000001</v>
      </c>
      <c r="K178" s="790" t="str">
        <f>IF($J178="","",IF(IFERROR(INDEX(Settings!$AK$14:$AK$36,MATCH((((ROUND($H178,6)*2)*1000000)+ROUND($I178,6)),Settings!$AI$14:$AI$36,0)),"Undefined")="Undefined","Undefined",IFERROR(INDEX(_xlfn.ANCHORARRAY(Settings!$BC$14),MATCH(IFERROR(INDEX(Settings!$AK$14:$AK$36,MATCH((((ROUND($H178,6)*2)*1000000)+ROUND($I178,6)),Settings!$AI$14:$AI$36,0)),"Undefined"),_xlfn.ANCHORARRAY(Settings!$BC$14),0)),"Inactive")))</f>
        <v>CPS-32193r1</v>
      </c>
      <c r="L178" s="940" t="s">
        <v>423</v>
      </c>
      <c r="M178" s="973">
        <f t="shared" si="1067"/>
        <v>-89.999987005609611</v>
      </c>
      <c r="N178" s="941"/>
      <c r="O178" s="942"/>
      <c r="Q178" s="162">
        <f t="shared" si="1059"/>
        <v>1.2579121378462765</v>
      </c>
      <c r="R178" s="162">
        <f t="shared" si="1060"/>
        <v>4.8317293024268277</v>
      </c>
      <c r="S178" s="162">
        <f t="shared" si="1061"/>
        <v>-2.3723571641368855</v>
      </c>
      <c r="T178" s="162">
        <f t="shared" si="1062"/>
        <v>0.25194573829754657</v>
      </c>
      <c r="U178" s="162">
        <f t="shared" si="1063"/>
        <v>0.96774136263448662</v>
      </c>
      <c r="V178" s="162">
        <f t="shared" si="1064"/>
        <v>2.2679489666832531E-7</v>
      </c>
      <c r="W178" s="162">
        <f>IFERROR(IF(ISNUMBER(MATCH($Z178,Settings!$AK$28:$AK$36,0)),INDEX(Settings!$AO$14:$AO$36,MATCH($Z178,Settings!$AK$14:$AK$36,0))/2,INDEX(Settings!$AM$14:$AM$36,MATCH($Z178,Settings!$AK$14:$AK$36,0))/2),"")</f>
        <v>0.255</v>
      </c>
      <c r="X178" s="162">
        <f t="shared" si="1065"/>
        <v>0.41499999999999992</v>
      </c>
      <c r="Y178" s="75">
        <v>1.2410000000000001</v>
      </c>
      <c r="Z178" s="917" t="str">
        <f t="shared" si="1066"/>
        <v>CPS-32193r1</v>
      </c>
      <c r="AA178" s="82"/>
      <c r="AB178" s="75"/>
      <c r="AC178" s="166">
        <v>5.2000200000000003</v>
      </c>
      <c r="AD178" s="166">
        <v>-15.75</v>
      </c>
      <c r="AE178" s="75">
        <v>5.2549999999999999</v>
      </c>
      <c r="AF178" s="82">
        <v>5</v>
      </c>
      <c r="AG178" s="82">
        <v>2</v>
      </c>
      <c r="AH178" s="82">
        <v>1</v>
      </c>
      <c r="AI178" s="82">
        <v>0.99999999998544808</v>
      </c>
      <c r="AJ178" s="166">
        <v>5.2551100000000002</v>
      </c>
      <c r="AK178" s="82" t="str">
        <v>Base</v>
      </c>
      <c r="AL178" s="162">
        <v>-24.75</v>
      </c>
      <c r="AM178" s="162">
        <v>-5.1223779559634766</v>
      </c>
      <c r="AN178" s="162">
        <v>-9.312995147565811</v>
      </c>
      <c r="AO178" s="162">
        <v>100.03561890671617</v>
      </c>
      <c r="AP178" s="162">
        <v>-39.831236627249673</v>
      </c>
      <c r="AQ178" s="162">
        <v>0</v>
      </c>
      <c r="AR178" s="710" t="str">
        <v>1313.par</v>
      </c>
      <c r="AV178" s="82" t="str">
        <v>121,188,255</v>
      </c>
      <c r="AW178" s="947">
        <v>100.03561890671617</v>
      </c>
      <c r="AX178" s="947">
        <v>100.03561890671617</v>
      </c>
      <c r="AY178" s="947">
        <v>0</v>
      </c>
    </row>
    <row r="179" spans="2:51" x14ac:dyDescent="0.25">
      <c r="B179" s="650">
        <v>1.2653068393880056</v>
      </c>
      <c r="C179" s="651">
        <v>4.8588251981189892</v>
      </c>
      <c r="D179" s="652">
        <v>-3.1237446296586411</v>
      </c>
      <c r="E179" s="653">
        <v>0.25200923965143501</v>
      </c>
      <c r="F179" s="651">
        <v>0.96772482820802641</v>
      </c>
      <c r="G179" s="654">
        <v>2.2679489701527003E-7</v>
      </c>
      <c r="H179" s="653">
        <v>0.25700000000000001</v>
      </c>
      <c r="I179" s="920">
        <v>0.41499999999999992</v>
      </c>
      <c r="J179" s="924">
        <v>1.2470000000000001</v>
      </c>
      <c r="K179" s="790" t="str">
        <f>IF($J179="","",IF(IFERROR(INDEX(Settings!$AK$14:$AK$36,MATCH((((ROUND($H179,6)*2)*1000000)+ROUND($I179,6)),Settings!$AI$14:$AI$36,0)),"Undefined")="Undefined","Undefined",IFERROR(INDEX(_xlfn.ANCHORARRAY(Settings!$BC$14),MATCH(IFERROR(INDEX(Settings!$AK$14:$AK$36,MATCH((((ROUND($H179,6)*2)*1000000)+ROUND($I179,6)),Settings!$AI$14:$AI$36,0)),"Undefined"),_xlfn.ANCHORARRAY(Settings!$BC$14),0)),"Inactive")))</f>
        <v>CPS-32193r1</v>
      </c>
      <c r="L179" s="940" t="s">
        <v>423</v>
      </c>
      <c r="M179" s="973">
        <f t="shared" si="1067"/>
        <v>-89.999987005609597</v>
      </c>
      <c r="N179" s="941"/>
      <c r="O179" s="942"/>
      <c r="Q179" s="162">
        <f t="shared" si="1059"/>
        <v>1.2653068393880056</v>
      </c>
      <c r="R179" s="162">
        <f t="shared" si="1060"/>
        <v>4.8588251981189892</v>
      </c>
      <c r="S179" s="162">
        <f t="shared" si="1061"/>
        <v>-3.1237446296586411</v>
      </c>
      <c r="T179" s="162">
        <f t="shared" si="1062"/>
        <v>0.25200923965143501</v>
      </c>
      <c r="U179" s="162">
        <f t="shared" si="1063"/>
        <v>0.96772482820802641</v>
      </c>
      <c r="V179" s="162">
        <f t="shared" si="1064"/>
        <v>2.2679489701527003E-7</v>
      </c>
      <c r="W179" s="162">
        <f>IFERROR(IF(ISNUMBER(MATCH($Z179,Settings!$AK$28:$AK$36,0)),INDEX(Settings!$AO$14:$AO$36,MATCH($Z179,Settings!$AK$14:$AK$36,0))/2,INDEX(Settings!$AM$14:$AM$36,MATCH($Z179,Settings!$AK$14:$AK$36,0))/2),"")</f>
        <v>0.255</v>
      </c>
      <c r="X179" s="162">
        <f t="shared" si="1065"/>
        <v>0.41499999999999992</v>
      </c>
      <c r="Y179" s="75">
        <v>1.2470000000000001</v>
      </c>
      <c r="Z179" s="917" t="str">
        <f t="shared" si="1066"/>
        <v>CPS-32193r1</v>
      </c>
      <c r="AA179" s="82"/>
      <c r="AB179" s="75"/>
      <c r="AC179" s="166">
        <v>5.1000199999999998</v>
      </c>
      <c r="AD179" s="166">
        <v>-15</v>
      </c>
      <c r="AE179" s="75">
        <v>5.2489999999999997</v>
      </c>
      <c r="AF179" s="82">
        <v>5</v>
      </c>
      <c r="AG179" s="82">
        <v>2</v>
      </c>
      <c r="AH179" s="82">
        <v>1</v>
      </c>
      <c r="AI179" s="82">
        <v>0.99999999998544808</v>
      </c>
      <c r="AJ179" s="166">
        <v>5.2491099999999999</v>
      </c>
      <c r="AK179" s="82" t="str">
        <v>Base</v>
      </c>
      <c r="AL179" s="162">
        <v>-24.75</v>
      </c>
      <c r="AM179" s="162">
        <v>-5.0208747946625891</v>
      </c>
      <c r="AN179" s="162">
        <v>-3.025465746272527</v>
      </c>
      <c r="AO179" s="162">
        <v>89.999987005609597</v>
      </c>
      <c r="AP179" s="162">
        <v>0</v>
      </c>
      <c r="AQ179" s="162">
        <v>0</v>
      </c>
      <c r="AR179" s="710" t="str">
        <v>32193r1.par</v>
      </c>
      <c r="AV179" s="82" t="str">
        <v>121,188,255</v>
      </c>
      <c r="AW179" s="947">
        <v>89.999987005609597</v>
      </c>
      <c r="AX179" s="947">
        <v>89.999987005609597</v>
      </c>
      <c r="AY179" s="947">
        <v>0</v>
      </c>
    </row>
    <row r="180" spans="2:51" x14ac:dyDescent="0.25">
      <c r="B180" s="650">
        <v>0.97980700663266063</v>
      </c>
      <c r="C180" s="651">
        <v>5.0406708168264984</v>
      </c>
      <c r="D180" s="652">
        <v>-9.5000286520864154</v>
      </c>
      <c r="E180" s="653">
        <v>-0.63118380896787529</v>
      </c>
      <c r="F180" s="651">
        <v>0.76755993884650098</v>
      </c>
      <c r="G180" s="654">
        <v>-0.1116187241226157</v>
      </c>
      <c r="H180" s="653">
        <v>0.26600000000000001</v>
      </c>
      <c r="I180" s="920">
        <v>0.52</v>
      </c>
      <c r="J180" s="924">
        <v>1.2529999999999999</v>
      </c>
      <c r="K180" s="790">
        <f>IF($J180="","",IF(IFERROR(INDEX(Settings!$AK$14:$AK$36,MATCH((((ROUND($H180,6)*2)*1000000)+ROUND($I180,6)),Settings!$AI$14:$AI$36,0)),"Undefined")="Undefined","Undefined",IFERROR(INDEX(_xlfn.ANCHORARRAY(Settings!$BC$14),MATCH(IFERROR(INDEX(Settings!$AK$14:$AK$36,MATCH((((ROUND($H180,6)*2)*1000000)+ROUND($I180,6)),Settings!$AI$14:$AI$36,0)),"Undefined"),_xlfn.ANCHORARRAY(Settings!$BC$14),0)),"Inactive")))</f>
        <v>1313</v>
      </c>
      <c r="L180" s="940" t="s">
        <v>424</v>
      </c>
      <c r="M180" s="973">
        <f t="shared" si="1067"/>
        <v>-100.03561890671624</v>
      </c>
      <c r="N180" s="941"/>
      <c r="O180" s="942"/>
      <c r="Q180" s="162">
        <f t="shared" si="1059"/>
        <v>0.97980700663266063</v>
      </c>
      <c r="R180" s="162">
        <f t="shared" si="1060"/>
        <v>5.0406708168264984</v>
      </c>
      <c r="S180" s="162">
        <f t="shared" si="1061"/>
        <v>-9.5000286520864154</v>
      </c>
      <c r="T180" s="162">
        <f t="shared" si="1062"/>
        <v>-0.63118380896787529</v>
      </c>
      <c r="U180" s="162">
        <f t="shared" si="1063"/>
        <v>0.76755993884650098</v>
      </c>
      <c r="V180" s="162">
        <f t="shared" si="1064"/>
        <v>-0.1116187241226157</v>
      </c>
      <c r="W180" s="162">
        <f>IFERROR(IF(ISNUMBER(MATCH($Z180,Settings!$AK$28:$AK$36,0)),INDEX(Settings!$AO$14:$AO$36,MATCH($Z180,Settings!$AK$14:$AK$36,0))/2,INDEX(Settings!$AM$14:$AM$36,MATCH($Z180,Settings!$AK$14:$AK$36,0))/2),"")</f>
        <v>0.26450000000000001</v>
      </c>
      <c r="X180" s="162">
        <f t="shared" si="1065"/>
        <v>0.52</v>
      </c>
      <c r="Y180" s="75">
        <v>1.2529999999999999</v>
      </c>
      <c r="Z180" s="917">
        <f t="shared" si="1066"/>
        <v>1313</v>
      </c>
      <c r="AA180" s="82"/>
      <c r="AB180" s="75"/>
      <c r="AC180" s="166">
        <v>4.2000200000000003</v>
      </c>
      <c r="AD180" s="166">
        <v>-14.25</v>
      </c>
      <c r="AE180" s="75">
        <v>5.2430000000000003</v>
      </c>
      <c r="AF180" s="82">
        <v>5</v>
      </c>
      <c r="AG180" s="82">
        <v>2</v>
      </c>
      <c r="AH180" s="82">
        <v>1</v>
      </c>
      <c r="AI180" s="82">
        <v>1.0000000000582077</v>
      </c>
      <c r="AJ180" s="166">
        <v>5.2431100000000006</v>
      </c>
      <c r="AK180" s="82" t="str">
        <v>Base</v>
      </c>
      <c r="AL180" s="162">
        <v>-24.75</v>
      </c>
      <c r="AM180" s="162">
        <v>-4.9927899012947661</v>
      </c>
      <c r="AN180" s="162">
        <v>-2.2740835025546033</v>
      </c>
      <c r="AO180" s="162">
        <v>89.999987005609597</v>
      </c>
      <c r="AP180" s="162">
        <v>0</v>
      </c>
      <c r="AQ180" s="162">
        <v>0</v>
      </c>
      <c r="AR180" s="710" t="str">
        <v>32193r1.par</v>
      </c>
      <c r="AV180" s="82" t="str">
        <v>121,188,255</v>
      </c>
      <c r="AW180" s="947">
        <v>89.999987005609597</v>
      </c>
      <c r="AX180" s="947">
        <v>89.999987005609597</v>
      </c>
      <c r="AY180" s="947">
        <v>0</v>
      </c>
    </row>
    <row r="181" spans="2:51" x14ac:dyDescent="0.25">
      <c r="B181" s="650">
        <v>2.2004391721864147</v>
      </c>
      <c r="C181" s="651">
        <v>1.0260784442163222</v>
      </c>
      <c r="D181" s="652">
        <v>-0.15050089274001549</v>
      </c>
      <c r="E181" s="653">
        <v>-0.43653446620756692</v>
      </c>
      <c r="F181" s="651">
        <v>0.86172187971823322</v>
      </c>
      <c r="G181" s="654">
        <v>0.25859826338888969</v>
      </c>
      <c r="H181" s="653">
        <v>0.314</v>
      </c>
      <c r="I181" s="920">
        <v>0.52</v>
      </c>
      <c r="J181" s="924">
        <v>2.11</v>
      </c>
      <c r="K181" s="790">
        <f>IF($J181="","",IF(IFERROR(INDEX(Settings!$AK$14:$AK$36,MATCH((((ROUND($H181,6)*2)*1000000)+ROUND($I181,6)),Settings!$AI$14:$AI$36,0)),"Undefined")="Undefined","Undefined",IFERROR(INDEX(_xlfn.ANCHORARRAY(Settings!$BC$14),MATCH(IFERROR(INDEX(Settings!$AK$14:$AK$36,MATCH((((ROUND($H181,6)*2)*1000000)+ROUND($I181,6)),Settings!$AI$14:$AI$36,0)),"Undefined"),_xlfn.ANCHORARRAY(Settings!$BC$14),0)),"Inactive")))</f>
        <v>1613</v>
      </c>
      <c r="L181" s="940" t="s">
        <v>422</v>
      </c>
      <c r="M181" s="973">
        <f t="shared" si="1067"/>
        <v>8.604830320611164</v>
      </c>
      <c r="N181" s="941"/>
      <c r="O181" s="942"/>
      <c r="Q181" s="162">
        <f t="shared" si="1059"/>
        <v>2.2004391721864147</v>
      </c>
      <c r="R181" s="162">
        <f t="shared" si="1060"/>
        <v>1.0260784442163222</v>
      </c>
      <c r="S181" s="162">
        <f t="shared" si="1061"/>
        <v>-0.15050089274001549</v>
      </c>
      <c r="T181" s="162">
        <f t="shared" si="1062"/>
        <v>-0.43653446620756692</v>
      </c>
      <c r="U181" s="162">
        <f t="shared" si="1063"/>
        <v>0.86172187971823322</v>
      </c>
      <c r="V181" s="162">
        <f t="shared" si="1064"/>
        <v>0.25859826338888969</v>
      </c>
      <c r="W181" s="162">
        <f>IFERROR(IF(ISNUMBER(MATCH($Z181,Settings!$AK$28:$AK$36,0)),INDEX(Settings!$AO$14:$AO$36,MATCH($Z181,Settings!$AK$14:$AK$36,0))/2,INDEX(Settings!$AM$14:$AM$36,MATCH($Z181,Settings!$AK$14:$AK$36,0))/2),"")</f>
        <v>0.3125</v>
      </c>
      <c r="X181" s="162">
        <f t="shared" si="1065"/>
        <v>0.52</v>
      </c>
      <c r="Y181" s="75">
        <v>2.11</v>
      </c>
      <c r="Z181" s="917">
        <f t="shared" si="1066"/>
        <v>1613</v>
      </c>
      <c r="AA181" s="82"/>
      <c r="AB181" s="75"/>
      <c r="AC181" s="166">
        <v>4.1000199999999998</v>
      </c>
      <c r="AD181" s="166">
        <v>-13.5</v>
      </c>
      <c r="AE181" s="75">
        <v>5.2370000000000001</v>
      </c>
      <c r="AF181" s="82">
        <v>5</v>
      </c>
      <c r="AG181" s="82">
        <v>2</v>
      </c>
      <c r="AH181" s="82">
        <v>1</v>
      </c>
      <c r="AI181" s="82">
        <v>1.0000000000582077</v>
      </c>
      <c r="AJ181" s="166">
        <v>5.2371100000000004</v>
      </c>
      <c r="AK181" s="82" t="str">
        <v>Base</v>
      </c>
      <c r="AL181" s="162">
        <v>-24.75</v>
      </c>
      <c r="AM181" s="162">
        <v>-5.023018431596987</v>
      </c>
      <c r="AN181" s="162">
        <v>-1.5042012587527838</v>
      </c>
      <c r="AO181" s="162">
        <v>75.733702256223253</v>
      </c>
      <c r="AP181" s="162">
        <v>-32.798058394827343</v>
      </c>
      <c r="AQ181" s="162">
        <v>0</v>
      </c>
      <c r="AR181" s="710" t="str">
        <v>1313.par</v>
      </c>
      <c r="AV181" s="82" t="str">
        <v>121,188,255</v>
      </c>
      <c r="AW181" s="947">
        <v>75.733702256223253</v>
      </c>
      <c r="AX181" s="947">
        <v>75.733702256223253</v>
      </c>
      <c r="AY181" s="947">
        <v>0</v>
      </c>
    </row>
    <row r="182" spans="2:51" x14ac:dyDescent="0.25">
      <c r="B182" s="650">
        <v>2.8975113185736379</v>
      </c>
      <c r="C182" s="651">
        <v>1.3477428224768591</v>
      </c>
      <c r="D182" s="652">
        <v>-0.1135006695550064</v>
      </c>
      <c r="E182" s="653">
        <v>-0.35729909986825681</v>
      </c>
      <c r="F182" s="651">
        <v>0.89554405939127635</v>
      </c>
      <c r="G182" s="654">
        <v>0.2652134817884032</v>
      </c>
      <c r="H182" s="653">
        <v>0.314</v>
      </c>
      <c r="I182" s="920">
        <v>0.52</v>
      </c>
      <c r="J182" s="924">
        <v>2.1160000000000001</v>
      </c>
      <c r="K182" s="790">
        <f>IF($J182="","",IF(IFERROR(INDEX(Settings!$AK$14:$AK$36,MATCH((((ROUND($H182,6)*2)*1000000)+ROUND($I182,6)),Settings!$AI$14:$AI$36,0)),"Undefined")="Undefined","Undefined",IFERROR(INDEX(_xlfn.ANCHORARRAY(Settings!$BC$14),MATCH(IFERROR(INDEX(Settings!$AK$14:$AK$36,MATCH((((ROUND($H182,6)*2)*1000000)+ROUND($I182,6)),Settings!$AI$14:$AI$36,0)),"Undefined"),_xlfn.ANCHORARRAY(Settings!$BC$14),0)),"Inactive")))</f>
        <v>1613</v>
      </c>
      <c r="L182" s="940" t="s">
        <v>422</v>
      </c>
      <c r="M182" s="973">
        <f t="shared" si="1067"/>
        <v>-10.242376499105918</v>
      </c>
      <c r="N182" s="941"/>
      <c r="O182" s="942"/>
      <c r="Q182" s="162">
        <f t="shared" si="1059"/>
        <v>2.8975113185736379</v>
      </c>
      <c r="R182" s="162">
        <f t="shared" si="1060"/>
        <v>1.3477428224768591</v>
      </c>
      <c r="S182" s="162">
        <f t="shared" si="1061"/>
        <v>-0.1135006695550064</v>
      </c>
      <c r="T182" s="162">
        <f t="shared" si="1062"/>
        <v>-0.35729909986825681</v>
      </c>
      <c r="U182" s="162">
        <f t="shared" si="1063"/>
        <v>0.89554405939127635</v>
      </c>
      <c r="V182" s="162">
        <f t="shared" si="1064"/>
        <v>0.2652134817884032</v>
      </c>
      <c r="W182" s="162">
        <f>IFERROR(IF(ISNUMBER(MATCH($Z182,Settings!$AK$28:$AK$36,0)),INDEX(Settings!$AO$14:$AO$36,MATCH($Z182,Settings!$AK$14:$AK$36,0))/2,INDEX(Settings!$AM$14:$AM$36,MATCH($Z182,Settings!$AK$14:$AK$36,0))/2),"")</f>
        <v>0.3125</v>
      </c>
      <c r="X182" s="162">
        <f t="shared" si="1065"/>
        <v>0.52</v>
      </c>
      <c r="Y182" s="75">
        <v>2.1160000000000001</v>
      </c>
      <c r="Z182" s="917">
        <f t="shared" si="1066"/>
        <v>1613</v>
      </c>
      <c r="AA182" s="82"/>
      <c r="AB182" s="75"/>
      <c r="AC182" s="75">
        <v>3.2000200000000003</v>
      </c>
      <c r="AD182" s="166">
        <v>-12.75</v>
      </c>
      <c r="AE182" s="75">
        <v>5.2309999999999999</v>
      </c>
      <c r="AF182" s="82">
        <v>5</v>
      </c>
      <c r="AG182" s="82">
        <v>2</v>
      </c>
      <c r="AH182" s="82">
        <v>1</v>
      </c>
      <c r="AI182" s="82">
        <v>0.99999999998544808</v>
      </c>
      <c r="AJ182" s="166">
        <v>5.2311100000000001</v>
      </c>
      <c r="AK182" s="82" t="str">
        <v>Base</v>
      </c>
      <c r="AL182" s="162">
        <v>-24.75</v>
      </c>
      <c r="AM182" s="162">
        <v>-4.7615552860265158</v>
      </c>
      <c r="AN182" s="162">
        <v>-0.77685905856598336</v>
      </c>
      <c r="AO182" s="162">
        <v>57.213428741154814</v>
      </c>
      <c r="AP182" s="162">
        <v>-28.811854872966187</v>
      </c>
      <c r="AQ182" s="162">
        <v>0</v>
      </c>
      <c r="AR182" s="710" t="str">
        <v>1313.par</v>
      </c>
      <c r="AV182" s="82" t="str">
        <v>121,188,255</v>
      </c>
      <c r="AW182" s="947">
        <v>57.213428741154814</v>
      </c>
      <c r="AX182" s="947">
        <v>57.213428741154814</v>
      </c>
      <c r="AY182" s="947">
        <v>0</v>
      </c>
    </row>
    <row r="183" spans="2:51" x14ac:dyDescent="0.25">
      <c r="B183" s="650">
        <v>3.5758327117840323</v>
      </c>
      <c r="C183" s="651">
        <v>1.6213120692382808</v>
      </c>
      <c r="D183" s="652">
        <v>-0.35210210879671711</v>
      </c>
      <c r="E183" s="653">
        <v>-0.25272732194607628</v>
      </c>
      <c r="F183" s="651">
        <v>0.92967683750431518</v>
      </c>
      <c r="G183" s="654">
        <v>0.26801096721951434</v>
      </c>
      <c r="H183" s="653">
        <v>0.314</v>
      </c>
      <c r="I183" s="920">
        <v>0.52</v>
      </c>
      <c r="J183" s="924">
        <v>2.1219999999999999</v>
      </c>
      <c r="K183" s="790">
        <f>IF($J183="","",IF(IFERROR(INDEX(Settings!$AK$14:$AK$36,MATCH((((ROUND($H183,6)*2)*1000000)+ROUND($I183,6)),Settings!$AI$14:$AI$36,0)),"Undefined")="Undefined","Undefined",IFERROR(INDEX(_xlfn.ANCHORARRAY(Settings!$BC$14),MATCH(IFERROR(INDEX(Settings!$AK$14:$AK$36,MATCH((((ROUND($H183,6)*2)*1000000)+ROUND($I183,6)),Settings!$AI$14:$AI$36,0)),"Undefined"),_xlfn.ANCHORARRAY(Settings!$BC$14),0)),"Inactive")))</f>
        <v>1613</v>
      </c>
      <c r="L183" s="940" t="s">
        <v>420</v>
      </c>
      <c r="M183" s="973">
        <f t="shared" si="1067"/>
        <v>-29.091158349317926</v>
      </c>
      <c r="N183" s="941"/>
      <c r="O183" s="942"/>
      <c r="Q183" s="162">
        <f t="shared" si="1059"/>
        <v>3.5758327117840323</v>
      </c>
      <c r="R183" s="162">
        <f t="shared" si="1060"/>
        <v>1.6213120692382808</v>
      </c>
      <c r="S183" s="162">
        <f t="shared" si="1061"/>
        <v>-0.35210210879671711</v>
      </c>
      <c r="T183" s="162">
        <f t="shared" si="1062"/>
        <v>-0.25272732194607628</v>
      </c>
      <c r="U183" s="162">
        <f t="shared" si="1063"/>
        <v>0.92967683750431518</v>
      </c>
      <c r="V183" s="162">
        <f t="shared" si="1064"/>
        <v>0.26801096721951434</v>
      </c>
      <c r="W183" s="162">
        <f>IFERROR(IF(ISNUMBER(MATCH($Z183,Settings!$AK$28:$AK$36,0)),INDEX(Settings!$AO$14:$AO$36,MATCH($Z183,Settings!$AK$14:$AK$36,0))/2,INDEX(Settings!$AM$14:$AM$36,MATCH($Z183,Settings!$AK$14:$AK$36,0))/2),"")</f>
        <v>0.3125</v>
      </c>
      <c r="X183" s="162">
        <f t="shared" si="1065"/>
        <v>0.52</v>
      </c>
      <c r="Y183" s="75">
        <v>2.1219999999999999</v>
      </c>
      <c r="Z183" s="917">
        <f t="shared" si="1066"/>
        <v>1613</v>
      </c>
      <c r="AA183" s="82"/>
      <c r="AB183" s="75"/>
      <c r="AC183" s="75">
        <v>3.1000200000000002</v>
      </c>
      <c r="AD183" s="166">
        <v>-12</v>
      </c>
      <c r="AE183" s="75">
        <v>5.2249999999999996</v>
      </c>
      <c r="AF183" s="82">
        <v>5</v>
      </c>
      <c r="AG183" s="82">
        <v>2</v>
      </c>
      <c r="AH183" s="82">
        <v>1</v>
      </c>
      <c r="AI183" s="82">
        <v>0.99999999998544808</v>
      </c>
      <c r="AJ183" s="166">
        <v>5.2251099999999999</v>
      </c>
      <c r="AK183" s="82" t="str">
        <v>Base</v>
      </c>
      <c r="AL183" s="162">
        <v>-24.75</v>
      </c>
      <c r="AM183" s="162">
        <v>-4.258030881484971</v>
      </c>
      <c r="AN183" s="162">
        <v>-0.19034836522439508</v>
      </c>
      <c r="AO183" s="162">
        <v>38.623227592362632</v>
      </c>
      <c r="AP183" s="162">
        <v>-24.841583228699903</v>
      </c>
      <c r="AQ183" s="162">
        <v>0</v>
      </c>
      <c r="AR183" s="710" t="str">
        <v>1313.par</v>
      </c>
      <c r="AV183" s="82" t="str">
        <v>121,188,255</v>
      </c>
      <c r="AW183" s="947">
        <v>38.623227592362632</v>
      </c>
      <c r="AX183" s="947">
        <v>38.623227592362632</v>
      </c>
      <c r="AY183" s="947">
        <v>0</v>
      </c>
    </row>
    <row r="184" spans="2:51" x14ac:dyDescent="0.25">
      <c r="B184" s="650">
        <v>4.1443799024515906</v>
      </c>
      <c r="C184" s="651">
        <v>1.8145930112897455</v>
      </c>
      <c r="D184" s="652">
        <v>-0.8349050210594926</v>
      </c>
      <c r="E184" s="653">
        <v>-0.11607374711675919</v>
      </c>
      <c r="F184" s="651">
        <v>0.96140007413286788</v>
      </c>
      <c r="G184" s="654">
        <v>0.24947300993813104</v>
      </c>
      <c r="H184" s="653">
        <v>0.314</v>
      </c>
      <c r="I184" s="920">
        <v>0.52</v>
      </c>
      <c r="J184" s="924">
        <v>2.1280000000000001</v>
      </c>
      <c r="K184" s="790">
        <f>IF($J184="","",IF(IFERROR(INDEX(Settings!$AK$14:$AK$36,MATCH((((ROUND($H184,6)*2)*1000000)+ROUND($I184,6)),Settings!$AI$14:$AI$36,0)),"Undefined")="Undefined","Undefined",IFERROR(INDEX(_xlfn.ANCHORARRAY(Settings!$BC$14),MATCH(IFERROR(INDEX(Settings!$AK$14:$AK$36,MATCH((((ROUND($H184,6)*2)*1000000)+ROUND($I184,6)),Settings!$AI$14:$AI$36,0)),"Undefined"),_xlfn.ANCHORARRAY(Settings!$BC$14),0)),"Inactive")))</f>
        <v>1613</v>
      </c>
      <c r="L184" s="940" t="s">
        <v>420</v>
      </c>
      <c r="M184" s="973">
        <f t="shared" si="1067"/>
        <v>-47.834713669325687</v>
      </c>
      <c r="N184" s="941"/>
      <c r="O184" s="942"/>
      <c r="Q184" s="162">
        <f t="shared" si="1059"/>
        <v>4.1443799024515906</v>
      </c>
      <c r="R184" s="162">
        <f t="shared" si="1060"/>
        <v>1.8145930112897455</v>
      </c>
      <c r="S184" s="162">
        <f t="shared" si="1061"/>
        <v>-0.8349050210594926</v>
      </c>
      <c r="T184" s="162">
        <f t="shared" si="1062"/>
        <v>-0.11607374711675919</v>
      </c>
      <c r="U184" s="162">
        <f t="shared" si="1063"/>
        <v>0.96140007413286788</v>
      </c>
      <c r="V184" s="162">
        <f t="shared" si="1064"/>
        <v>0.24947300993813104</v>
      </c>
      <c r="W184" s="162">
        <f>IFERROR(IF(ISNUMBER(MATCH($Z184,Settings!$AK$28:$AK$36,0)),INDEX(Settings!$AO$14:$AO$36,MATCH($Z184,Settings!$AK$14:$AK$36,0))/2,INDEX(Settings!$AM$14:$AM$36,MATCH($Z184,Settings!$AK$14:$AK$36,0))/2),"")</f>
        <v>0.3125</v>
      </c>
      <c r="X184" s="162">
        <f t="shared" si="1065"/>
        <v>0.52</v>
      </c>
      <c r="Y184" s="75">
        <v>2.1280000000000001</v>
      </c>
      <c r="Z184" s="917">
        <f t="shared" si="1066"/>
        <v>1613</v>
      </c>
      <c r="AA184" s="82"/>
      <c r="AB184" s="75"/>
      <c r="AC184" s="75">
        <v>2.2000200000000003</v>
      </c>
      <c r="AD184" s="166">
        <v>-11.25</v>
      </c>
      <c r="AE184" s="75">
        <v>5.2190000000000003</v>
      </c>
      <c r="AF184" s="82">
        <v>5</v>
      </c>
      <c r="AG184" s="82">
        <v>2</v>
      </c>
      <c r="AH184" s="82">
        <v>1</v>
      </c>
      <c r="AI184" s="82">
        <v>1.0000000000582077</v>
      </c>
      <c r="AJ184" s="166">
        <v>5.2191100000000006</v>
      </c>
      <c r="AK184" s="82" t="str">
        <v>Base</v>
      </c>
      <c r="AL184" s="162">
        <v>-24.75</v>
      </c>
      <c r="AM184" s="162">
        <v>-3.5682539723265454</v>
      </c>
      <c r="AN184" s="162">
        <v>0.15067785842080431</v>
      </c>
      <c r="AO184" s="162">
        <v>12.999998123032507</v>
      </c>
      <c r="AP184" s="162">
        <v>0</v>
      </c>
      <c r="AQ184" s="162">
        <v>0</v>
      </c>
      <c r="AR184" s="710" t="str">
        <v>32193r1.par</v>
      </c>
      <c r="AV184" s="82" t="str">
        <v>121,188,255</v>
      </c>
      <c r="AW184" s="947">
        <v>12.999998123032507</v>
      </c>
      <c r="AX184" s="947">
        <v>12.999998123032507</v>
      </c>
      <c r="AY184" s="947">
        <v>0</v>
      </c>
    </row>
    <row r="185" spans="2:51" x14ac:dyDescent="0.25">
      <c r="B185" s="650">
        <v>4.5184227781158555</v>
      </c>
      <c r="C185" s="651">
        <v>1.9248413660729857</v>
      </c>
      <c r="D185" s="652">
        <v>-1.4989090263256117</v>
      </c>
      <c r="E185" s="653">
        <v>1.769100782323986E-2</v>
      </c>
      <c r="F185" s="651">
        <v>0.98460046155635728</v>
      </c>
      <c r="G185" s="654">
        <v>0.17392227961134338</v>
      </c>
      <c r="H185" s="653">
        <v>0.314</v>
      </c>
      <c r="I185" s="920">
        <v>0.52</v>
      </c>
      <c r="J185" s="924">
        <v>2.1339999999999999</v>
      </c>
      <c r="K185" s="790">
        <f>IF($J185="","",IF(IFERROR(INDEX(Settings!$AK$14:$AK$36,MATCH((((ROUND($H185,6)*2)*1000000)+ROUND($I185,6)),Settings!$AI$14:$AI$36,0)),"Undefined")="Undefined","Undefined",IFERROR(INDEX(_xlfn.ANCHORARRAY(Settings!$BC$14),MATCH(IFERROR(INDEX(Settings!$AK$14:$AK$36,MATCH((((ROUND($H185,6)*2)*1000000)+ROUND($I185,6)),Settings!$AI$14:$AI$36,0)),"Undefined"),_xlfn.ANCHORARRAY(Settings!$BC$14),0)),"Inactive")))</f>
        <v>1613</v>
      </c>
      <c r="L185" s="940" t="s">
        <v>420</v>
      </c>
      <c r="M185" s="973">
        <f t="shared" si="1067"/>
        <v>-66.440489504246187</v>
      </c>
      <c r="N185" s="941"/>
      <c r="O185" s="942"/>
      <c r="Q185" s="162">
        <f t="shared" si="1059"/>
        <v>4.5184227781158555</v>
      </c>
      <c r="R185" s="162">
        <f t="shared" si="1060"/>
        <v>1.9248413660729857</v>
      </c>
      <c r="S185" s="162">
        <f t="shared" si="1061"/>
        <v>-1.4989090263256117</v>
      </c>
      <c r="T185" s="162">
        <f t="shared" si="1062"/>
        <v>1.769100782323986E-2</v>
      </c>
      <c r="U185" s="162">
        <f t="shared" si="1063"/>
        <v>0.98460046155635728</v>
      </c>
      <c r="V185" s="162">
        <f t="shared" si="1064"/>
        <v>0.17392227961134338</v>
      </c>
      <c r="W185" s="162">
        <f>IFERROR(IF(ISNUMBER(MATCH($Z185,Settings!$AK$28:$AK$36,0)),INDEX(Settings!$AO$14:$AO$36,MATCH($Z185,Settings!$AK$14:$AK$36,0))/2,INDEX(Settings!$AM$14:$AM$36,MATCH($Z185,Settings!$AK$14:$AK$36,0))/2),"")</f>
        <v>0.3125</v>
      </c>
      <c r="X185" s="162">
        <f t="shared" si="1065"/>
        <v>0.52</v>
      </c>
      <c r="Y185" s="75">
        <v>2.1339999999999999</v>
      </c>
      <c r="Z185" s="917">
        <f t="shared" si="1066"/>
        <v>1613</v>
      </c>
      <c r="AA185" s="82"/>
      <c r="AB185" s="75"/>
      <c r="AC185" s="75">
        <v>2.1000200000000002</v>
      </c>
      <c r="AD185" s="166">
        <v>-10.5</v>
      </c>
      <c r="AE185" s="75">
        <v>5.149</v>
      </c>
      <c r="AF185" s="82">
        <v>5</v>
      </c>
      <c r="AG185" s="82">
        <v>1</v>
      </c>
      <c r="AH185" s="82">
        <v>1</v>
      </c>
      <c r="AI185" s="82">
        <v>1.0000000000582077</v>
      </c>
      <c r="AJ185" s="166">
        <v>5.1491100000000003</v>
      </c>
      <c r="AK185" s="82" t="str">
        <v>Base</v>
      </c>
      <c r="AL185" s="162">
        <v>-24</v>
      </c>
      <c r="AM185" s="162">
        <v>-5.0550887932628417</v>
      </c>
      <c r="AN185" s="162">
        <v>-3.0187582086590088</v>
      </c>
      <c r="AO185" s="162">
        <v>84.97011741683842</v>
      </c>
      <c r="AP185" s="162">
        <v>-29.785208788526919</v>
      </c>
      <c r="AQ185" s="162">
        <v>0</v>
      </c>
      <c r="AR185" s="710" t="str">
        <v>1613.par</v>
      </c>
      <c r="AV185" s="82" t="str">
        <v>0,102,204</v>
      </c>
      <c r="AW185" s="947">
        <v>84.97011741683842</v>
      </c>
      <c r="AX185" s="947">
        <v>84.97011741683842</v>
      </c>
      <c r="AY185" s="947">
        <v>0</v>
      </c>
    </row>
    <row r="186" spans="2:51" x14ac:dyDescent="0.25">
      <c r="B186" s="650">
        <v>4.6407696620166732</v>
      </c>
      <c r="C186" s="651">
        <v>1.9580410170514477</v>
      </c>
      <c r="D186" s="652">
        <v>-2.2572136004119048</v>
      </c>
      <c r="E186" s="653">
        <v>0.12193397424882359</v>
      </c>
      <c r="F186" s="651">
        <v>0.99158220462938695</v>
      </c>
      <c r="G186" s="654">
        <v>4.3552696658323252E-2</v>
      </c>
      <c r="H186" s="653">
        <v>0.314</v>
      </c>
      <c r="I186" s="920">
        <v>0.52</v>
      </c>
      <c r="J186" s="924">
        <v>2.14</v>
      </c>
      <c r="K186" s="790">
        <f>IF($J186="","",IF(IFERROR(INDEX(Settings!$AK$14:$AK$36,MATCH((((ROUND($H186,6)*2)*1000000)+ROUND($I186,6)),Settings!$AI$14:$AI$36,0)),"Undefined")="Undefined","Undefined",IFERROR(INDEX(_xlfn.ANCHORARRAY(Settings!$BC$14),MATCH(IFERROR(INDEX(Settings!$AK$14:$AK$36,MATCH((((ROUND($H186,6)*2)*1000000)+ROUND($I186,6)),Settings!$AI$14:$AI$36,0)),"Undefined"),_xlfn.ANCHORARRAY(Settings!$BC$14),0)),"Inactive")))</f>
        <v>1613</v>
      </c>
      <c r="L186" s="940" t="s">
        <v>420</v>
      </c>
      <c r="M186" s="973">
        <f t="shared" si="1067"/>
        <v>-84.969949372155938</v>
      </c>
      <c r="N186" s="941"/>
      <c r="O186" s="942"/>
      <c r="Q186" s="162">
        <f t="shared" si="1059"/>
        <v>4.6407696620166732</v>
      </c>
      <c r="R186" s="162">
        <f t="shared" si="1060"/>
        <v>1.9580410170514477</v>
      </c>
      <c r="S186" s="162">
        <f t="shared" si="1061"/>
        <v>-2.2572136004119048</v>
      </c>
      <c r="T186" s="162">
        <f t="shared" si="1062"/>
        <v>0.12193397424882359</v>
      </c>
      <c r="U186" s="162">
        <f t="shared" si="1063"/>
        <v>0.99158220462938695</v>
      </c>
      <c r="V186" s="162">
        <f t="shared" si="1064"/>
        <v>4.3552696658323252E-2</v>
      </c>
      <c r="W186" s="162">
        <f>IFERROR(IF(ISNUMBER(MATCH($Z186,Settings!$AK$28:$AK$36,0)),INDEX(Settings!$AO$14:$AO$36,MATCH($Z186,Settings!$AK$14:$AK$36,0))/2,INDEX(Settings!$AM$14:$AM$36,MATCH($Z186,Settings!$AK$14:$AK$36,0))/2),"")</f>
        <v>0.3125</v>
      </c>
      <c r="X186" s="162">
        <f t="shared" si="1065"/>
        <v>0.52</v>
      </c>
      <c r="Y186" s="75">
        <v>2.14</v>
      </c>
      <c r="Z186" s="917">
        <f t="shared" si="1066"/>
        <v>1613</v>
      </c>
      <c r="AA186" s="82"/>
      <c r="AB186" s="75"/>
      <c r="AC186" s="75">
        <v>1.2000199999999999</v>
      </c>
      <c r="AD186" s="166">
        <v>-9.75</v>
      </c>
      <c r="AE186" s="75">
        <v>5.1429999999999998</v>
      </c>
      <c r="AF186" s="82">
        <v>5</v>
      </c>
      <c r="AG186" s="82">
        <v>1</v>
      </c>
      <c r="AH186" s="82">
        <v>1</v>
      </c>
      <c r="AI186" s="82">
        <v>0.99999999998544808</v>
      </c>
      <c r="AJ186" s="166">
        <v>5.1431100000000001</v>
      </c>
      <c r="AK186" s="82" t="str">
        <v>Base</v>
      </c>
      <c r="AL186" s="162">
        <v>-24</v>
      </c>
      <c r="AM186" s="162">
        <v>-5.0270040657372679</v>
      </c>
      <c r="AN186" s="162">
        <v>-2.2673549297074911</v>
      </c>
      <c r="AO186" s="162">
        <v>84.969949372155952</v>
      </c>
      <c r="AP186" s="162">
        <v>-29.784116024848295</v>
      </c>
      <c r="AQ186" s="162">
        <v>0</v>
      </c>
      <c r="AR186" s="710" t="str">
        <v>1613.par</v>
      </c>
      <c r="AV186" s="82" t="str">
        <v>0,102,204</v>
      </c>
      <c r="AW186" s="947">
        <v>84.969949372155952</v>
      </c>
      <c r="AX186" s="947">
        <v>84.969949372155952</v>
      </c>
      <c r="AY186" s="947">
        <v>0</v>
      </c>
    </row>
    <row r="187" spans="2:51" x14ac:dyDescent="0.25">
      <c r="B187" s="650">
        <v>4.6691847466711156</v>
      </c>
      <c r="C187" s="651">
        <v>1.9629298378798636</v>
      </c>
      <c r="D187" s="652">
        <v>-3.0087181334804129</v>
      </c>
      <c r="E187" s="653">
        <v>0.12321454352127205</v>
      </c>
      <c r="F187" s="651">
        <v>0.99142389464781044</v>
      </c>
      <c r="G187" s="654">
        <v>4.3552696658322981E-2</v>
      </c>
      <c r="H187" s="653">
        <v>0.314</v>
      </c>
      <c r="I187" s="920">
        <v>0.52</v>
      </c>
      <c r="J187" s="924">
        <v>2.1459999999999999</v>
      </c>
      <c r="K187" s="790">
        <f>IF($J187="","",IF(IFERROR(INDEX(Settings!$AK$14:$AK$36,MATCH((((ROUND($H187,6)*2)*1000000)+ROUND($I187,6)),Settings!$AI$14:$AI$36,0)),"Undefined")="Undefined","Undefined",IFERROR(INDEX(_xlfn.ANCHORARRAY(Settings!$BC$14),MATCH(IFERROR(INDEX(Settings!$AK$14:$AK$36,MATCH((((ROUND($H187,6)*2)*1000000)+ROUND($I187,6)),Settings!$AI$14:$AI$36,0)),"Undefined"),_xlfn.ANCHORARRAY(Settings!$BC$14),0)),"Inactive")))</f>
        <v>1613</v>
      </c>
      <c r="L187" s="940" t="s">
        <v>420</v>
      </c>
      <c r="M187" s="973">
        <f t="shared" si="1067"/>
        <v>-84.97011741683842</v>
      </c>
      <c r="N187" s="941"/>
      <c r="O187" s="942"/>
      <c r="Q187" s="162">
        <f t="shared" si="1059"/>
        <v>4.6691847466711156</v>
      </c>
      <c r="R187" s="162">
        <f t="shared" si="1060"/>
        <v>1.9629298378798636</v>
      </c>
      <c r="S187" s="162">
        <f t="shared" si="1061"/>
        <v>-3.0087181334804129</v>
      </c>
      <c r="T187" s="162">
        <f t="shared" si="1062"/>
        <v>0.12321454352127205</v>
      </c>
      <c r="U187" s="162">
        <f t="shared" si="1063"/>
        <v>0.99142389464781044</v>
      </c>
      <c r="V187" s="162">
        <f t="shared" si="1064"/>
        <v>4.3552696658322981E-2</v>
      </c>
      <c r="W187" s="162">
        <f>IFERROR(IF(ISNUMBER(MATCH($Z187,Settings!$AK$28:$AK$36,0)),INDEX(Settings!$AO$14:$AO$36,MATCH($Z187,Settings!$AK$14:$AK$36,0))/2,INDEX(Settings!$AM$14:$AM$36,MATCH($Z187,Settings!$AK$14:$AK$36,0))/2),"")</f>
        <v>0.3125</v>
      </c>
      <c r="X187" s="162">
        <f t="shared" si="1065"/>
        <v>0.52</v>
      </c>
      <c r="Y187" s="75">
        <v>2.1459999999999999</v>
      </c>
      <c r="Z187" s="917">
        <f t="shared" si="1066"/>
        <v>1613</v>
      </c>
      <c r="AA187" s="82"/>
      <c r="AB187" s="75"/>
      <c r="AC187" s="75">
        <v>1.10002</v>
      </c>
      <c r="AD187" s="166">
        <v>-9</v>
      </c>
      <c r="AE187" s="75">
        <v>5.1369999999999996</v>
      </c>
      <c r="AF187" s="82">
        <v>5</v>
      </c>
      <c r="AG187" s="82">
        <v>1</v>
      </c>
      <c r="AH187" s="82">
        <v>1</v>
      </c>
      <c r="AI187" s="82">
        <v>0.99999999998544808</v>
      </c>
      <c r="AJ187" s="166">
        <v>5.1371099999999998</v>
      </c>
      <c r="AK187" s="82" t="str">
        <v>Base</v>
      </c>
      <c r="AL187" s="162">
        <v>-24</v>
      </c>
      <c r="AM187" s="162">
        <v>-4.9996635239022913</v>
      </c>
      <c r="AN187" s="162">
        <v>-1.5074359372983639</v>
      </c>
      <c r="AO187" s="162">
        <v>75.712346529077777</v>
      </c>
      <c r="AP187" s="162">
        <v>-27.787369752383814</v>
      </c>
      <c r="AQ187" s="162">
        <v>0</v>
      </c>
      <c r="AR187" s="710" t="str">
        <v>1613.par</v>
      </c>
      <c r="AV187" s="82" t="str">
        <v>0,102,204</v>
      </c>
      <c r="AW187" s="947">
        <v>75.712346529077777</v>
      </c>
      <c r="AX187" s="947">
        <v>75.712346529077777</v>
      </c>
      <c r="AY187" s="947">
        <v>0</v>
      </c>
    </row>
    <row r="188" spans="2:51" x14ac:dyDescent="0.25">
      <c r="B188" s="650">
        <v>3.175528456305075</v>
      </c>
      <c r="C188" s="651">
        <v>0.34038293778780537</v>
      </c>
      <c r="D188" s="652">
        <v>-0.15425909251969605</v>
      </c>
      <c r="E188" s="653">
        <v>0.10393308058719902</v>
      </c>
      <c r="F188" s="651">
        <v>1.1140522842226726E-2</v>
      </c>
      <c r="G188" s="654">
        <v>0.99452189694870807</v>
      </c>
      <c r="H188" s="653">
        <v>0.25700000000000001</v>
      </c>
      <c r="I188" s="920">
        <v>0.41499999999999992</v>
      </c>
      <c r="J188" s="924">
        <v>2.2160000000000002</v>
      </c>
      <c r="K188" s="790" t="str">
        <f>IF($J188="","",IF(IFERROR(INDEX(Settings!$AK$14:$AK$36,MATCH((((ROUND($H188,6)*2)*1000000)+ROUND($I188,6)),Settings!$AI$14:$AI$36,0)),"Undefined")="Undefined","Undefined",IFERROR(INDEX(_xlfn.ANCHORARRAY(Settings!$BC$14),MATCH(IFERROR(INDEX(Settings!$AK$14:$AK$36,MATCH((((ROUND($H188,6)*2)*1000000)+ROUND($I188,6)),Settings!$AI$14:$AI$36,0)),"Undefined"),_xlfn.ANCHORARRAY(Settings!$BC$14),0)),"Inactive")))</f>
        <v>CPS-32193r1</v>
      </c>
      <c r="L188" s="940" t="s">
        <v>423</v>
      </c>
      <c r="M188" s="973">
        <f t="shared" si="1067"/>
        <v>-5.9999991337073082</v>
      </c>
      <c r="N188" s="941"/>
      <c r="O188" s="942"/>
      <c r="Q188" s="162">
        <f t="shared" si="1059"/>
        <v>3.175528456305075</v>
      </c>
      <c r="R188" s="162">
        <f t="shared" si="1060"/>
        <v>0.34038293778780537</v>
      </c>
      <c r="S188" s="162">
        <f t="shared" si="1061"/>
        <v>-0.15425909251969605</v>
      </c>
      <c r="T188" s="162">
        <f t="shared" si="1062"/>
        <v>0.10393308058719902</v>
      </c>
      <c r="U188" s="162">
        <f t="shared" si="1063"/>
        <v>1.1140522842226726E-2</v>
      </c>
      <c r="V188" s="162">
        <f t="shared" si="1064"/>
        <v>0.99452189694870807</v>
      </c>
      <c r="W188" s="162">
        <f>IFERROR(IF(ISNUMBER(MATCH($Z188,Settings!$AK$28:$AK$36,0)),INDEX(Settings!$AO$14:$AO$36,MATCH($Z188,Settings!$AK$14:$AK$36,0))/2,INDEX(Settings!$AM$14:$AM$36,MATCH($Z188,Settings!$AK$14:$AK$36,0))/2),"")</f>
        <v>0.255</v>
      </c>
      <c r="X188" s="162">
        <f t="shared" si="1065"/>
        <v>0.41499999999999992</v>
      </c>
      <c r="Y188" s="75">
        <v>2.2160000000000002</v>
      </c>
      <c r="Z188" s="917" t="str">
        <f t="shared" si="1066"/>
        <v>CPS-32193r1</v>
      </c>
      <c r="AA188" s="82"/>
      <c r="AB188" s="75"/>
      <c r="AC188" s="75">
        <v>6.2000299999999999</v>
      </c>
      <c r="AD188" s="166">
        <v>-8.25</v>
      </c>
      <c r="AE188" s="75">
        <v>5.1310000000000002</v>
      </c>
      <c r="AF188" s="82">
        <v>5</v>
      </c>
      <c r="AG188" s="82">
        <v>1</v>
      </c>
      <c r="AH188" s="82">
        <v>1</v>
      </c>
      <c r="AI188" s="82">
        <v>1.0000000000582077</v>
      </c>
      <c r="AJ188" s="166">
        <v>5.1311100000000005</v>
      </c>
      <c r="AK188" s="82" t="str">
        <v>Base</v>
      </c>
      <c r="AL188" s="162">
        <v>-24</v>
      </c>
      <c r="AM188" s="162">
        <v>-4.7412121930234123</v>
      </c>
      <c r="AN188" s="162">
        <v>-0.78704186162482714</v>
      </c>
      <c r="AO188" s="162">
        <v>57.149982620263913</v>
      </c>
      <c r="AP188" s="162">
        <v>-23.803245732477407</v>
      </c>
      <c r="AQ188" s="162">
        <v>0</v>
      </c>
      <c r="AR188" s="710" t="str">
        <v>1613.par</v>
      </c>
      <c r="AV188" s="82" t="str">
        <v>0,102,204</v>
      </c>
      <c r="AW188" s="947">
        <v>57.149982620263913</v>
      </c>
      <c r="AX188" s="947">
        <v>57.149982620263913</v>
      </c>
      <c r="AY188" s="947">
        <v>0</v>
      </c>
    </row>
    <row r="189" spans="2:51" x14ac:dyDescent="0.25">
      <c r="B189" s="650">
        <v>3.878126591350461</v>
      </c>
      <c r="C189" s="651">
        <v>0.56642244007706855</v>
      </c>
      <c r="D189" s="652">
        <v>-0.39102043806262499</v>
      </c>
      <c r="E189" s="653">
        <v>0.44922423854638721</v>
      </c>
      <c r="F189" s="651">
        <v>6.5611754373031406E-2</v>
      </c>
      <c r="G189" s="654">
        <v>0.8910065550771844</v>
      </c>
      <c r="H189" s="653">
        <v>0.25700000000000001</v>
      </c>
      <c r="I189" s="920">
        <v>0.41499999999999992</v>
      </c>
      <c r="J189" s="924">
        <v>2.222</v>
      </c>
      <c r="K189" s="790" t="str">
        <f>IF($J189="","",IF(IFERROR(INDEX(Settings!$AK$14:$AK$36,MATCH((((ROUND($H189,6)*2)*1000000)+ROUND($I189,6)),Settings!$AI$14:$AI$36,0)),"Undefined")="Undefined","Undefined",IFERROR(INDEX(_xlfn.ANCHORARRAY(Settings!$BC$14),MATCH(IFERROR(INDEX(Settings!$AK$14:$AK$36,MATCH((((ROUND($H189,6)*2)*1000000)+ROUND($I189,6)),Settings!$AI$14:$AI$36,0)),"Undefined"),_xlfn.ANCHORARRAY(Settings!$BC$14),0)),"Inactive")))</f>
        <v>CPS-32193r1</v>
      </c>
      <c r="L189" s="940" t="s">
        <v>423</v>
      </c>
      <c r="M189" s="973">
        <f t="shared" si="1067"/>
        <v>-26.999996101682878</v>
      </c>
      <c r="N189" s="941"/>
      <c r="O189" s="942"/>
      <c r="Q189" s="162">
        <f t="shared" si="1059"/>
        <v>3.878126591350461</v>
      </c>
      <c r="R189" s="162">
        <f t="shared" si="1060"/>
        <v>0.56642244007706855</v>
      </c>
      <c r="S189" s="162">
        <f t="shared" si="1061"/>
        <v>-0.39102043806262499</v>
      </c>
      <c r="T189" s="162">
        <f t="shared" si="1062"/>
        <v>0.44922423854638721</v>
      </c>
      <c r="U189" s="162">
        <f t="shared" si="1063"/>
        <v>6.5611754373031406E-2</v>
      </c>
      <c r="V189" s="162">
        <f t="shared" si="1064"/>
        <v>0.8910065550771844</v>
      </c>
      <c r="W189" s="162">
        <f>IFERROR(IF(ISNUMBER(MATCH($Z189,Settings!$AK$28:$AK$36,0)),INDEX(Settings!$AO$14:$AO$36,MATCH($Z189,Settings!$AK$14:$AK$36,0))/2,INDEX(Settings!$AM$14:$AM$36,MATCH($Z189,Settings!$AK$14:$AK$36,0))/2),"")</f>
        <v>0.255</v>
      </c>
      <c r="X189" s="162">
        <f t="shared" si="1065"/>
        <v>0.41499999999999992</v>
      </c>
      <c r="Y189" s="75">
        <v>2.222</v>
      </c>
      <c r="Z189" s="917" t="str">
        <f t="shared" si="1066"/>
        <v>CPS-32193r1</v>
      </c>
      <c r="AA189" s="82"/>
      <c r="AB189" s="75"/>
      <c r="AC189" s="75">
        <v>6.1000299999999994</v>
      </c>
      <c r="AD189" s="166">
        <v>-7.5</v>
      </c>
      <c r="AE189" s="75">
        <v>5.125</v>
      </c>
      <c r="AF189" s="82">
        <v>5</v>
      </c>
      <c r="AG189" s="82">
        <v>1</v>
      </c>
      <c r="AH189" s="82">
        <v>1</v>
      </c>
      <c r="AI189" s="82">
        <v>1.0000000000582077</v>
      </c>
      <c r="AJ189" s="166">
        <v>5.1251100000000003</v>
      </c>
      <c r="AK189" s="82" t="str">
        <v>Base</v>
      </c>
      <c r="AL189" s="162">
        <v>-24</v>
      </c>
      <c r="AM189" s="162">
        <v>-4.242960581402202</v>
      </c>
      <c r="AN189" s="162">
        <v>-0.20578726031601896</v>
      </c>
      <c r="AO189" s="162">
        <v>38.485986851085471</v>
      </c>
      <c r="AP189" s="162">
        <v>-19.835624968950093</v>
      </c>
      <c r="AQ189" s="162">
        <v>0</v>
      </c>
      <c r="AR189" s="710" t="str">
        <v>1613.par</v>
      </c>
      <c r="AV189" s="82" t="str">
        <v>0,102,204</v>
      </c>
      <c r="AW189" s="947">
        <v>38.485986851085471</v>
      </c>
      <c r="AX189" s="947">
        <v>38.485986851085471</v>
      </c>
      <c r="AY189" s="947">
        <v>0</v>
      </c>
    </row>
    <row r="190" spans="2:51" x14ac:dyDescent="0.25">
      <c r="B190" s="650">
        <v>4.4392726783140954</v>
      </c>
      <c r="C190" s="651">
        <v>0.76179852339491338</v>
      </c>
      <c r="D190" s="652">
        <v>-0.86976760741104675</v>
      </c>
      <c r="E190" s="653">
        <v>0.73243854669546282</v>
      </c>
      <c r="F190" s="651">
        <v>0.12568964417883446</v>
      </c>
      <c r="G190" s="654">
        <v>0.66913069624762889</v>
      </c>
      <c r="H190" s="653">
        <v>0.25700000000000001</v>
      </c>
      <c r="I190" s="920">
        <v>0.41499999999999992</v>
      </c>
      <c r="J190" s="924">
        <v>2.2280000000000002</v>
      </c>
      <c r="K190" s="790" t="str">
        <f>IF($J190="","",IF(IFERROR(INDEX(Settings!$AK$14:$AK$36,MATCH((((ROUND($H190,6)*2)*1000000)+ROUND($I190,6)),Settings!$AI$14:$AI$36,0)),"Undefined")="Undefined","Undefined",IFERROR(INDEX(_xlfn.ANCHORARRAY(Settings!$BC$14),MATCH(IFERROR(INDEX(Settings!$AK$14:$AK$36,MATCH((((ROUND($H190,6)*2)*1000000)+ROUND($I190,6)),Settings!$AI$14:$AI$36,0)),"Undefined"),_xlfn.ANCHORARRAY(Settings!$BC$14),0)),"Inactive")))</f>
        <v>CPS-32193r1</v>
      </c>
      <c r="L190" s="940" t="s">
        <v>423</v>
      </c>
      <c r="M190" s="973">
        <f t="shared" si="1067"/>
        <v>-47.999993069658451</v>
      </c>
      <c r="N190" s="941"/>
      <c r="O190" s="942"/>
      <c r="Q190" s="162">
        <f t="shared" si="1059"/>
        <v>4.4392726783140954</v>
      </c>
      <c r="R190" s="162">
        <f t="shared" si="1060"/>
        <v>0.76179852339491338</v>
      </c>
      <c r="S190" s="162">
        <f t="shared" si="1061"/>
        <v>-0.86976760741104675</v>
      </c>
      <c r="T190" s="162">
        <f t="shared" si="1062"/>
        <v>0.73243854669546282</v>
      </c>
      <c r="U190" s="162">
        <f t="shared" si="1063"/>
        <v>0.12568964417883446</v>
      </c>
      <c r="V190" s="162">
        <f t="shared" si="1064"/>
        <v>0.66913069624762889</v>
      </c>
      <c r="W190" s="162">
        <f>IFERROR(IF(ISNUMBER(MATCH($Z190,Settings!$AK$28:$AK$36,0)),INDEX(Settings!$AO$14:$AO$36,MATCH($Z190,Settings!$AK$14:$AK$36,0))/2,INDEX(Settings!$AM$14:$AM$36,MATCH($Z190,Settings!$AK$14:$AK$36,0))/2),"")</f>
        <v>0.255</v>
      </c>
      <c r="X190" s="162">
        <f t="shared" si="1065"/>
        <v>0.41499999999999992</v>
      </c>
      <c r="Y190" s="75">
        <v>2.2280000000000002</v>
      </c>
      <c r="Z190" s="917" t="str">
        <f t="shared" si="1066"/>
        <v>CPS-32193r1</v>
      </c>
      <c r="AA190" s="82"/>
      <c r="AB190" s="75"/>
      <c r="AC190" s="75">
        <v>5.2000299999999999</v>
      </c>
      <c r="AD190" s="166">
        <v>-6.75</v>
      </c>
      <c r="AE190" s="75">
        <v>5.1189999999999998</v>
      </c>
      <c r="AF190" s="82">
        <v>5</v>
      </c>
      <c r="AG190" s="82">
        <v>1</v>
      </c>
      <c r="AH190" s="82">
        <v>1</v>
      </c>
      <c r="AI190" s="82">
        <v>0.99999999998544808</v>
      </c>
      <c r="AJ190" s="166">
        <v>5.11911</v>
      </c>
      <c r="AK190" s="82" t="str">
        <v>Base</v>
      </c>
      <c r="AL190" s="162">
        <v>-24</v>
      </c>
      <c r="AM190" s="162">
        <v>-3.5699296323723511</v>
      </c>
      <c r="AN190" s="162">
        <v>0.1601652840696334</v>
      </c>
      <c r="AO190" s="162">
        <v>19.63131247542724</v>
      </c>
      <c r="AP190" s="162">
        <v>-15.893761035069243</v>
      </c>
      <c r="AQ190" s="162">
        <v>0</v>
      </c>
      <c r="AR190" s="710" t="str">
        <v>1613 Ripper.par</v>
      </c>
      <c r="AV190" s="82" t="str">
        <v>0,102,204</v>
      </c>
      <c r="AW190" s="947">
        <v>19.63131247542724</v>
      </c>
      <c r="AX190" s="947">
        <v>19.63131247542724</v>
      </c>
      <c r="AY190" s="947">
        <v>0</v>
      </c>
    </row>
    <row r="191" spans="2:51" x14ac:dyDescent="0.25">
      <c r="B191" s="650">
        <v>4.8028002956841052</v>
      </c>
      <c r="C191" s="651">
        <v>0.87117548928701927</v>
      </c>
      <c r="D191" s="652">
        <v>-1.533273003894158</v>
      </c>
      <c r="E191" s="653">
        <v>0.91859092475169779</v>
      </c>
      <c r="F191" s="651">
        <v>0.16662235551294891</v>
      </c>
      <c r="G191" s="654">
        <v>0.3583681118726067</v>
      </c>
      <c r="H191" s="653">
        <v>0.25700000000000001</v>
      </c>
      <c r="I191" s="920">
        <v>0.41499999999999992</v>
      </c>
      <c r="J191" s="924">
        <v>2.234</v>
      </c>
      <c r="K191" s="790" t="str">
        <f>IF($J191="","",IF(IFERROR(INDEX(Settings!$AK$14:$AK$36,MATCH((((ROUND($H191,6)*2)*1000000)+ROUND($I191,6)),Settings!$AI$14:$AI$36,0)),"Undefined")="Undefined","Undefined",IFERROR(INDEX(_xlfn.ANCHORARRAY(Settings!$BC$14),MATCH(IFERROR(INDEX(Settings!$AK$14:$AK$36,MATCH((((ROUND($H191,6)*2)*1000000)+ROUND($I191,6)),Settings!$AI$14:$AI$36,0)),"Undefined"),_xlfn.ANCHORARRAY(Settings!$BC$14),0)),"Inactive")))</f>
        <v>CPS-32193r1</v>
      </c>
      <c r="L191" s="940" t="s">
        <v>423</v>
      </c>
      <c r="M191" s="973">
        <f t="shared" si="1067"/>
        <v>-68.999990037634035</v>
      </c>
      <c r="N191" s="941"/>
      <c r="O191" s="942"/>
      <c r="Q191" s="162">
        <f t="shared" si="1059"/>
        <v>4.8028002956841052</v>
      </c>
      <c r="R191" s="162">
        <f t="shared" si="1060"/>
        <v>0.87117548928701927</v>
      </c>
      <c r="S191" s="162">
        <f t="shared" si="1061"/>
        <v>-1.533273003894158</v>
      </c>
      <c r="T191" s="162">
        <f t="shared" si="1062"/>
        <v>0.91859092475169779</v>
      </c>
      <c r="U191" s="162">
        <f t="shared" si="1063"/>
        <v>0.16662235551294891</v>
      </c>
      <c r="V191" s="162">
        <f t="shared" si="1064"/>
        <v>0.3583681118726067</v>
      </c>
      <c r="W191" s="162">
        <f>IFERROR(IF(ISNUMBER(MATCH($Z191,Settings!$AK$28:$AK$36,0)),INDEX(Settings!$AO$14:$AO$36,MATCH($Z191,Settings!$AK$14:$AK$36,0))/2,INDEX(Settings!$AM$14:$AM$36,MATCH($Z191,Settings!$AK$14:$AK$36,0))/2),"")</f>
        <v>0.255</v>
      </c>
      <c r="X191" s="162">
        <f t="shared" si="1065"/>
        <v>0.41499999999999992</v>
      </c>
      <c r="Y191" s="75">
        <v>2.234</v>
      </c>
      <c r="Z191" s="917" t="str">
        <f t="shared" si="1066"/>
        <v>CPS-32193r1</v>
      </c>
      <c r="AA191" s="82"/>
      <c r="AB191" s="75"/>
      <c r="AC191" s="75">
        <v>5.1000299999999994</v>
      </c>
      <c r="AD191" s="166">
        <v>-6</v>
      </c>
      <c r="AE191" s="75">
        <v>5.1130000000000004</v>
      </c>
      <c r="AF191" s="82">
        <v>5</v>
      </c>
      <c r="AG191" s="82">
        <v>1</v>
      </c>
      <c r="AH191" s="82">
        <v>1</v>
      </c>
      <c r="AI191" s="82">
        <v>1.0000000000582077</v>
      </c>
      <c r="AJ191" s="166">
        <v>5.1131100000000007</v>
      </c>
      <c r="AK191" s="82" t="str">
        <v>Base</v>
      </c>
      <c r="AL191" s="162">
        <v>-24</v>
      </c>
      <c r="AM191" s="162">
        <v>-2.8098738483217405</v>
      </c>
      <c r="AN191" s="162">
        <v>0.26224627281254298</v>
      </c>
      <c r="AO191" s="162">
        <v>0.8306004126858153</v>
      </c>
      <c r="AP191" s="162">
        <v>-15.389399300523054</v>
      </c>
      <c r="AQ191" s="162">
        <v>0</v>
      </c>
      <c r="AR191" s="710" t="str">
        <v>1613 Ripper.par</v>
      </c>
      <c r="AV191" s="82" t="str">
        <v>0,102,204</v>
      </c>
      <c r="AW191" s="947">
        <v>0.8306004126858153</v>
      </c>
      <c r="AX191" s="947">
        <v>0.8306004126858153</v>
      </c>
      <c r="AY191" s="947">
        <v>0</v>
      </c>
    </row>
    <row r="192" spans="2:51" x14ac:dyDescent="0.25">
      <c r="B192" s="650">
        <v>4.9106516077882949</v>
      </c>
      <c r="C192" s="651">
        <v>0.90191561988760793</v>
      </c>
      <c r="D192" s="652">
        <v>-2.2818566031583245</v>
      </c>
      <c r="E192" s="653">
        <v>0.98354861808118588</v>
      </c>
      <c r="F192" s="651">
        <v>0.18064361563736017</v>
      </c>
      <c r="G192" s="654">
        <v>2.2679489666832533E-7</v>
      </c>
      <c r="H192" s="653">
        <v>0.25700000000000001</v>
      </c>
      <c r="I192" s="920">
        <v>0.41499999999999992</v>
      </c>
      <c r="J192" s="924">
        <v>2.2400000000000002</v>
      </c>
      <c r="K192" s="790" t="str">
        <f>IF($J192="","",IF(IFERROR(INDEX(Settings!$AK$14:$AK$36,MATCH((((ROUND($H192,6)*2)*1000000)+ROUND($I192,6)),Settings!$AI$14:$AI$36,0)),"Undefined")="Undefined","Undefined",IFERROR(INDEX(_xlfn.ANCHORARRAY(Settings!$BC$14),MATCH(IFERROR(INDEX(Settings!$AK$14:$AK$36,MATCH((((ROUND($H192,6)*2)*1000000)+ROUND($I192,6)),Settings!$AI$14:$AI$36,0)),"Undefined"),_xlfn.ANCHORARRAY(Settings!$BC$14),0)),"Inactive")))</f>
        <v>CPS-32193r1</v>
      </c>
      <c r="L192" s="940" t="s">
        <v>423</v>
      </c>
      <c r="M192" s="973">
        <f t="shared" si="1067"/>
        <v>-89.999987005609611</v>
      </c>
      <c r="N192" s="941"/>
      <c r="O192" s="942"/>
      <c r="Q192" s="162">
        <f t="shared" si="1059"/>
        <v>4.9106516077882949</v>
      </c>
      <c r="R192" s="162">
        <f t="shared" si="1060"/>
        <v>0.90191561988760793</v>
      </c>
      <c r="S192" s="162">
        <f t="shared" si="1061"/>
        <v>-2.2818566031583245</v>
      </c>
      <c r="T192" s="162">
        <f t="shared" si="1062"/>
        <v>0.98354861808118588</v>
      </c>
      <c r="U192" s="162">
        <f t="shared" si="1063"/>
        <v>0.18064361563736017</v>
      </c>
      <c r="V192" s="162">
        <f t="shared" si="1064"/>
        <v>2.2679489666832533E-7</v>
      </c>
      <c r="W192" s="162">
        <f>IFERROR(IF(ISNUMBER(MATCH($Z192,Settings!$AK$28:$AK$36,0)),INDEX(Settings!$AO$14:$AO$36,MATCH($Z192,Settings!$AK$14:$AK$36,0))/2,INDEX(Settings!$AM$14:$AM$36,MATCH($Z192,Settings!$AK$14:$AK$36,0))/2),"")</f>
        <v>0.255</v>
      </c>
      <c r="X192" s="162">
        <f t="shared" si="1065"/>
        <v>0.41499999999999992</v>
      </c>
      <c r="Y192" s="75">
        <v>2.2400000000000002</v>
      </c>
      <c r="Z192" s="917" t="str">
        <f t="shared" si="1066"/>
        <v>CPS-32193r1</v>
      </c>
      <c r="AA192" s="82"/>
      <c r="AB192" s="75"/>
      <c r="AC192" s="75">
        <v>4.2000299999999999</v>
      </c>
      <c r="AD192" s="166">
        <v>-5.25</v>
      </c>
      <c r="AE192" s="75">
        <v>5.1079999999999997</v>
      </c>
      <c r="AF192" s="82">
        <v>5</v>
      </c>
      <c r="AG192" s="82">
        <v>1</v>
      </c>
      <c r="AH192" s="82">
        <v>1</v>
      </c>
      <c r="AI192" s="82">
        <v>0.99999999998544808</v>
      </c>
      <c r="AJ192" s="166">
        <v>5.1081099999999999</v>
      </c>
      <c r="AK192" s="82" t="str">
        <v>Base</v>
      </c>
      <c r="AL192" s="162">
        <v>-24</v>
      </c>
      <c r="AM192" s="162">
        <v>-2.0775012168433507</v>
      </c>
      <c r="AN192" s="162">
        <v>0.11614856220241671</v>
      </c>
      <c r="AO192" s="162">
        <v>-11.945289726695552</v>
      </c>
      <c r="AP192" s="162">
        <v>-15.101423636341977</v>
      </c>
      <c r="AQ192" s="162">
        <v>0</v>
      </c>
      <c r="AR192" s="710" t="str">
        <v>1613 Ripper.par</v>
      </c>
      <c r="AV192" s="82" t="str">
        <v>0,102,204</v>
      </c>
      <c r="AW192" s="947">
        <v>-11.945289726695552</v>
      </c>
      <c r="AX192" s="947">
        <v>-11.945289726695552</v>
      </c>
      <c r="AY192" s="947">
        <v>0</v>
      </c>
    </row>
    <row r="193" spans="2:51" x14ac:dyDescent="0.25">
      <c r="B193" s="650">
        <v>4.9383339706233738</v>
      </c>
      <c r="C193" s="651">
        <v>0.90666493163973028</v>
      </c>
      <c r="D193" s="652">
        <v>-3.0332440686800783</v>
      </c>
      <c r="E193" s="653">
        <v>0.98356046955660281</v>
      </c>
      <c r="F193" s="651">
        <v>0.18057907610114668</v>
      </c>
      <c r="G193" s="654">
        <v>2.2679489658505858E-7</v>
      </c>
      <c r="H193" s="653">
        <v>0.25700000000000001</v>
      </c>
      <c r="I193" s="920">
        <v>0.41499999999999992</v>
      </c>
      <c r="J193" s="924">
        <v>2.246</v>
      </c>
      <c r="K193" s="790" t="str">
        <f>IF($J193="","",IF(IFERROR(INDEX(Settings!$AK$14:$AK$36,MATCH((((ROUND($H193,6)*2)*1000000)+ROUND($I193,6)),Settings!$AI$14:$AI$36,0)),"Undefined")="Undefined","Undefined",IFERROR(INDEX(_xlfn.ANCHORARRAY(Settings!$BC$14),MATCH(IFERROR(INDEX(Settings!$AK$14:$AK$36,MATCH((((ROUND($H193,6)*2)*1000000)+ROUND($I193,6)),Settings!$AI$14:$AI$36,0)),"Undefined"),_xlfn.ANCHORARRAY(Settings!$BC$14),0)),"Inactive")))</f>
        <v>CPS-32193r1</v>
      </c>
      <c r="L193" s="940" t="s">
        <v>423</v>
      </c>
      <c r="M193" s="973">
        <f t="shared" si="1067"/>
        <v>-89.999987005609626</v>
      </c>
      <c r="N193" s="941"/>
      <c r="O193" s="942"/>
      <c r="Q193" s="162">
        <f t="shared" si="1059"/>
        <v>4.9383339706233738</v>
      </c>
      <c r="R193" s="162">
        <f t="shared" si="1060"/>
        <v>0.90666493163973028</v>
      </c>
      <c r="S193" s="162">
        <f t="shared" si="1061"/>
        <v>-3.0332440686800783</v>
      </c>
      <c r="T193" s="162">
        <f t="shared" si="1062"/>
        <v>0.98356046955660281</v>
      </c>
      <c r="U193" s="162">
        <f t="shared" si="1063"/>
        <v>0.18057907610114668</v>
      </c>
      <c r="V193" s="162">
        <f t="shared" si="1064"/>
        <v>2.2679489658505858E-7</v>
      </c>
      <c r="W193" s="162">
        <f>IFERROR(IF(ISNUMBER(MATCH($Z193,Settings!$AK$28:$AK$36,0)),INDEX(Settings!$AO$14:$AO$36,MATCH($Z193,Settings!$AK$14:$AK$36,0))/2,INDEX(Settings!$AM$14:$AM$36,MATCH($Z193,Settings!$AK$14:$AK$36,0))/2),"")</f>
        <v>0.255</v>
      </c>
      <c r="X193" s="162">
        <f t="shared" si="1065"/>
        <v>0.41499999999999992</v>
      </c>
      <c r="Y193" s="75">
        <v>2.246</v>
      </c>
      <c r="Z193" s="917" t="str">
        <f t="shared" si="1066"/>
        <v>CPS-32193r1</v>
      </c>
      <c r="AA193" s="82"/>
      <c r="AB193" s="75"/>
      <c r="AC193" s="75">
        <v>4.1000299999999994</v>
      </c>
      <c r="AD193" s="166">
        <v>-4.5</v>
      </c>
      <c r="AE193" s="75">
        <v>5.1050000000000004</v>
      </c>
      <c r="AF193" s="82">
        <v>5</v>
      </c>
      <c r="AG193" s="82">
        <v>1</v>
      </c>
      <c r="AH193" s="82">
        <v>1</v>
      </c>
      <c r="AI193" s="82">
        <v>1.0000000000582077</v>
      </c>
      <c r="AJ193" s="166">
        <v>5.1051100000000007</v>
      </c>
      <c r="AK193" s="82" t="str">
        <v>Base</v>
      </c>
      <c r="AL193" s="162">
        <v>-24</v>
      </c>
      <c r="AM193" s="162">
        <v>-1.3652437852151869</v>
      </c>
      <c r="AN193" s="162">
        <v>-7.426650662303802E-2</v>
      </c>
      <c r="AO193" s="162">
        <v>-12.949138827495569</v>
      </c>
      <c r="AP193" s="162">
        <v>-15.161341689710696</v>
      </c>
      <c r="AQ193" s="162">
        <v>0</v>
      </c>
      <c r="AR193" s="710" t="str">
        <v>1613 Ripper.par</v>
      </c>
      <c r="AV193" s="82" t="str">
        <v>0,102,204</v>
      </c>
      <c r="AW193" s="947">
        <v>-12.949138827495569</v>
      </c>
      <c r="AX193" s="947">
        <v>-12.949138827495569</v>
      </c>
      <c r="AY193" s="947">
        <v>0</v>
      </c>
    </row>
    <row r="194" spans="2:51" x14ac:dyDescent="0.25">
      <c r="B194" s="650">
        <v>-3.6938206018163489</v>
      </c>
      <c r="C194" s="651">
        <v>3.5670819188027991</v>
      </c>
      <c r="D194" s="652">
        <v>-9.5000286520864154</v>
      </c>
      <c r="E194" s="653">
        <v>-0.9874972864664342</v>
      </c>
      <c r="F194" s="651">
        <v>-0.11131203729457491</v>
      </c>
      <c r="G194" s="654">
        <v>-0.11161872412261598</v>
      </c>
      <c r="H194" s="653">
        <v>0.26600000000000001</v>
      </c>
      <c r="I194" s="920">
        <v>0.52</v>
      </c>
      <c r="J194" s="924">
        <v>2.2519999999999998</v>
      </c>
      <c r="K194" s="790">
        <f>IF($J194="","",IF(IFERROR(INDEX(Settings!$AK$14:$AK$36,MATCH((((ROUND($H194,6)*2)*1000000)+ROUND($I194,6)),Settings!$AI$14:$AI$36,0)),"Undefined")="Undefined","Undefined",IFERROR(INDEX(_xlfn.ANCHORARRAY(Settings!$BC$14),MATCH(IFERROR(INDEX(Settings!$AK$14:$AK$36,MATCH((((ROUND($H194,6)*2)*1000000)+ROUND($I194,6)),Settings!$AI$14:$AI$36,0)),"Undefined"),_xlfn.ANCHORARRAY(Settings!$BC$14),0)),"Inactive")))</f>
        <v>1313</v>
      </c>
      <c r="L194" s="940" t="s">
        <v>424</v>
      </c>
      <c r="M194" s="973">
        <f t="shared" si="1067"/>
        <v>-100.03561890671624</v>
      </c>
      <c r="N194" s="941"/>
      <c r="O194" s="942"/>
      <c r="Q194" s="162">
        <f t="shared" si="1059"/>
        <v>-3.6938206018163489</v>
      </c>
      <c r="R194" s="162">
        <f t="shared" si="1060"/>
        <v>3.5670819188027991</v>
      </c>
      <c r="S194" s="162">
        <f t="shared" si="1061"/>
        <v>-9.5000286520864154</v>
      </c>
      <c r="T194" s="162">
        <f t="shared" si="1062"/>
        <v>-0.9874972864664342</v>
      </c>
      <c r="U194" s="162">
        <f t="shared" si="1063"/>
        <v>-0.11131203729457491</v>
      </c>
      <c r="V194" s="162">
        <f t="shared" si="1064"/>
        <v>-0.11161872412261598</v>
      </c>
      <c r="W194" s="162">
        <f>IFERROR(IF(ISNUMBER(MATCH($Z194,Settings!$AK$28:$AK$36,0)),INDEX(Settings!$AO$14:$AO$36,MATCH($Z194,Settings!$AK$14:$AK$36,0))/2,INDEX(Settings!$AM$14:$AM$36,MATCH($Z194,Settings!$AK$14:$AK$36,0))/2),"")</f>
        <v>0.26450000000000001</v>
      </c>
      <c r="X194" s="162">
        <f t="shared" si="1065"/>
        <v>0.52</v>
      </c>
      <c r="Y194" s="75">
        <v>2.2519999999999998</v>
      </c>
      <c r="Z194" s="917">
        <f t="shared" si="1066"/>
        <v>1313</v>
      </c>
      <c r="AA194" s="82"/>
      <c r="AB194" s="75"/>
      <c r="AC194" s="75">
        <v>3.2000300000000004</v>
      </c>
      <c r="AD194" s="166">
        <v>-3.75</v>
      </c>
      <c r="AE194" s="75">
        <v>5.1020000000000003</v>
      </c>
      <c r="AF194" s="82">
        <v>5</v>
      </c>
      <c r="AG194" s="82">
        <v>1</v>
      </c>
      <c r="AH194" s="82">
        <v>1</v>
      </c>
      <c r="AI194" s="82">
        <v>1.0000000000582077</v>
      </c>
      <c r="AJ194" s="166">
        <v>5.1021100000000006</v>
      </c>
      <c r="AK194" s="82" t="str">
        <v>Base</v>
      </c>
      <c r="AL194" s="162">
        <v>-24</v>
      </c>
      <c r="AM194" s="162">
        <v>-0.60804725265242798</v>
      </c>
      <c r="AN194" s="162">
        <v>-0.27672207564415696</v>
      </c>
      <c r="AO194" s="162">
        <v>-15.496960293563548</v>
      </c>
      <c r="AP194" s="162">
        <v>-17.89717637438029</v>
      </c>
      <c r="AQ194" s="162">
        <v>0</v>
      </c>
      <c r="AR194" s="710" t="str">
        <v>1613.par</v>
      </c>
      <c r="AV194" s="82" t="str">
        <v>0,102,204</v>
      </c>
      <c r="AW194" s="947">
        <v>-15.496960293563548</v>
      </c>
      <c r="AX194" s="947">
        <v>-15.496960293563548</v>
      </c>
      <c r="AY194" s="947">
        <v>0</v>
      </c>
    </row>
    <row r="195" spans="2:51" x14ac:dyDescent="0.25">
      <c r="B195" s="650">
        <v>0.70799678911874564</v>
      </c>
      <c r="C195" s="651">
        <v>-0.49574595172154895</v>
      </c>
      <c r="D195" s="652">
        <v>-0.53330321688015314</v>
      </c>
      <c r="E195" s="653">
        <v>0.51215021919832138</v>
      </c>
      <c r="F195" s="651">
        <v>0.81487249087937808</v>
      </c>
      <c r="G195" s="654">
        <v>0.27144976806611831</v>
      </c>
      <c r="H195" s="653">
        <v>0.314</v>
      </c>
      <c r="I195" s="920">
        <v>0.52</v>
      </c>
      <c r="J195" s="924">
        <v>3.1030000000000002</v>
      </c>
      <c r="K195" s="790">
        <f>IF($J195="","",IF(IFERROR(INDEX(Settings!$AK$14:$AK$36,MATCH((((ROUND($H195,6)*2)*1000000)+ROUND($I195,6)),Settings!$AI$14:$AI$36,0)),"Undefined")="Undefined","Undefined",IFERROR(INDEX(_xlfn.ANCHORARRAY(Settings!$BC$14),MATCH(IFERROR(INDEX(Settings!$AK$14:$AK$36,MATCH((((ROUND($H195,6)*2)*1000000)+ROUND($I195,6)),Settings!$AI$14:$AI$36,0)),"Undefined"),_xlfn.ANCHORARRAY(Settings!$BC$14),0)),"Inactive")))</f>
        <v>1613</v>
      </c>
      <c r="L195" s="940" t="s">
        <v>420</v>
      </c>
      <c r="M195" s="973">
        <f t="shared" si="1067"/>
        <v>14.302653650703496</v>
      </c>
      <c r="N195" s="941"/>
      <c r="O195" s="942"/>
      <c r="Q195" s="162">
        <f t="shared" si="1059"/>
        <v>0.70799678911874564</v>
      </c>
      <c r="R195" s="162">
        <f t="shared" si="1060"/>
        <v>-0.49574595172154895</v>
      </c>
      <c r="S195" s="162">
        <f t="shared" si="1061"/>
        <v>-0.53330321688015314</v>
      </c>
      <c r="T195" s="162">
        <f t="shared" si="1062"/>
        <v>0.51215021919832138</v>
      </c>
      <c r="U195" s="162">
        <f t="shared" si="1063"/>
        <v>0.81487249087937808</v>
      </c>
      <c r="V195" s="162">
        <f t="shared" si="1064"/>
        <v>0.27144976806611831</v>
      </c>
      <c r="W195" s="162">
        <f>IFERROR(IF(ISNUMBER(MATCH($Z195,Settings!$AK$28:$AK$36,0)),INDEX(Settings!$AO$14:$AO$36,MATCH($Z195,Settings!$AK$14:$AK$36,0))/2,INDEX(Settings!$AM$14:$AM$36,MATCH($Z195,Settings!$AK$14:$AK$36,0))/2),"")</f>
        <v>0.3125</v>
      </c>
      <c r="X195" s="162">
        <f t="shared" si="1065"/>
        <v>0.52</v>
      </c>
      <c r="Y195" s="75">
        <v>3.1030000000000002</v>
      </c>
      <c r="Z195" s="917">
        <f t="shared" si="1066"/>
        <v>1613</v>
      </c>
      <c r="AA195" s="82"/>
      <c r="AB195" s="75"/>
      <c r="AC195" s="75">
        <v>3.1000300000000003</v>
      </c>
      <c r="AD195" s="166">
        <v>-3</v>
      </c>
      <c r="AE195" s="75">
        <v>4.25</v>
      </c>
      <c r="AF195" s="82">
        <v>4</v>
      </c>
      <c r="AG195" s="82">
        <v>2</v>
      </c>
      <c r="AH195" s="82">
        <v>1</v>
      </c>
      <c r="AI195" s="82">
        <v>1.0000000000582077</v>
      </c>
      <c r="AJ195" s="166">
        <v>4.2501100000000003</v>
      </c>
      <c r="AK195" s="82" t="str">
        <v>Base</v>
      </c>
      <c r="AL195" s="162">
        <v>-23.25</v>
      </c>
      <c r="AM195" s="162">
        <v>-5.1223779559634766</v>
      </c>
      <c r="AN195" s="162">
        <v>-9.2296618263007009</v>
      </c>
      <c r="AO195" s="162">
        <v>100.03561890671628</v>
      </c>
      <c r="AP195" s="162">
        <v>-39.831236627249659</v>
      </c>
      <c r="AQ195" s="162">
        <v>0</v>
      </c>
      <c r="AR195" s="710" t="str">
        <v>1313.par</v>
      </c>
      <c r="AV195" s="82" t="str">
        <v>91,255,255</v>
      </c>
      <c r="AW195" s="947">
        <v>100.03561890671628</v>
      </c>
      <c r="AX195" s="947">
        <v>100.03561890671628</v>
      </c>
      <c r="AY195" s="947">
        <v>0</v>
      </c>
    </row>
    <row r="196" spans="2:51" x14ac:dyDescent="0.25">
      <c r="B196" s="650">
        <v>1.3161384254044766</v>
      </c>
      <c r="C196" s="651">
        <v>-0.9215723945748151</v>
      </c>
      <c r="D196" s="652">
        <v>-0.33440201710992529</v>
      </c>
      <c r="E196" s="653">
        <v>0.51721777456955287</v>
      </c>
      <c r="F196" s="651">
        <v>0.81701800827050908</v>
      </c>
      <c r="G196" s="654">
        <v>0.25488693146375618</v>
      </c>
      <c r="H196" s="653">
        <v>0.314</v>
      </c>
      <c r="I196" s="920">
        <v>0.52</v>
      </c>
      <c r="J196" s="924">
        <v>3.1059999999999999</v>
      </c>
      <c r="K196" s="790">
        <f>IF($J196="","",IF(IFERROR(INDEX(Settings!$AK$14:$AK$36,MATCH((((ROUND($H196,6)*2)*1000000)+ROUND($I196,6)),Settings!$AI$14:$AI$36,0)),"Undefined")="Undefined","Undefined",IFERROR(INDEX(_xlfn.ANCHORARRAY(Settings!$BC$14),MATCH(IFERROR(INDEX(Settings!$AK$14:$AK$36,MATCH((((ROUND($H196,6)*2)*1000000)+ROUND($I196,6)),Settings!$AI$14:$AI$36,0)),"Undefined"),_xlfn.ANCHORARRAY(Settings!$BC$14),0)),"Inactive")))</f>
        <v>1613</v>
      </c>
      <c r="L196" s="940" t="s">
        <v>422</v>
      </c>
      <c r="M196" s="973">
        <f t="shared" si="1067"/>
        <v>12.508515021959289</v>
      </c>
      <c r="N196" s="941"/>
      <c r="O196" s="942"/>
      <c r="Q196" s="162">
        <f t="shared" ref="Q196:Q209" si="1068">IFERROR(INDEX(B$164:B$305,MATCH($Y196,$J$164:$J$305,0)),"")</f>
        <v>1.3161384254044766</v>
      </c>
      <c r="R196" s="162">
        <f t="shared" ref="R196:R209" si="1069">IFERROR(INDEX(C$164:C$305,MATCH($Y196,$J$164:$J$305,0)),"")</f>
        <v>-0.9215723945748151</v>
      </c>
      <c r="S196" s="162">
        <f t="shared" ref="S196:S209" si="1070">IFERROR(INDEX(D$164:D$305,MATCH($Y196,$J$164:$J$305,0)),"")</f>
        <v>-0.33440201710992529</v>
      </c>
      <c r="T196" s="162">
        <f t="shared" ref="T196:T209" si="1071">IFERROR(IF($N196="Y",-1*INDEX(E$164:E$305,MATCH($Y196,$J$164:$J$305,0)),INDEX(E$164:E$305,MATCH($Y196,$J$164:$J$305,0))),"")</f>
        <v>0.51721777456955287</v>
      </c>
      <c r="U196" s="162">
        <f t="shared" ref="U196:U209" si="1072">IFERROR(IF($N196="Y",-1*INDEX(F$164:F$305,MATCH($Y196,$J$164:$J$305,0)),INDEX(F$164:F$305,MATCH($Y196,$J$164:$J$305,0))),"")</f>
        <v>0.81701800827050908</v>
      </c>
      <c r="V196" s="162">
        <f t="shared" ref="V196:V209" si="1073">IFERROR(IF($N196="Y",-1*INDEX(G$164:G$305,MATCH($Y196,$J$164:$J$305,0)),INDEX(G$164:G$305,MATCH($Y196,$J$164:$J$305,0))),"")</f>
        <v>0.25488693146375618</v>
      </c>
      <c r="W196" s="162">
        <f>IFERROR(IF(ISNUMBER(MATCH($Z196,Settings!$AK$28:$AK$36,0)),INDEX(Settings!$AO$14:$AO$36,MATCH($Z196,Settings!$AK$14:$AK$36,0))/2,INDEX(Settings!$AM$14:$AM$36,MATCH($Z196,Settings!$AK$14:$AK$36,0))/2),"")</f>
        <v>0.3125</v>
      </c>
      <c r="X196" s="162">
        <f t="shared" ref="X196:X209" si="1074">IFERROR(INDEX(I$164:I$305,MATCH($Y196,$J$164:$J$305,0)),"")</f>
        <v>0.52</v>
      </c>
      <c r="Y196" s="75">
        <v>3.1059999999999999</v>
      </c>
      <c r="Z196" s="917">
        <f t="shared" ref="Z196:Z209" si="1075">IFERROR(INDEX(K$164:K$305,MATCH($Y196,$J$164:$J$305,0)),"")</f>
        <v>1613</v>
      </c>
      <c r="AA196" s="82"/>
      <c r="AB196" s="75"/>
      <c r="AC196" s="75">
        <v>2.2000300000000004</v>
      </c>
      <c r="AD196" s="166">
        <v>-2.25</v>
      </c>
      <c r="AE196" s="75">
        <v>4.2439999999999998</v>
      </c>
      <c r="AF196" s="82">
        <v>4</v>
      </c>
      <c r="AG196" s="82">
        <v>2</v>
      </c>
      <c r="AH196" s="82">
        <v>1</v>
      </c>
      <c r="AI196" s="82">
        <v>0.99999999998544808</v>
      </c>
      <c r="AJ196" s="166">
        <v>4.24411</v>
      </c>
      <c r="AK196" s="82" t="str">
        <v>Base</v>
      </c>
      <c r="AL196" s="162">
        <v>-23.25</v>
      </c>
      <c r="AM196" s="162">
        <v>-5.02087479466259</v>
      </c>
      <c r="AN196" s="162">
        <v>-2.5093510475088681</v>
      </c>
      <c r="AO196" s="162">
        <v>89.999987005609597</v>
      </c>
      <c r="AP196" s="162">
        <v>0</v>
      </c>
      <c r="AQ196" s="162">
        <v>0</v>
      </c>
      <c r="AR196" s="710" t="str">
        <v>32193r1.par</v>
      </c>
      <c r="AV196" s="82" t="str">
        <v>91,255,255</v>
      </c>
      <c r="AW196" s="947">
        <v>89.999987005609597</v>
      </c>
      <c r="AX196" s="947">
        <v>89.999987005609597</v>
      </c>
      <c r="AY196" s="947">
        <v>0</v>
      </c>
    </row>
    <row r="197" spans="2:51" x14ac:dyDescent="0.25">
      <c r="B197" s="650">
        <v>1.8872541969809999</v>
      </c>
      <c r="C197" s="651">
        <v>-1.3214729818017779</v>
      </c>
      <c r="D197" s="652">
        <v>-0.1476008903272277</v>
      </c>
      <c r="E197" s="653">
        <v>0.51721777456955287</v>
      </c>
      <c r="F197" s="651">
        <v>0.8170180082705093</v>
      </c>
      <c r="G197" s="654">
        <v>0.25488693146375579</v>
      </c>
      <c r="H197" s="653">
        <v>0.314</v>
      </c>
      <c r="I197" s="920">
        <v>0.52</v>
      </c>
      <c r="J197" s="924">
        <v>3.109</v>
      </c>
      <c r="K197" s="790">
        <f>IF($J197="","",IF(IFERROR(INDEX(Settings!$AK$14:$AK$36,MATCH((((ROUND($H197,6)*2)*1000000)+ROUND($I197,6)),Settings!$AI$14:$AI$36,0)),"Undefined")="Undefined","Undefined",IFERROR(INDEX(_xlfn.ANCHORARRAY(Settings!$BC$14),MATCH(IFERROR(INDEX(Settings!$AK$14:$AK$36,MATCH((((ROUND($H197,6)*2)*1000000)+ROUND($I197,6)),Settings!$AI$14:$AI$36,0)),"Undefined"),_xlfn.ANCHORARRAY(Settings!$BC$14),0)),"Inactive")))</f>
        <v>1613</v>
      </c>
      <c r="L197" s="940" t="s">
        <v>422</v>
      </c>
      <c r="M197" s="973">
        <f t="shared" si="1067"/>
        <v>11.754573914654843</v>
      </c>
      <c r="N197" s="941"/>
      <c r="O197" s="942"/>
      <c r="Q197" s="162">
        <f t="shared" si="1068"/>
        <v>1.8872541969809999</v>
      </c>
      <c r="R197" s="162">
        <f t="shared" si="1069"/>
        <v>-1.3214729818017779</v>
      </c>
      <c r="S197" s="162">
        <f t="shared" si="1070"/>
        <v>-0.1476008903272277</v>
      </c>
      <c r="T197" s="162">
        <f t="shared" si="1071"/>
        <v>0.51721777456955287</v>
      </c>
      <c r="U197" s="162">
        <f t="shared" si="1072"/>
        <v>0.8170180082705093</v>
      </c>
      <c r="V197" s="162">
        <f t="shared" si="1073"/>
        <v>0.25488693146375579</v>
      </c>
      <c r="W197" s="162">
        <f>IFERROR(IF(ISNUMBER(MATCH($Z197,Settings!$AK$28:$AK$36,0)),INDEX(Settings!$AO$14:$AO$36,MATCH($Z197,Settings!$AK$14:$AK$36,0))/2,INDEX(Settings!$AM$14:$AM$36,MATCH($Z197,Settings!$AK$14:$AK$36,0))/2),"")</f>
        <v>0.3125</v>
      </c>
      <c r="X197" s="162">
        <f t="shared" si="1074"/>
        <v>0.52</v>
      </c>
      <c r="Y197" s="75">
        <v>3.109</v>
      </c>
      <c r="Z197" s="917">
        <f t="shared" si="1075"/>
        <v>1613</v>
      </c>
      <c r="AA197" s="82"/>
      <c r="AB197" s="75"/>
      <c r="AC197" s="75">
        <v>2.1000300000000003</v>
      </c>
      <c r="AD197" s="166">
        <v>-1.5</v>
      </c>
      <c r="AE197" s="75">
        <v>4.2380000000000004</v>
      </c>
      <c r="AF197" s="82">
        <v>4</v>
      </c>
      <c r="AG197" s="82">
        <v>2</v>
      </c>
      <c r="AH197" s="82">
        <v>1</v>
      </c>
      <c r="AI197" s="82">
        <v>1.0000000000582077</v>
      </c>
      <c r="AJ197" s="166">
        <v>4.2381100000000007</v>
      </c>
      <c r="AK197" s="82" t="str">
        <v>Base</v>
      </c>
      <c r="AL197" s="162">
        <v>-23.25</v>
      </c>
      <c r="AM197" s="162">
        <v>-4.9862408383831154</v>
      </c>
      <c r="AN197" s="162">
        <v>-1.7556277271136511</v>
      </c>
      <c r="AO197" s="162">
        <v>82.999988016284419</v>
      </c>
      <c r="AP197" s="162">
        <v>0</v>
      </c>
      <c r="AQ197" s="162">
        <v>0</v>
      </c>
      <c r="AR197" s="710" t="str">
        <v>32193r1.par</v>
      </c>
      <c r="AV197" s="82" t="str">
        <v>91,255,255</v>
      </c>
      <c r="AW197" s="947">
        <v>82.999988016284419</v>
      </c>
      <c r="AX197" s="947">
        <v>82.999988016284419</v>
      </c>
      <c r="AY197" s="947">
        <v>0</v>
      </c>
    </row>
    <row r="198" spans="2:51" x14ac:dyDescent="0.25">
      <c r="B198" s="650">
        <v>2.5122705152396576</v>
      </c>
      <c r="C198" s="651">
        <v>-1.7601609659346455</v>
      </c>
      <c r="D198" s="652">
        <v>-6.5200393288179059E-2</v>
      </c>
      <c r="E198" s="653">
        <v>0.58479328609228853</v>
      </c>
      <c r="F198" s="651">
        <v>0.76631426161541749</v>
      </c>
      <c r="G198" s="654">
        <v>0.26604372758289291</v>
      </c>
      <c r="H198" s="653">
        <v>0.314</v>
      </c>
      <c r="I198" s="920">
        <v>0.52</v>
      </c>
      <c r="J198" s="924">
        <v>3.1150000000000002</v>
      </c>
      <c r="K198" s="790">
        <f>IF($J198="","",IF(IFERROR(INDEX(Settings!$AK$14:$AK$36,MATCH((((ROUND($H198,6)*2)*1000000)+ROUND($I198,6)),Settings!$AI$14:$AI$36,0)),"Undefined")="Undefined","Undefined",IFERROR(INDEX(_xlfn.ANCHORARRAY(Settings!$BC$14),MATCH(IFERROR(INDEX(Settings!$AK$14:$AK$36,MATCH((((ROUND($H198,6)*2)*1000000)+ROUND($I198,6)),Settings!$AI$14:$AI$36,0)),"Undefined"),_xlfn.ANCHORARRAY(Settings!$BC$14),0)),"Inactive")))</f>
        <v>1613</v>
      </c>
      <c r="L198" s="940" t="s">
        <v>422</v>
      </c>
      <c r="M198" s="973">
        <f t="shared" si="1067"/>
        <v>-7.1077563806310833</v>
      </c>
      <c r="N198" s="941"/>
      <c r="O198" s="942"/>
      <c r="Q198" s="162">
        <f t="shared" si="1068"/>
        <v>2.5122705152396576</v>
      </c>
      <c r="R198" s="162">
        <f t="shared" si="1069"/>
        <v>-1.7601609659346455</v>
      </c>
      <c r="S198" s="162">
        <f t="shared" si="1070"/>
        <v>-6.5200393288179059E-2</v>
      </c>
      <c r="T198" s="162">
        <f t="shared" si="1071"/>
        <v>0.58479328609228853</v>
      </c>
      <c r="U198" s="162">
        <f t="shared" si="1072"/>
        <v>0.76631426161541749</v>
      </c>
      <c r="V198" s="162">
        <f t="shared" si="1073"/>
        <v>0.26604372758289291</v>
      </c>
      <c r="W198" s="162">
        <f>IFERROR(IF(ISNUMBER(MATCH($Z198,Settings!$AK$28:$AK$36,0)),INDEX(Settings!$AO$14:$AO$36,MATCH($Z198,Settings!$AK$14:$AK$36,0))/2,INDEX(Settings!$AM$14:$AM$36,MATCH($Z198,Settings!$AK$14:$AK$36,0))/2),"")</f>
        <v>0.3125</v>
      </c>
      <c r="X198" s="162">
        <f t="shared" si="1074"/>
        <v>0.52</v>
      </c>
      <c r="Y198" s="75">
        <v>3.1150000000000002</v>
      </c>
      <c r="Z198" s="917">
        <f t="shared" si="1075"/>
        <v>1613</v>
      </c>
      <c r="AA198" s="82"/>
      <c r="AB198" s="75"/>
      <c r="AC198" s="75">
        <v>1.2000299999999999</v>
      </c>
      <c r="AD198" s="166">
        <v>-0.75</v>
      </c>
      <c r="AE198" s="75">
        <v>4.2320000000000002</v>
      </c>
      <c r="AF198" s="82">
        <v>4</v>
      </c>
      <c r="AG198" s="82">
        <v>2</v>
      </c>
      <c r="AH198" s="82">
        <v>1</v>
      </c>
      <c r="AI198" s="82">
        <v>1.0000000000582077</v>
      </c>
      <c r="AJ198" s="166">
        <v>4.2321100000000005</v>
      </c>
      <c r="AK198" s="82" t="str">
        <v>Base</v>
      </c>
      <c r="AL198" s="162">
        <v>-23.25</v>
      </c>
      <c r="AM198" s="162">
        <v>-4.7840043854517713</v>
      </c>
      <c r="AN198" s="162">
        <v>-1.0254114070544351</v>
      </c>
      <c r="AO198" s="162">
        <v>61.99999104830885</v>
      </c>
      <c r="AP198" s="162">
        <v>0</v>
      </c>
      <c r="AQ198" s="162">
        <v>0</v>
      </c>
      <c r="AR198" s="710" t="str">
        <v>32193r1.par</v>
      </c>
      <c r="AV198" s="82" t="str">
        <v>91,255,255</v>
      </c>
      <c r="AW198" s="947">
        <v>61.99999104830885</v>
      </c>
      <c r="AX198" s="947">
        <v>61.99999104830885</v>
      </c>
      <c r="AY198" s="947">
        <v>0</v>
      </c>
    </row>
    <row r="199" spans="2:51" x14ac:dyDescent="0.25">
      <c r="B199" s="650">
        <v>3.1030821255091929</v>
      </c>
      <c r="C199" s="651">
        <v>-2.2127589105520755</v>
      </c>
      <c r="D199" s="652">
        <v>-0.25910156289827074</v>
      </c>
      <c r="E199" s="653">
        <v>0.66349206264603788</v>
      </c>
      <c r="F199" s="651">
        <v>0.69931588179575666</v>
      </c>
      <c r="G199" s="654">
        <v>0.26596161428659121</v>
      </c>
      <c r="H199" s="653">
        <v>0.314</v>
      </c>
      <c r="I199" s="920">
        <v>0.52</v>
      </c>
      <c r="J199" s="924">
        <v>3.121</v>
      </c>
      <c r="K199" s="790">
        <f>IF($J199="","",IF(IFERROR(INDEX(Settings!$AK$14:$AK$36,MATCH((((ROUND($H199,6)*2)*1000000)+ROUND($I199,6)),Settings!$AI$14:$AI$36,0)),"Undefined")="Undefined","Undefined",IFERROR(INDEX(_xlfn.ANCHORARRAY(Settings!$BC$14),MATCH(IFERROR(INDEX(Settings!$AK$14:$AK$36,MATCH((((ROUND($H199,6)*2)*1000000)+ROUND($I199,6)),Settings!$AI$14:$AI$36,0)),"Undefined"),_xlfn.ANCHORARRAY(Settings!$BC$14),0)),"Inactive")))</f>
        <v>1613</v>
      </c>
      <c r="L199" s="940" t="s">
        <v>422</v>
      </c>
      <c r="M199" s="973">
        <f t="shared" si="1067"/>
        <v>-25.946275176386688</v>
      </c>
      <c r="N199" s="941"/>
      <c r="O199" s="942"/>
      <c r="Q199" s="162">
        <f t="shared" si="1068"/>
        <v>3.1030821255091929</v>
      </c>
      <c r="R199" s="162">
        <f t="shared" si="1069"/>
        <v>-2.2127589105520755</v>
      </c>
      <c r="S199" s="162">
        <f t="shared" si="1070"/>
        <v>-0.25910156289827074</v>
      </c>
      <c r="T199" s="162">
        <f t="shared" si="1071"/>
        <v>0.66349206264603788</v>
      </c>
      <c r="U199" s="162">
        <f t="shared" si="1072"/>
        <v>0.69931588179575666</v>
      </c>
      <c r="V199" s="162">
        <f t="shared" si="1073"/>
        <v>0.26596161428659121</v>
      </c>
      <c r="W199" s="162">
        <f>IFERROR(IF(ISNUMBER(MATCH($Z199,Settings!$AK$28:$AK$36,0)),INDEX(Settings!$AO$14:$AO$36,MATCH($Z199,Settings!$AK$14:$AK$36,0))/2,INDEX(Settings!$AM$14:$AM$36,MATCH($Z199,Settings!$AK$14:$AK$36,0))/2),"")</f>
        <v>0.3125</v>
      </c>
      <c r="X199" s="162">
        <f t="shared" si="1074"/>
        <v>0.52</v>
      </c>
      <c r="Y199" s="75">
        <v>3.121</v>
      </c>
      <c r="Z199" s="917">
        <f t="shared" si="1075"/>
        <v>1613</v>
      </c>
      <c r="AA199" s="82"/>
      <c r="AB199" s="75"/>
      <c r="AC199" s="75">
        <v>1.1000300000000001</v>
      </c>
      <c r="AD199" s="166">
        <v>0</v>
      </c>
      <c r="AE199" s="75">
        <v>4.226</v>
      </c>
      <c r="AF199" s="82">
        <v>4</v>
      </c>
      <c r="AG199" s="82">
        <v>2</v>
      </c>
      <c r="AH199" s="82">
        <v>1</v>
      </c>
      <c r="AI199" s="82">
        <v>1.0000000000582077</v>
      </c>
      <c r="AJ199" s="166">
        <v>4.2261100000000003</v>
      </c>
      <c r="AK199" s="82" t="str">
        <v>Base</v>
      </c>
      <c r="AL199" s="162">
        <v>-23.25</v>
      </c>
      <c r="AM199" s="162">
        <v>-4.3146862511636366</v>
      </c>
      <c r="AN199" s="162">
        <v>-0.3997195642309006</v>
      </c>
      <c r="AO199" s="162">
        <v>40.999994080333266</v>
      </c>
      <c r="AP199" s="162">
        <v>0</v>
      </c>
      <c r="AQ199" s="162">
        <v>0</v>
      </c>
      <c r="AR199" s="710" t="str">
        <v>32193r1.par</v>
      </c>
      <c r="AV199" s="82" t="str">
        <v>91,255,255</v>
      </c>
      <c r="AW199" s="947">
        <v>40.999994080333266</v>
      </c>
      <c r="AX199" s="947">
        <v>40.999994080333266</v>
      </c>
      <c r="AY199" s="947">
        <v>0</v>
      </c>
    </row>
    <row r="200" spans="2:51" x14ac:dyDescent="0.25">
      <c r="B200" s="650">
        <v>3.5792683391527707</v>
      </c>
      <c r="C200" s="651">
        <v>-2.622898104110793</v>
      </c>
      <c r="D200" s="652">
        <v>-0.70480425137283365</v>
      </c>
      <c r="E200" s="653">
        <v>0.75861937676280589</v>
      </c>
      <c r="F200" s="651">
        <v>0.59894860257996829</v>
      </c>
      <c r="G200" s="654">
        <v>0.25643169201078753</v>
      </c>
      <c r="H200" s="653">
        <v>0.314</v>
      </c>
      <c r="I200" s="920">
        <v>0.52</v>
      </c>
      <c r="J200" s="924">
        <v>3.1269999999999998</v>
      </c>
      <c r="K200" s="790">
        <f>IF($J200="","",IF(IFERROR(INDEX(Settings!$AK$14:$AK$36,MATCH((((ROUND($H200,6)*2)*1000000)+ROUND($I200,6)),Settings!$AI$14:$AI$36,0)),"Undefined")="Undefined","Undefined",IFERROR(INDEX(_xlfn.ANCHORARRAY(Settings!$BC$14),MATCH(IFERROR(INDEX(Settings!$AK$14:$AK$36,MATCH((((ROUND($H200,6)*2)*1000000)+ROUND($I200,6)),Settings!$AI$14:$AI$36,0)),"Undefined"),_xlfn.ANCHORARRAY(Settings!$BC$14),0)),"Inactive")))</f>
        <v>1613</v>
      </c>
      <c r="L200" s="940" t="s">
        <v>420</v>
      </c>
      <c r="M200" s="973">
        <f t="shared" si="1067"/>
        <v>-44.722719194276351</v>
      </c>
      <c r="N200" s="941"/>
      <c r="O200" s="942"/>
      <c r="Q200" s="162">
        <f t="shared" si="1068"/>
        <v>3.5792683391527707</v>
      </c>
      <c r="R200" s="162">
        <f t="shared" si="1069"/>
        <v>-2.622898104110793</v>
      </c>
      <c r="S200" s="162">
        <f t="shared" si="1070"/>
        <v>-0.70480425137283365</v>
      </c>
      <c r="T200" s="162">
        <f t="shared" si="1071"/>
        <v>0.75861937676280589</v>
      </c>
      <c r="U200" s="162">
        <f t="shared" si="1072"/>
        <v>0.59894860257996829</v>
      </c>
      <c r="V200" s="162">
        <f t="shared" si="1073"/>
        <v>0.25643169201078753</v>
      </c>
      <c r="W200" s="162">
        <f>IFERROR(IF(ISNUMBER(MATCH($Z200,Settings!$AK$28:$AK$36,0)),INDEX(Settings!$AO$14:$AO$36,MATCH($Z200,Settings!$AK$14:$AK$36,0))/2,INDEX(Settings!$AM$14:$AM$36,MATCH($Z200,Settings!$AK$14:$AK$36,0))/2),"")</f>
        <v>0.3125</v>
      </c>
      <c r="X200" s="162">
        <f t="shared" si="1074"/>
        <v>0.52</v>
      </c>
      <c r="Y200" s="75">
        <v>3.1269999999999998</v>
      </c>
      <c r="Z200" s="917">
        <f t="shared" si="1075"/>
        <v>1613</v>
      </c>
      <c r="AA200" s="82"/>
      <c r="AB200" s="75"/>
      <c r="AC200" s="75"/>
      <c r="AD200" s="166"/>
      <c r="AE200" s="75">
        <v>4.22</v>
      </c>
      <c r="AF200" s="82">
        <v>4</v>
      </c>
      <c r="AG200" s="82">
        <v>2</v>
      </c>
      <c r="AH200" s="82">
        <v>1</v>
      </c>
      <c r="AI200" s="82">
        <v>0.99999999998544808</v>
      </c>
      <c r="AJ200" s="166">
        <v>4.22011</v>
      </c>
      <c r="AK200" s="82" t="str">
        <v>Base</v>
      </c>
      <c r="AL200" s="162">
        <v>-23.25</v>
      </c>
      <c r="AM200" s="162">
        <v>-3.6883533304226974</v>
      </c>
      <c r="AN200" s="162">
        <v>-4.9725195577762782E-3</v>
      </c>
      <c r="AO200" s="162">
        <v>19.99999711235769</v>
      </c>
      <c r="AP200" s="162">
        <v>0</v>
      </c>
      <c r="AQ200" s="162">
        <v>0</v>
      </c>
      <c r="AR200" s="710" t="str">
        <v>32193r1.par</v>
      </c>
      <c r="AV200" s="82" t="str">
        <v>91,255,255</v>
      </c>
      <c r="AW200" s="947">
        <v>19.99999711235769</v>
      </c>
      <c r="AX200" s="947">
        <v>19.99999711235769</v>
      </c>
      <c r="AY200" s="947">
        <v>0</v>
      </c>
    </row>
    <row r="201" spans="2:51" x14ac:dyDescent="0.25">
      <c r="B201" s="650">
        <v>3.8920805363591531</v>
      </c>
      <c r="C201" s="651">
        <v>-2.9172745014382953</v>
      </c>
      <c r="D201" s="652">
        <v>-1.3441081076478782</v>
      </c>
      <c r="E201" s="653">
        <v>0.84853921380445774</v>
      </c>
      <c r="F201" s="651">
        <v>0.49364774256483834</v>
      </c>
      <c r="G201" s="654">
        <v>0.19050750351823986</v>
      </c>
      <c r="H201" s="653">
        <v>0.314</v>
      </c>
      <c r="I201" s="920">
        <v>0.52</v>
      </c>
      <c r="J201" s="924">
        <v>3.133</v>
      </c>
      <c r="K201" s="790">
        <f>IF($J201="","",IF(IFERROR(INDEX(Settings!$AK$14:$AK$36,MATCH((((ROUND($H201,6)*2)*1000000)+ROUND($I201,6)),Settings!$AI$14:$AI$36,0)),"Undefined")="Undefined","Undefined",IFERROR(INDEX(_xlfn.ANCHORARRAY(Settings!$BC$14),MATCH(IFERROR(INDEX(Settings!$AK$14:$AK$36,MATCH((((ROUND($H201,6)*2)*1000000)+ROUND($I201,6)),Settings!$AI$14:$AI$36,0)),"Undefined"),_xlfn.ANCHORARRAY(Settings!$BC$14),0)),"Inactive")))</f>
        <v>1613</v>
      </c>
      <c r="L201" s="940" t="s">
        <v>420</v>
      </c>
      <c r="M201" s="973">
        <f t="shared" si="1067"/>
        <v>-63.345987496311885</v>
      </c>
      <c r="N201" s="941"/>
      <c r="O201" s="942"/>
      <c r="Q201" s="162">
        <f t="shared" si="1068"/>
        <v>3.8920805363591531</v>
      </c>
      <c r="R201" s="162">
        <f t="shared" si="1069"/>
        <v>-2.9172745014382953</v>
      </c>
      <c r="S201" s="162">
        <f t="shared" si="1070"/>
        <v>-1.3441081076478782</v>
      </c>
      <c r="T201" s="162">
        <f t="shared" si="1071"/>
        <v>0.84853921380445774</v>
      </c>
      <c r="U201" s="162">
        <f t="shared" si="1072"/>
        <v>0.49364774256483834</v>
      </c>
      <c r="V201" s="162">
        <f t="shared" si="1073"/>
        <v>0.19050750351823986</v>
      </c>
      <c r="W201" s="162">
        <f>IFERROR(IF(ISNUMBER(MATCH($Z201,Settings!$AK$28:$AK$36,0)),INDEX(Settings!$AO$14:$AO$36,MATCH($Z201,Settings!$AK$14:$AK$36,0))/2,INDEX(Settings!$AM$14:$AM$36,MATCH($Z201,Settings!$AK$14:$AK$36,0))/2),"")</f>
        <v>0.3125</v>
      </c>
      <c r="X201" s="162">
        <f t="shared" si="1074"/>
        <v>0.52</v>
      </c>
      <c r="Y201" s="75">
        <v>3.133</v>
      </c>
      <c r="Z201" s="917">
        <f t="shared" si="1075"/>
        <v>1613</v>
      </c>
      <c r="AA201" s="82"/>
      <c r="AB201" s="75"/>
      <c r="AC201" s="75"/>
      <c r="AD201" s="166"/>
      <c r="AE201" s="75">
        <v>4.1440000000000001</v>
      </c>
      <c r="AF201" s="82">
        <v>4</v>
      </c>
      <c r="AG201" s="82">
        <v>1</v>
      </c>
      <c r="AH201" s="82">
        <v>1</v>
      </c>
      <c r="AI201" s="82">
        <v>1.0000000000582077</v>
      </c>
      <c r="AJ201" s="166">
        <v>4.1441100000000004</v>
      </c>
      <c r="AK201" s="82" t="str">
        <v>Base</v>
      </c>
      <c r="AL201" s="162">
        <v>-22.5</v>
      </c>
      <c r="AM201" s="162">
        <v>-5.0550887932628399</v>
      </c>
      <c r="AN201" s="162">
        <v>-2.5026435098953486</v>
      </c>
      <c r="AO201" s="162">
        <v>84.970117416838406</v>
      </c>
      <c r="AP201" s="162">
        <v>-29.785208788526909</v>
      </c>
      <c r="AQ201" s="162">
        <v>0</v>
      </c>
      <c r="AR201" s="710" t="str">
        <v>1613.par</v>
      </c>
      <c r="AV201" s="82" t="str">
        <v>0,204,204</v>
      </c>
      <c r="AW201" s="947">
        <v>84.970117416838406</v>
      </c>
      <c r="AX201" s="947">
        <v>84.970117416838406</v>
      </c>
      <c r="AY201" s="947">
        <v>0</v>
      </c>
    </row>
    <row r="202" spans="2:51" x14ac:dyDescent="0.25">
      <c r="B202" s="650">
        <v>4.0149814597772249</v>
      </c>
      <c r="C202" s="651">
        <v>-3.0388280378422681</v>
      </c>
      <c r="D202" s="652">
        <v>-2.0934126274459262</v>
      </c>
      <c r="E202" s="653">
        <v>0.91275421350097286</v>
      </c>
      <c r="F202" s="651">
        <v>0.40269327432650104</v>
      </c>
      <c r="G202" s="654">
        <v>6.868677127673023E-2</v>
      </c>
      <c r="H202" s="653">
        <v>0.314</v>
      </c>
      <c r="I202" s="920">
        <v>0.52</v>
      </c>
      <c r="J202" s="924">
        <v>3.1389999999999998</v>
      </c>
      <c r="K202" s="790">
        <f>IF($J202="","",IF(IFERROR(INDEX(Settings!$AK$14:$AK$36,MATCH((((ROUND($H202,6)*2)*1000000)+ROUND($I202,6)),Settings!$AI$14:$AI$36,0)),"Undefined")="Undefined","Undefined",IFERROR(INDEX(_xlfn.ANCHORARRAY(Settings!$BC$14),MATCH(IFERROR(INDEX(Settings!$AK$14:$AK$36,MATCH((((ROUND($H202,6)*2)*1000000)+ROUND($I202,6)),Settings!$AI$14:$AI$36,0)),"Undefined"),_xlfn.ANCHORARRAY(Settings!$BC$14),0)),"Inactive")))</f>
        <v>1613</v>
      </c>
      <c r="L202" s="940" t="s">
        <v>420</v>
      </c>
      <c r="M202" s="973">
        <f t="shared" si="1067"/>
        <v>-81.885446807640747</v>
      </c>
      <c r="N202" s="941"/>
      <c r="O202" s="942"/>
      <c r="Q202" s="162">
        <f t="shared" si="1068"/>
        <v>4.0149814597772249</v>
      </c>
      <c r="R202" s="162">
        <f t="shared" si="1069"/>
        <v>-3.0388280378422681</v>
      </c>
      <c r="S202" s="162">
        <f t="shared" si="1070"/>
        <v>-2.0934126274459262</v>
      </c>
      <c r="T202" s="162">
        <f t="shared" si="1071"/>
        <v>0.91275421350097286</v>
      </c>
      <c r="U202" s="162">
        <f t="shared" si="1072"/>
        <v>0.40269327432650104</v>
      </c>
      <c r="V202" s="162">
        <f t="shared" si="1073"/>
        <v>6.868677127673023E-2</v>
      </c>
      <c r="W202" s="162">
        <f>IFERROR(IF(ISNUMBER(MATCH($Z202,Settings!$AK$28:$AK$36,0)),INDEX(Settings!$AO$14:$AO$36,MATCH($Z202,Settings!$AK$14:$AK$36,0))/2,INDEX(Settings!$AM$14:$AM$36,MATCH($Z202,Settings!$AK$14:$AK$36,0))/2),"")</f>
        <v>0.3125</v>
      </c>
      <c r="X202" s="162">
        <f t="shared" si="1074"/>
        <v>0.52</v>
      </c>
      <c r="Y202" s="75">
        <v>3.1389999999999998</v>
      </c>
      <c r="Z202" s="917">
        <f t="shared" si="1075"/>
        <v>1613</v>
      </c>
      <c r="AA202" s="82"/>
      <c r="AB202" s="75"/>
      <c r="AC202" s="75"/>
      <c r="AD202" s="166"/>
      <c r="AE202" s="75">
        <v>4.1379999999999999</v>
      </c>
      <c r="AF202" s="82">
        <v>4</v>
      </c>
      <c r="AG202" s="82">
        <v>1</v>
      </c>
      <c r="AH202" s="82">
        <v>1</v>
      </c>
      <c r="AI202" s="82">
        <v>0.99999999998544808</v>
      </c>
      <c r="AJ202" s="166">
        <v>4.1381100000000002</v>
      </c>
      <c r="AK202" s="82" t="str">
        <v>Base</v>
      </c>
      <c r="AL202" s="162">
        <v>-22.5</v>
      </c>
      <c r="AM202" s="162">
        <v>-5.0164523963688259</v>
      </c>
      <c r="AN202" s="162">
        <v>-1.7459408042666404</v>
      </c>
      <c r="AO202" s="162">
        <v>78.799617313561896</v>
      </c>
      <c r="AP202" s="162">
        <v>-28.452633559226971</v>
      </c>
      <c r="AQ202" s="162">
        <v>0</v>
      </c>
      <c r="AR202" s="710" t="str">
        <v>1613.par</v>
      </c>
      <c r="AV202" s="82" t="str">
        <v>0,204,204</v>
      </c>
      <c r="AW202" s="947">
        <v>78.799617313561896</v>
      </c>
      <c r="AX202" s="947">
        <v>78.799617313561896</v>
      </c>
      <c r="AY202" s="947">
        <v>0</v>
      </c>
    </row>
    <row r="203" spans="2:51" x14ac:dyDescent="0.25">
      <c r="B203" s="650">
        <v>4.0345394633530827</v>
      </c>
      <c r="C203" s="651">
        <v>-3.0621677069735918</v>
      </c>
      <c r="D203" s="652">
        <v>-2.8482171804201246</v>
      </c>
      <c r="E203" s="653">
        <v>0.92020555240507906</v>
      </c>
      <c r="F203" s="651">
        <v>0.38900501788106984</v>
      </c>
      <c r="G203" s="654">
        <v>4.3552696658323037E-2</v>
      </c>
      <c r="H203" s="653">
        <v>0.314</v>
      </c>
      <c r="I203" s="920">
        <v>0.52</v>
      </c>
      <c r="J203" s="924">
        <v>3.145</v>
      </c>
      <c r="K203" s="790">
        <f>IF($J203="","",IF(IFERROR(INDEX(Settings!$AK$14:$AK$36,MATCH((((ROUND($H203,6)*2)*1000000)+ROUND($I203,6)),Settings!$AI$14:$AI$36,0)),"Undefined")="Undefined","Undefined",IFERROR(INDEX(_xlfn.ANCHORARRAY(Settings!$BC$14),MATCH(IFERROR(INDEX(Settings!$AK$14:$AK$36,MATCH((((ROUND($H203,6)*2)*1000000)+ROUND($I203,6)),Settings!$AI$14:$AI$36,0)),"Undefined"),_xlfn.ANCHORARRAY(Settings!$BC$14),0)),"Inactive")))</f>
        <v>1613</v>
      </c>
      <c r="L203" s="940" t="s">
        <v>420</v>
      </c>
      <c r="M203" s="973">
        <f t="shared" si="1067"/>
        <v>-84.97011741683842</v>
      </c>
      <c r="N203" s="941"/>
      <c r="O203" s="942"/>
      <c r="Q203" s="162">
        <f t="shared" si="1068"/>
        <v>4.0345394633530827</v>
      </c>
      <c r="R203" s="162">
        <f t="shared" si="1069"/>
        <v>-3.0621677069735918</v>
      </c>
      <c r="S203" s="162">
        <f t="shared" si="1070"/>
        <v>-2.8482171804201246</v>
      </c>
      <c r="T203" s="162">
        <f t="shared" si="1071"/>
        <v>0.92020555240507906</v>
      </c>
      <c r="U203" s="162">
        <f t="shared" si="1072"/>
        <v>0.38900501788106984</v>
      </c>
      <c r="V203" s="162">
        <f t="shared" si="1073"/>
        <v>4.3552696658323037E-2</v>
      </c>
      <c r="W203" s="162">
        <f>IFERROR(IF(ISNUMBER(MATCH($Z203,Settings!$AK$28:$AK$36,0)),INDEX(Settings!$AO$14:$AO$36,MATCH($Z203,Settings!$AK$14:$AK$36,0))/2,INDEX(Settings!$AM$14:$AM$36,MATCH($Z203,Settings!$AK$14:$AK$36,0))/2),"")</f>
        <v>0.3125</v>
      </c>
      <c r="X203" s="162">
        <f t="shared" si="1074"/>
        <v>0.52</v>
      </c>
      <c r="Y203" s="75">
        <v>3.145</v>
      </c>
      <c r="Z203" s="917">
        <f t="shared" si="1075"/>
        <v>1613</v>
      </c>
      <c r="AA203" s="82"/>
      <c r="AB203" s="75"/>
      <c r="AC203" s="75"/>
      <c r="AD203" s="166"/>
      <c r="AE203" s="75">
        <v>4.1319999999999997</v>
      </c>
      <c r="AF203" s="82">
        <v>4</v>
      </c>
      <c r="AG203" s="82">
        <v>1</v>
      </c>
      <c r="AH203" s="82">
        <v>1</v>
      </c>
      <c r="AI203" s="82">
        <v>0.99999999998544808</v>
      </c>
      <c r="AJ203" s="166">
        <v>4.1321099999999999</v>
      </c>
      <c r="AK203" s="82" t="str">
        <v>Base</v>
      </c>
      <c r="AL203" s="162">
        <v>-22.5</v>
      </c>
      <c r="AM203" s="162">
        <v>-4.8023031901750297</v>
      </c>
      <c r="AN203" s="162">
        <v>-1.0111397271022133</v>
      </c>
      <c r="AO203" s="162">
        <v>60.249226457616452</v>
      </c>
      <c r="AP203" s="162">
        <v>-24.466285540690528</v>
      </c>
      <c r="AQ203" s="162">
        <v>0</v>
      </c>
      <c r="AR203" s="710" t="str">
        <v>1613.par</v>
      </c>
      <c r="AV203" s="82" t="str">
        <v>0,204,204</v>
      </c>
      <c r="AW203" s="947">
        <v>60.249226457616452</v>
      </c>
      <c r="AX203" s="947">
        <v>60.249226457616452</v>
      </c>
      <c r="AY203" s="947">
        <v>0</v>
      </c>
    </row>
    <row r="204" spans="2:51" x14ac:dyDescent="0.25">
      <c r="B204" s="650">
        <v>1.7789197706905002</v>
      </c>
      <c r="C204" s="651">
        <v>-2.4973412401661488</v>
      </c>
      <c r="D204" s="652">
        <v>-0.10702467933374853</v>
      </c>
      <c r="E204" s="653">
        <v>-1.0125544391852953E-2</v>
      </c>
      <c r="F204" s="651">
        <v>1.4214772361033511E-2</v>
      </c>
      <c r="G204" s="654">
        <v>0.99984769520037031</v>
      </c>
      <c r="H204" s="653">
        <v>0.25700000000000001</v>
      </c>
      <c r="I204" s="920">
        <v>0.41499999999999992</v>
      </c>
      <c r="J204" s="924">
        <v>3.2149999999999999</v>
      </c>
      <c r="K204" s="790" t="str">
        <f>IF($J204="","",IF(IFERROR(INDEX(Settings!$AK$14:$AK$36,MATCH((((ROUND($H204,6)*2)*1000000)+ROUND($I204,6)),Settings!$AI$14:$AI$36,0)),"Undefined")="Undefined","Undefined",IFERROR(INDEX(_xlfn.ANCHORARRAY(Settings!$BC$14),MATCH(IFERROR(INDEX(Settings!$AK$14:$AK$36,MATCH((((ROUND($H204,6)*2)*1000000)+ROUND($I204,6)),Settings!$AI$14:$AI$36,0)),"Undefined"),_xlfn.ANCHORARRAY(Settings!$BC$14),0)),"Inactive")))</f>
        <v>CPS-32193r1</v>
      </c>
      <c r="L204" s="940" t="s">
        <v>423</v>
      </c>
      <c r="M204" s="973">
        <f t="shared" si="1067"/>
        <v>0.99999985561788196</v>
      </c>
      <c r="N204" s="941"/>
      <c r="O204" s="942"/>
      <c r="Q204" s="162">
        <f t="shared" si="1068"/>
        <v>1.7789197706905002</v>
      </c>
      <c r="R204" s="162">
        <f t="shared" si="1069"/>
        <v>-2.4973412401661488</v>
      </c>
      <c r="S204" s="162">
        <f t="shared" si="1070"/>
        <v>-0.10702467933374853</v>
      </c>
      <c r="T204" s="162">
        <f t="shared" si="1071"/>
        <v>-1.0125544391852953E-2</v>
      </c>
      <c r="U204" s="162">
        <f t="shared" si="1072"/>
        <v>1.4214772361033511E-2</v>
      </c>
      <c r="V204" s="162">
        <f t="shared" si="1073"/>
        <v>0.99984769520037031</v>
      </c>
      <c r="W204" s="162">
        <f>IFERROR(IF(ISNUMBER(MATCH($Z204,Settings!$AK$28:$AK$36,0)),INDEX(Settings!$AO$14:$AO$36,MATCH($Z204,Settings!$AK$14:$AK$36,0))/2,INDEX(Settings!$AM$14:$AM$36,MATCH($Z204,Settings!$AK$14:$AK$36,0))/2),"")</f>
        <v>0.255</v>
      </c>
      <c r="X204" s="162">
        <f t="shared" si="1074"/>
        <v>0.41499999999999992</v>
      </c>
      <c r="Y204" s="75">
        <v>3.2149999999999999</v>
      </c>
      <c r="Z204" s="917" t="str">
        <f t="shared" si="1075"/>
        <v>CPS-32193r1</v>
      </c>
      <c r="AA204" s="82"/>
      <c r="AB204" s="75"/>
      <c r="AC204" s="75"/>
      <c r="AD204" s="166"/>
      <c r="AE204" s="75">
        <v>4.1260000000000003</v>
      </c>
      <c r="AF204" s="82">
        <v>4</v>
      </c>
      <c r="AG204" s="82">
        <v>1</v>
      </c>
      <c r="AH204" s="82">
        <v>1</v>
      </c>
      <c r="AI204" s="82">
        <v>1.0000000000582077</v>
      </c>
      <c r="AJ204" s="166">
        <v>4.1261100000000006</v>
      </c>
      <c r="AK204" s="82" t="str">
        <v>Base</v>
      </c>
      <c r="AL204" s="162">
        <v>-22.5</v>
      </c>
      <c r="AM204" s="162">
        <v>-4.340235968178817</v>
      </c>
      <c r="AN204" s="162">
        <v>-0.40083648763443425</v>
      </c>
      <c r="AO204" s="162">
        <v>41.606624611766414</v>
      </c>
      <c r="AP204" s="162">
        <v>-20.495439001035297</v>
      </c>
      <c r="AQ204" s="162">
        <v>0</v>
      </c>
      <c r="AR204" s="710" t="str">
        <v>1613.par</v>
      </c>
      <c r="AV204" s="82" t="str">
        <v>0,204,204</v>
      </c>
      <c r="AW204" s="947">
        <v>41.606624611766414</v>
      </c>
      <c r="AX204" s="947">
        <v>41.606624611766414</v>
      </c>
      <c r="AY204" s="947">
        <v>0</v>
      </c>
    </row>
    <row r="205" spans="2:51" x14ac:dyDescent="0.25">
      <c r="B205" s="650">
        <v>2.5524119706516979</v>
      </c>
      <c r="C205" s="651">
        <v>-2.845625292264685</v>
      </c>
      <c r="D205" s="652">
        <v>-0.25755128334012367</v>
      </c>
      <c r="E205" s="653">
        <v>0.80287674027004152</v>
      </c>
      <c r="F205" s="651">
        <v>0.49021737229884088</v>
      </c>
      <c r="G205" s="654">
        <v>0.33922834172541061</v>
      </c>
      <c r="H205" s="653">
        <v>0.26600000000000001</v>
      </c>
      <c r="I205" s="920">
        <v>0.52</v>
      </c>
      <c r="J205" s="924">
        <v>3.2210000000000001</v>
      </c>
      <c r="K205" s="790">
        <f>IF($J205="","",IF(IFERROR(INDEX(Settings!$AK$14:$AK$36,MATCH((((ROUND($H205,6)*2)*1000000)+ROUND($I205,6)),Settings!$AI$14:$AI$36,0)),"Undefined")="Undefined","Undefined",IFERROR(INDEX(_xlfn.ANCHORARRAY(Settings!$BC$14),MATCH(IFERROR(INDEX(Settings!$AK$14:$AK$36,MATCH((((ROUND($H205,6)*2)*1000000)+ROUND($I205,6)),Settings!$AI$14:$AI$36,0)),"Undefined"),_xlfn.ANCHORARRAY(Settings!$BC$14),0)),"Inactive")))</f>
        <v>1313</v>
      </c>
      <c r="L205" s="940" t="s">
        <v>424</v>
      </c>
      <c r="M205" s="973">
        <f t="shared" si="1067"/>
        <v>-26.167511622001179</v>
      </c>
      <c r="N205" s="941"/>
      <c r="O205" s="942"/>
      <c r="Q205" s="162">
        <f t="shared" si="1068"/>
        <v>2.5524119706516979</v>
      </c>
      <c r="R205" s="162">
        <f t="shared" si="1069"/>
        <v>-2.845625292264685</v>
      </c>
      <c r="S205" s="162">
        <f t="shared" si="1070"/>
        <v>-0.25755128334012367</v>
      </c>
      <c r="T205" s="162">
        <f t="shared" si="1071"/>
        <v>0.80287674027004152</v>
      </c>
      <c r="U205" s="162">
        <f t="shared" si="1072"/>
        <v>0.49021737229884088</v>
      </c>
      <c r="V205" s="162">
        <f t="shared" si="1073"/>
        <v>0.33922834172541061</v>
      </c>
      <c r="W205" s="162">
        <f>IFERROR(IF(ISNUMBER(MATCH($Z205,Settings!$AK$28:$AK$36,0)),INDEX(Settings!$AO$14:$AO$36,MATCH($Z205,Settings!$AK$14:$AK$36,0))/2,INDEX(Settings!$AM$14:$AM$36,MATCH($Z205,Settings!$AK$14:$AK$36,0))/2),"")</f>
        <v>0.26450000000000001</v>
      </c>
      <c r="X205" s="162">
        <f t="shared" si="1074"/>
        <v>0.52</v>
      </c>
      <c r="Y205" s="75">
        <v>3.2210000000000001</v>
      </c>
      <c r="Z205" s="917">
        <f t="shared" si="1075"/>
        <v>1313</v>
      </c>
      <c r="AA205" s="82"/>
      <c r="AB205" s="75"/>
      <c r="AC205" s="75"/>
      <c r="AD205" s="166"/>
      <c r="AE205" s="75">
        <v>4.12</v>
      </c>
      <c r="AF205" s="82">
        <v>4</v>
      </c>
      <c r="AG205" s="82">
        <v>1</v>
      </c>
      <c r="AH205" s="82">
        <v>1</v>
      </c>
      <c r="AI205" s="82">
        <v>1.0000000000582077</v>
      </c>
      <c r="AJ205" s="166">
        <v>4.1201100000000004</v>
      </c>
      <c r="AK205" s="82" t="str">
        <v>Base</v>
      </c>
      <c r="AL205" s="162">
        <v>-22.5</v>
      </c>
      <c r="AM205" s="162">
        <v>-3.690665647678546</v>
      </c>
      <c r="AN205" s="162">
        <v>5.2092708650527675E-3</v>
      </c>
      <c r="AO205" s="162">
        <v>22.793338283804125</v>
      </c>
      <c r="AP205" s="162">
        <v>-16.548323321314136</v>
      </c>
      <c r="AQ205" s="162">
        <v>0</v>
      </c>
      <c r="AR205" s="710" t="str">
        <v>1613 Ripper.par</v>
      </c>
      <c r="AV205" s="82" t="str">
        <v>0,204,204</v>
      </c>
      <c r="AW205" s="947">
        <v>22.793338283804125</v>
      </c>
      <c r="AX205" s="947">
        <v>22.793338283804125</v>
      </c>
      <c r="AY205" s="947">
        <v>0</v>
      </c>
    </row>
    <row r="206" spans="2:51" x14ac:dyDescent="0.25">
      <c r="B206" s="650">
        <v>3.0360179498911744</v>
      </c>
      <c r="C206" s="651">
        <v>-3.2611314338335444</v>
      </c>
      <c r="D206" s="652">
        <v>-0.70475393833923949</v>
      </c>
      <c r="E206" s="653">
        <v>0.87028298226539424</v>
      </c>
      <c r="F206" s="651">
        <v>0.38055834455760201</v>
      </c>
      <c r="G206" s="654">
        <v>0.31270253783240887</v>
      </c>
      <c r="H206" s="653">
        <v>0.26600000000000001</v>
      </c>
      <c r="I206" s="920">
        <v>0.52</v>
      </c>
      <c r="J206" s="924">
        <v>3.2269999999999999</v>
      </c>
      <c r="K206" s="790">
        <f>IF($J206="","",IF(IFERROR(INDEX(Settings!$AK$14:$AK$36,MATCH((((ROUND($H206,6)*2)*1000000)+ROUND($I206,6)),Settings!$AI$14:$AI$36,0)),"Undefined")="Undefined","Undefined",IFERROR(INDEX(_xlfn.ANCHORARRAY(Settings!$BC$14),MATCH(IFERROR(INDEX(Settings!$AK$14:$AK$36,MATCH((((ROUND($H206,6)*2)*1000000)+ROUND($I206,6)),Settings!$AI$14:$AI$36,0)),"Undefined"),_xlfn.ANCHORARRAY(Settings!$BC$14),0)),"Inactive")))</f>
        <v>1313</v>
      </c>
      <c r="L206" s="940" t="s">
        <v>424</v>
      </c>
      <c r="M206" s="973">
        <f t="shared" si="1067"/>
        <v>-44.830187859593472</v>
      </c>
      <c r="N206" s="941"/>
      <c r="O206" s="942"/>
      <c r="Q206" s="162">
        <f t="shared" si="1068"/>
        <v>3.0360179498911744</v>
      </c>
      <c r="R206" s="162">
        <f t="shared" si="1069"/>
        <v>-3.2611314338335444</v>
      </c>
      <c r="S206" s="162">
        <f t="shared" si="1070"/>
        <v>-0.70475393833923949</v>
      </c>
      <c r="T206" s="162">
        <f t="shared" si="1071"/>
        <v>0.87028298226539424</v>
      </c>
      <c r="U206" s="162">
        <f t="shared" si="1072"/>
        <v>0.38055834455760201</v>
      </c>
      <c r="V206" s="162">
        <f t="shared" si="1073"/>
        <v>0.31270253783240887</v>
      </c>
      <c r="W206" s="162">
        <f>IFERROR(IF(ISNUMBER(MATCH($Z206,Settings!$AK$28:$AK$36,0)),INDEX(Settings!$AO$14:$AO$36,MATCH($Z206,Settings!$AK$14:$AK$36,0))/2,INDEX(Settings!$AM$14:$AM$36,MATCH($Z206,Settings!$AK$14:$AK$36,0))/2),"")</f>
        <v>0.26450000000000001</v>
      </c>
      <c r="X206" s="162">
        <f t="shared" si="1074"/>
        <v>0.52</v>
      </c>
      <c r="Y206" s="75">
        <v>3.2269999999999999</v>
      </c>
      <c r="Z206" s="917">
        <f t="shared" si="1075"/>
        <v>1313</v>
      </c>
      <c r="AA206" s="82"/>
      <c r="AB206" s="75"/>
      <c r="AC206" s="75"/>
      <c r="AD206" s="166"/>
      <c r="AE206" s="75">
        <v>4.1139999999999999</v>
      </c>
      <c r="AF206" s="82">
        <v>4</v>
      </c>
      <c r="AG206" s="82">
        <v>1</v>
      </c>
      <c r="AH206" s="82">
        <v>1</v>
      </c>
      <c r="AI206" s="82">
        <v>0.99999999998544808</v>
      </c>
      <c r="AJ206" s="166">
        <v>4.1141100000000002</v>
      </c>
      <c r="AK206" s="82" t="str">
        <v>Base</v>
      </c>
      <c r="AL206" s="162">
        <v>-22.5</v>
      </c>
      <c r="AM206" s="162">
        <v>-2.9383851347705265</v>
      </c>
      <c r="AN206" s="162">
        <v>0.153118341317241</v>
      </c>
      <c r="AO206" s="162">
        <v>3.9705087662236287</v>
      </c>
      <c r="AP206" s="162">
        <v>-15.469551353298518</v>
      </c>
      <c r="AQ206" s="162">
        <v>0</v>
      </c>
      <c r="AR206" s="710" t="str">
        <v>1613 Ripper.par</v>
      </c>
      <c r="AV206" s="82" t="str">
        <v>0,204,204</v>
      </c>
      <c r="AW206" s="947">
        <v>3.9705087662236287</v>
      </c>
      <c r="AX206" s="947">
        <v>3.9705087662236287</v>
      </c>
      <c r="AY206" s="947">
        <v>0</v>
      </c>
    </row>
    <row r="207" spans="2:51" x14ac:dyDescent="0.25">
      <c r="B207" s="650">
        <v>3.3511222104868947</v>
      </c>
      <c r="C207" s="651">
        <v>-3.5571246191081216</v>
      </c>
      <c r="D207" s="652">
        <v>-1.3490848926861583</v>
      </c>
      <c r="E207" s="653">
        <v>0.93824137035055388</v>
      </c>
      <c r="F207" s="651">
        <v>0.26293358812706369</v>
      </c>
      <c r="G207" s="654">
        <v>0.22487565274467233</v>
      </c>
      <c r="H207" s="653">
        <v>0.26600000000000001</v>
      </c>
      <c r="I207" s="920">
        <v>0.52</v>
      </c>
      <c r="J207" s="924">
        <v>3.2330000000000001</v>
      </c>
      <c r="K207" s="790">
        <f>IF($J207="","",IF(IFERROR(INDEX(Settings!$AK$14:$AK$36,MATCH((((ROUND($H207,6)*2)*1000000)+ROUND($I207,6)),Settings!$AI$14:$AI$36,0)),"Undefined")="Undefined","Undefined",IFERROR(INDEX(_xlfn.ANCHORARRAY(Settings!$BC$14),MATCH(IFERROR(INDEX(Settings!$AK$14:$AK$36,MATCH((((ROUND($H207,6)*2)*1000000)+ROUND($I207,6)),Settings!$AI$14:$AI$36,0)),"Undefined"),_xlfn.ANCHORARRAY(Settings!$BC$14),0)),"Inactive")))</f>
        <v>1313</v>
      </c>
      <c r="L207" s="940" t="s">
        <v>424</v>
      </c>
      <c r="M207" s="973">
        <f t="shared" si="1067"/>
        <v>-63.392943063786667</v>
      </c>
      <c r="N207" s="941"/>
      <c r="O207" s="942"/>
      <c r="Q207" s="162">
        <f t="shared" si="1068"/>
        <v>3.3511222104868947</v>
      </c>
      <c r="R207" s="162">
        <f t="shared" si="1069"/>
        <v>-3.5571246191081216</v>
      </c>
      <c r="S207" s="162">
        <f t="shared" si="1070"/>
        <v>-1.3490848926861583</v>
      </c>
      <c r="T207" s="162">
        <f t="shared" si="1071"/>
        <v>0.93824137035055388</v>
      </c>
      <c r="U207" s="162">
        <f t="shared" si="1072"/>
        <v>0.26293358812706369</v>
      </c>
      <c r="V207" s="162">
        <f t="shared" si="1073"/>
        <v>0.22487565274467233</v>
      </c>
      <c r="W207" s="162">
        <f>IFERROR(IF(ISNUMBER(MATCH($Z207,Settings!$AK$28:$AK$36,0)),INDEX(Settings!$AO$14:$AO$36,MATCH($Z207,Settings!$AK$14:$AK$36,0))/2,INDEX(Settings!$AM$14:$AM$36,MATCH($Z207,Settings!$AK$14:$AK$36,0))/2),"")</f>
        <v>0.26450000000000001</v>
      </c>
      <c r="X207" s="162">
        <f t="shared" si="1074"/>
        <v>0.52</v>
      </c>
      <c r="Y207" s="75">
        <v>3.2330000000000001</v>
      </c>
      <c r="Z207" s="917">
        <f t="shared" si="1075"/>
        <v>1313</v>
      </c>
      <c r="AA207" s="82"/>
      <c r="AB207" s="75"/>
      <c r="AC207" s="75"/>
      <c r="AD207" s="166"/>
      <c r="AE207" s="75">
        <v>3.2509999999999999</v>
      </c>
      <c r="AF207" s="82">
        <v>3</v>
      </c>
      <c r="AG207" s="82">
        <v>2</v>
      </c>
      <c r="AH207" s="82">
        <v>1</v>
      </c>
      <c r="AI207" s="82">
        <v>0.99999999998544808</v>
      </c>
      <c r="AJ207" s="166">
        <v>3.2511099999999997</v>
      </c>
      <c r="AK207" s="82" t="str">
        <v>Base</v>
      </c>
      <c r="AL207" s="162">
        <v>-21.75</v>
      </c>
      <c r="AM207" s="162">
        <v>-5.1223779559634783</v>
      </c>
      <c r="AN207" s="162">
        <v>-9.1532729484046236</v>
      </c>
      <c r="AO207" s="162">
        <v>100.03561890671625</v>
      </c>
      <c r="AP207" s="162">
        <v>-39.831236627249623</v>
      </c>
      <c r="AQ207" s="162">
        <v>0</v>
      </c>
      <c r="AR207" s="710" t="str">
        <v>1313.par</v>
      </c>
      <c r="AV207" s="82" t="str">
        <v>97,255,97</v>
      </c>
      <c r="AW207" s="947">
        <v>100.03561890671625</v>
      </c>
      <c r="AX207" s="947">
        <v>100.03561890671625</v>
      </c>
      <c r="AY207" s="947">
        <v>0</v>
      </c>
    </row>
    <row r="208" spans="2:51" x14ac:dyDescent="0.25">
      <c r="B208" s="650">
        <v>3.23675957429997</v>
      </c>
      <c r="C208" s="651">
        <v>-3.8023425989005091</v>
      </c>
      <c r="D208" s="652">
        <v>-2.1201362656089726</v>
      </c>
      <c r="E208" s="653">
        <v>0.64337101194123913</v>
      </c>
      <c r="F208" s="651">
        <v>-0.75579200414691927</v>
      </c>
      <c r="G208" s="654">
        <v>0.12186955100142645</v>
      </c>
      <c r="H208" s="653">
        <v>0.25700000000000001</v>
      </c>
      <c r="I208" s="920">
        <v>0.41499999999999992</v>
      </c>
      <c r="J208" s="924">
        <v>3.2389999999999999</v>
      </c>
      <c r="K208" s="790" t="str">
        <f>IF($J208="","",IF(IFERROR(INDEX(Settings!$AK$14:$AK$36,MATCH((((ROUND($H208,6)*2)*1000000)+ROUND($I208,6)),Settings!$AI$14:$AI$36,0)),"Undefined")="Undefined","Undefined",IFERROR(INDEX(_xlfn.ANCHORARRAY(Settings!$BC$14),MATCH(IFERROR(INDEX(Settings!$AK$14:$AK$36,MATCH((((ROUND($H208,6)*2)*1000000)+ROUND($I208,6)),Settings!$AI$14:$AI$36,0)),"Undefined"),_xlfn.ANCHORARRAY(Settings!$BC$14),0)),"Inactive")))</f>
        <v>CPS-32193r1</v>
      </c>
      <c r="L208" s="940" t="s">
        <v>423</v>
      </c>
      <c r="M208" s="973">
        <f t="shared" si="1067"/>
        <v>-82.999988016284419</v>
      </c>
      <c r="N208" s="941"/>
      <c r="O208" s="942"/>
      <c r="Q208" s="162">
        <f t="shared" si="1068"/>
        <v>3.23675957429997</v>
      </c>
      <c r="R208" s="162">
        <f t="shared" si="1069"/>
        <v>-3.8023425989005091</v>
      </c>
      <c r="S208" s="162">
        <f t="shared" si="1070"/>
        <v>-2.1201362656089726</v>
      </c>
      <c r="T208" s="162">
        <f t="shared" si="1071"/>
        <v>0.64337101194123913</v>
      </c>
      <c r="U208" s="162">
        <f t="shared" si="1072"/>
        <v>-0.75579200414691927</v>
      </c>
      <c r="V208" s="162">
        <f t="shared" si="1073"/>
        <v>0.12186955100142645</v>
      </c>
      <c r="W208" s="162">
        <f>IFERROR(IF(ISNUMBER(MATCH($Z208,Settings!$AK$28:$AK$36,0)),INDEX(Settings!$AO$14:$AO$36,MATCH($Z208,Settings!$AK$14:$AK$36,0))/2,INDEX(Settings!$AM$14:$AM$36,MATCH($Z208,Settings!$AK$14:$AK$36,0))/2),"")</f>
        <v>0.255</v>
      </c>
      <c r="X208" s="162">
        <f t="shared" si="1074"/>
        <v>0.41499999999999992</v>
      </c>
      <c r="Y208" s="75">
        <v>3.2389999999999999</v>
      </c>
      <c r="Z208" s="917" t="str">
        <f t="shared" si="1075"/>
        <v>CPS-32193r1</v>
      </c>
      <c r="AA208" s="82"/>
      <c r="AB208" s="75"/>
      <c r="AC208" s="75"/>
      <c r="AD208" s="166"/>
      <c r="AE208" s="75">
        <v>3.2450000000000001</v>
      </c>
      <c r="AF208" s="82">
        <v>3</v>
      </c>
      <c r="AG208" s="82">
        <v>2</v>
      </c>
      <c r="AH208" s="82">
        <v>1</v>
      </c>
      <c r="AI208" s="82">
        <v>0.99999999998544808</v>
      </c>
      <c r="AJ208" s="166">
        <v>3.2451099999999999</v>
      </c>
      <c r="AK208" s="82" t="str">
        <v>Base</v>
      </c>
      <c r="AL208" s="162">
        <v>-21.75</v>
      </c>
      <c r="AM208" s="162">
        <v>-5.0208747946625891</v>
      </c>
      <c r="AN208" s="162">
        <v>-2.6831848932923341</v>
      </c>
      <c r="AO208" s="162">
        <v>89.999987005609611</v>
      </c>
      <c r="AP208" s="162">
        <v>0</v>
      </c>
      <c r="AQ208" s="162">
        <v>0</v>
      </c>
      <c r="AR208" s="710" t="str">
        <v>32193r1.par</v>
      </c>
      <c r="AV208" s="82" t="str">
        <v>97,255,97</v>
      </c>
      <c r="AW208" s="947">
        <v>89.999987005609611</v>
      </c>
      <c r="AX208" s="947">
        <v>89.999987005609611</v>
      </c>
      <c r="AY208" s="947">
        <v>0</v>
      </c>
    </row>
    <row r="209" spans="2:51" x14ac:dyDescent="0.25">
      <c r="B209" s="650">
        <v>3.2543618295628098</v>
      </c>
      <c r="C209" s="651">
        <v>-3.8233902215131925</v>
      </c>
      <c r="D209" s="652">
        <v>-2.87274311561979</v>
      </c>
      <c r="E209" s="653">
        <v>0.64816629823596772</v>
      </c>
      <c r="F209" s="651">
        <v>-0.76149881801026531</v>
      </c>
      <c r="G209" s="654">
        <v>2.2679489662669189E-7</v>
      </c>
      <c r="H209" s="653">
        <v>0.25700000000000001</v>
      </c>
      <c r="I209" s="920">
        <v>0.41499999999999992</v>
      </c>
      <c r="J209" s="924">
        <v>3.2450000000000001</v>
      </c>
      <c r="K209" s="790" t="str">
        <f>IF($J209="","",IF(IFERROR(INDEX(Settings!$AK$14:$AK$36,MATCH((((ROUND($H209,6)*2)*1000000)+ROUND($I209,6)),Settings!$AI$14:$AI$36,0)),"Undefined")="Undefined","Undefined",IFERROR(INDEX(_xlfn.ANCHORARRAY(Settings!$BC$14),MATCH(IFERROR(INDEX(Settings!$AK$14:$AK$36,MATCH((((ROUND($H209,6)*2)*1000000)+ROUND($I209,6)),Settings!$AI$14:$AI$36,0)),"Undefined"),_xlfn.ANCHORARRAY(Settings!$BC$14),0)),"Inactive")))</f>
        <v>CPS-32193r1</v>
      </c>
      <c r="L209" s="940" t="s">
        <v>423</v>
      </c>
      <c r="M209" s="973">
        <f t="shared" si="1067"/>
        <v>-89.999987005609611</v>
      </c>
      <c r="N209" s="941"/>
      <c r="O209" s="942"/>
      <c r="Q209" s="162">
        <f t="shared" si="1068"/>
        <v>3.2543618295628098</v>
      </c>
      <c r="R209" s="162">
        <f t="shared" si="1069"/>
        <v>-3.8233902215131925</v>
      </c>
      <c r="S209" s="162">
        <f t="shared" si="1070"/>
        <v>-2.87274311561979</v>
      </c>
      <c r="T209" s="162">
        <f t="shared" si="1071"/>
        <v>0.64816629823596772</v>
      </c>
      <c r="U209" s="162">
        <f t="shared" si="1072"/>
        <v>-0.76149881801026531</v>
      </c>
      <c r="V209" s="162">
        <f t="shared" si="1073"/>
        <v>2.2679489662669189E-7</v>
      </c>
      <c r="W209" s="162">
        <f>IFERROR(IF(ISNUMBER(MATCH($Z209,Settings!$AK$28:$AK$36,0)),INDEX(Settings!$AO$14:$AO$36,MATCH($Z209,Settings!$AK$14:$AK$36,0))/2,INDEX(Settings!$AM$14:$AM$36,MATCH($Z209,Settings!$AK$14:$AK$36,0))/2),"")</f>
        <v>0.255</v>
      </c>
      <c r="X209" s="162">
        <f t="shared" si="1074"/>
        <v>0.41499999999999992</v>
      </c>
      <c r="Y209" s="75">
        <v>3.2450000000000001</v>
      </c>
      <c r="Z209" s="917" t="str">
        <f t="shared" si="1075"/>
        <v>CPS-32193r1</v>
      </c>
      <c r="AA209" s="82"/>
      <c r="AB209" s="75"/>
      <c r="AC209" s="75"/>
      <c r="AD209" s="166"/>
      <c r="AE209" s="75">
        <v>3.2389999999999999</v>
      </c>
      <c r="AF209" s="82">
        <v>3</v>
      </c>
      <c r="AG209" s="82">
        <v>2</v>
      </c>
      <c r="AH209" s="82">
        <v>1</v>
      </c>
      <c r="AI209" s="82">
        <v>0.99999999998544808</v>
      </c>
      <c r="AJ209" s="166">
        <v>3.2391099999999997</v>
      </c>
      <c r="AK209" s="82" t="str">
        <v>Base</v>
      </c>
      <c r="AL209" s="162">
        <v>-21.75</v>
      </c>
      <c r="AM209" s="162">
        <v>-4.9934378719711736</v>
      </c>
      <c r="AN209" s="162">
        <v>-1.9305818403392268</v>
      </c>
      <c r="AO209" s="162">
        <v>82.999988016284419</v>
      </c>
      <c r="AP209" s="162">
        <v>0</v>
      </c>
      <c r="AQ209" s="162">
        <v>0</v>
      </c>
      <c r="AR209" s="710" t="str">
        <v>32193r1.par</v>
      </c>
      <c r="AV209" s="82" t="str">
        <v>97,255,97</v>
      </c>
      <c r="AW209" s="947">
        <v>82.999988016284419</v>
      </c>
      <c r="AX209" s="947">
        <v>82.999988016284419</v>
      </c>
      <c r="AY209" s="947">
        <v>0</v>
      </c>
    </row>
    <row r="210" spans="2:51" x14ac:dyDescent="0.25">
      <c r="B210" s="650">
        <v>-4.8552529883429454</v>
      </c>
      <c r="C210" s="651">
        <v>-1.6717961816679865</v>
      </c>
      <c r="D210" s="652">
        <v>-9.5000286520864154</v>
      </c>
      <c r="E210" s="653">
        <v>-0.34913478283133281</v>
      </c>
      <c r="F210" s="651">
        <v>-0.93040107687091467</v>
      </c>
      <c r="G210" s="654">
        <v>-0.11161872412261586</v>
      </c>
      <c r="H210" s="653">
        <v>0.26600000000000001</v>
      </c>
      <c r="I210" s="920">
        <v>0.52</v>
      </c>
      <c r="J210" s="924">
        <v>3.2509999999999999</v>
      </c>
      <c r="K210" s="790">
        <f>IF($J210="","",IF(IFERROR(INDEX(Settings!$AK$14:$AK$36,MATCH((((ROUND($H210,6)*2)*1000000)+ROUND($I210,6)),Settings!$AI$14:$AI$36,0)),"Undefined")="Undefined","Undefined",IFERROR(INDEX(_xlfn.ANCHORARRAY(Settings!$BC$14),MATCH(IFERROR(INDEX(Settings!$AK$14:$AK$36,MATCH((((ROUND($H210,6)*2)*1000000)+ROUND($I210,6)),Settings!$AI$14:$AI$36,0)),"Undefined"),_xlfn.ANCHORARRAY(Settings!$BC$14),0)),"Inactive")))</f>
        <v>1313</v>
      </c>
      <c r="L210" s="940" t="s">
        <v>424</v>
      </c>
      <c r="M210" s="973">
        <f t="shared" si="1067"/>
        <v>-100.03561890671625</v>
      </c>
      <c r="N210" s="941"/>
      <c r="O210" s="942"/>
      <c r="Q210" s="162">
        <f t="shared" ref="Q210:Q273" si="1076">IFERROR(INDEX(B$164:B$305,MATCH($Y210,$J$164:$J$305,0)),"")</f>
        <v>-4.8552529883429454</v>
      </c>
      <c r="R210" s="162">
        <f t="shared" ref="R210:R273" si="1077">IFERROR(INDEX(C$164:C$305,MATCH($Y210,$J$164:$J$305,0)),"")</f>
        <v>-1.6717961816679865</v>
      </c>
      <c r="S210" s="162">
        <f t="shared" ref="S210:S273" si="1078">IFERROR(INDEX(D$164:D$305,MATCH($Y210,$J$164:$J$305,0)),"")</f>
        <v>-9.5000286520864154</v>
      </c>
      <c r="T210" s="162">
        <f t="shared" ref="T210:T273" si="1079">IFERROR(IF($N210="Y",-1*INDEX(E$164:E$305,MATCH($Y210,$J$164:$J$305,0)),INDEX(E$164:E$305,MATCH($Y210,$J$164:$J$305,0))),"")</f>
        <v>-0.34913478283133281</v>
      </c>
      <c r="U210" s="162">
        <f t="shared" ref="U210:U273" si="1080">IFERROR(IF($N210="Y",-1*INDEX(F$164:F$305,MATCH($Y210,$J$164:$J$305,0)),INDEX(F$164:F$305,MATCH($Y210,$J$164:$J$305,0))),"")</f>
        <v>-0.93040107687091467</v>
      </c>
      <c r="V210" s="162">
        <f t="shared" ref="V210:V273" si="1081">IFERROR(IF($N210="Y",-1*INDEX(G$164:G$305,MATCH($Y210,$J$164:$J$305,0)),INDEX(G$164:G$305,MATCH($Y210,$J$164:$J$305,0))),"")</f>
        <v>-0.11161872412261586</v>
      </c>
      <c r="W210" s="162">
        <f>IFERROR(IF(ISNUMBER(MATCH($Z210,Settings!$AK$28:$AK$36,0)),INDEX(Settings!$AO$14:$AO$36,MATCH($Z210,Settings!$AK$14:$AK$36,0))/2,INDEX(Settings!$AM$14:$AM$36,MATCH($Z210,Settings!$AK$14:$AK$36,0))/2),"")</f>
        <v>0.26450000000000001</v>
      </c>
      <c r="X210" s="162">
        <f t="shared" ref="X210:X273" si="1082">IFERROR(INDEX(I$164:I$305,MATCH($Y210,$J$164:$J$305,0)),"")</f>
        <v>0.52</v>
      </c>
      <c r="Y210" s="75">
        <v>3.2509999999999999</v>
      </c>
      <c r="Z210" s="917">
        <f t="shared" ref="Z210:Z273" si="1083">IFERROR(INDEX(K$164:K$305,MATCH($Y210,$J$164:$J$305,0)),"")</f>
        <v>1313</v>
      </c>
      <c r="AA210" s="82"/>
      <c r="AB210" s="75"/>
      <c r="AC210" s="75"/>
      <c r="AD210" s="166"/>
      <c r="AE210" s="75">
        <v>3.2330000000000001</v>
      </c>
      <c r="AF210" s="82">
        <v>3</v>
      </c>
      <c r="AG210" s="82">
        <v>2</v>
      </c>
      <c r="AH210" s="82">
        <v>1</v>
      </c>
      <c r="AI210" s="82">
        <v>0.99999999998544808</v>
      </c>
      <c r="AJ210" s="166">
        <v>3.2331099999999999</v>
      </c>
      <c r="AK210" s="82" t="str">
        <v>Base</v>
      </c>
      <c r="AL210" s="162">
        <v>-21.75</v>
      </c>
      <c r="AM210" s="162">
        <v>-4.8780303852724725</v>
      </c>
      <c r="AN210" s="162">
        <v>-1.1677543034322908</v>
      </c>
      <c r="AO210" s="162">
        <v>63.392943063786667</v>
      </c>
      <c r="AP210" s="162">
        <v>-30.139109350595657</v>
      </c>
      <c r="AQ210" s="162">
        <v>0</v>
      </c>
      <c r="AR210" s="710" t="str">
        <v>1313.par</v>
      </c>
      <c r="AV210" s="82" t="str">
        <v>97,255,97</v>
      </c>
      <c r="AW210" s="947">
        <v>63.392943063786667</v>
      </c>
      <c r="AX210" s="947">
        <v>63.392943063786667</v>
      </c>
      <c r="AY210" s="947">
        <v>0</v>
      </c>
    </row>
    <row r="211" spans="2:51" x14ac:dyDescent="0.25">
      <c r="B211" s="650">
        <v>-0.25613656074102181</v>
      </c>
      <c r="C211" s="651">
        <v>-2.9276344878282807</v>
      </c>
      <c r="D211" s="652">
        <v>-9.4700556152893398E-2</v>
      </c>
      <c r="E211" s="653">
        <v>0.95780292439168624</v>
      </c>
      <c r="F211" s="651">
        <v>-0.10868198408491406</v>
      </c>
      <c r="G211" s="654">
        <v>0.26608604691358839</v>
      </c>
      <c r="H211" s="653">
        <v>0.314</v>
      </c>
      <c r="I211" s="920">
        <v>0.52</v>
      </c>
      <c r="J211" s="924">
        <v>4.1139999999999999</v>
      </c>
      <c r="K211" s="790">
        <f>IF($J211="","",IF(IFERROR(INDEX(Settings!$AK$14:$AK$36,MATCH((((ROUND($H211,6)*2)*1000000)+ROUND($I211,6)),Settings!$AI$14:$AI$36,0)),"Undefined")="Undefined","Undefined",IFERROR(INDEX(_xlfn.ANCHORARRAY(Settings!$BC$14),MATCH(IFERROR(INDEX(Settings!$AK$14:$AK$36,MATCH((((ROUND($H211,6)*2)*1000000)+ROUND($I211,6)),Settings!$AI$14:$AI$36,0)),"Undefined"),_xlfn.ANCHORARRAY(Settings!$BC$14),0)),"Inactive")))</f>
        <v>1613</v>
      </c>
      <c r="L211" s="940" t="s">
        <v>422</v>
      </c>
      <c r="M211" s="973">
        <f t="shared" si="1067"/>
        <v>-3.9705087662236287</v>
      </c>
      <c r="N211" s="941"/>
      <c r="O211" s="942"/>
      <c r="Q211" s="162">
        <f t="shared" si="1076"/>
        <v>-0.25613656074102181</v>
      </c>
      <c r="R211" s="162">
        <f t="shared" si="1077"/>
        <v>-2.9276344878282807</v>
      </c>
      <c r="S211" s="162">
        <f t="shared" si="1078"/>
        <v>-9.4700556152893398E-2</v>
      </c>
      <c r="T211" s="162">
        <f t="shared" si="1079"/>
        <v>0.95780292439168624</v>
      </c>
      <c r="U211" s="162">
        <f t="shared" si="1080"/>
        <v>-0.10868198408491406</v>
      </c>
      <c r="V211" s="162">
        <f t="shared" si="1081"/>
        <v>0.26608604691358839</v>
      </c>
      <c r="W211" s="162">
        <f>IFERROR(IF(ISNUMBER(MATCH($Z211,Settings!$AK$28:$AK$36,0)),INDEX(Settings!$AO$14:$AO$36,MATCH($Z211,Settings!$AK$14:$AK$36,0))/2,INDEX(Settings!$AM$14:$AM$36,MATCH($Z211,Settings!$AK$14:$AK$36,0))/2),"")</f>
        <v>0.3125</v>
      </c>
      <c r="X211" s="162">
        <f t="shared" si="1082"/>
        <v>0.52</v>
      </c>
      <c r="Y211" s="75">
        <v>4.1139999999999999</v>
      </c>
      <c r="Z211" s="917">
        <f t="shared" si="1083"/>
        <v>1613</v>
      </c>
      <c r="AA211" s="82"/>
      <c r="AB211" s="75"/>
      <c r="AC211" s="75"/>
      <c r="AD211" s="166"/>
      <c r="AE211" s="75">
        <v>3.2269999999999999</v>
      </c>
      <c r="AF211" s="82">
        <v>3</v>
      </c>
      <c r="AG211" s="82">
        <v>2</v>
      </c>
      <c r="AH211" s="82">
        <v>1</v>
      </c>
      <c r="AI211" s="82">
        <v>0.99999999998544808</v>
      </c>
      <c r="AJ211" s="166">
        <v>3.2271099999999997</v>
      </c>
      <c r="AK211" s="82" t="str">
        <v>Base</v>
      </c>
      <c r="AL211" s="162">
        <v>-21.75</v>
      </c>
      <c r="AM211" s="162">
        <v>-4.4493480813053772</v>
      </c>
      <c r="AN211" s="162">
        <v>-0.52466963931526189</v>
      </c>
      <c r="AO211" s="162">
        <v>44.830187859593472</v>
      </c>
      <c r="AP211" s="162">
        <v>-26.16280668690904</v>
      </c>
      <c r="AQ211" s="162">
        <v>0</v>
      </c>
      <c r="AR211" s="710" t="str">
        <v>1313.par</v>
      </c>
      <c r="AV211" s="82" t="str">
        <v>97,255,97</v>
      </c>
      <c r="AW211" s="947">
        <v>44.830187859593472</v>
      </c>
      <c r="AX211" s="947">
        <v>44.830187859593472</v>
      </c>
      <c r="AY211" s="947">
        <v>0</v>
      </c>
    </row>
    <row r="212" spans="2:51" x14ac:dyDescent="0.25">
      <c r="B212" s="650">
        <v>-0.34638180420633946</v>
      </c>
      <c r="C212" s="651">
        <v>-3.6766417529969999</v>
      </c>
      <c r="D212" s="652">
        <v>-0.24310145130574273</v>
      </c>
      <c r="E212" s="653">
        <v>0.94295431762086424</v>
      </c>
      <c r="F212" s="651">
        <v>-0.20466584949397226</v>
      </c>
      <c r="G212" s="654">
        <v>0.26258150150206921</v>
      </c>
      <c r="H212" s="653">
        <v>0.314</v>
      </c>
      <c r="I212" s="920">
        <v>0.52</v>
      </c>
      <c r="J212" s="924">
        <v>4.12</v>
      </c>
      <c r="K212" s="790">
        <f>IF($J212="","",IF(IFERROR(INDEX(Settings!$AK$14:$AK$36,MATCH((((ROUND($H212,6)*2)*1000000)+ROUND($I212,6)),Settings!$AI$14:$AI$36,0)),"Undefined")="Undefined","Undefined",IFERROR(INDEX(_xlfn.ANCHORARRAY(Settings!$BC$14),MATCH(IFERROR(INDEX(Settings!$AK$14:$AK$36,MATCH((((ROUND($H212,6)*2)*1000000)+ROUND($I212,6)),Settings!$AI$14:$AI$36,0)),"Undefined"),_xlfn.ANCHORARRAY(Settings!$BC$14),0)),"Inactive")))</f>
        <v>1613</v>
      </c>
      <c r="L212" s="940" t="s">
        <v>422</v>
      </c>
      <c r="M212" s="973">
        <f t="shared" si="1067"/>
        <v>-22.793338283804125</v>
      </c>
      <c r="N212" s="941"/>
      <c r="O212" s="942"/>
      <c r="Q212" s="162">
        <f t="shared" si="1076"/>
        <v>-0.34638180420633946</v>
      </c>
      <c r="R212" s="162">
        <f t="shared" si="1077"/>
        <v>-3.6766417529969999</v>
      </c>
      <c r="S212" s="162">
        <f t="shared" si="1078"/>
        <v>-0.24310145130574273</v>
      </c>
      <c r="T212" s="162">
        <f t="shared" si="1079"/>
        <v>0.94295431762086424</v>
      </c>
      <c r="U212" s="162">
        <f t="shared" si="1080"/>
        <v>-0.20466584949397226</v>
      </c>
      <c r="V212" s="162">
        <f t="shared" si="1081"/>
        <v>0.26258150150206921</v>
      </c>
      <c r="W212" s="162">
        <f>IFERROR(IF(ISNUMBER(MATCH($Z212,Settings!$AK$28:$AK$36,0)),INDEX(Settings!$AO$14:$AO$36,MATCH($Z212,Settings!$AK$14:$AK$36,0))/2,INDEX(Settings!$AM$14:$AM$36,MATCH($Z212,Settings!$AK$14:$AK$36,0))/2),"")</f>
        <v>0.3125</v>
      </c>
      <c r="X212" s="162">
        <f t="shared" si="1082"/>
        <v>0.52</v>
      </c>
      <c r="Y212" s="75">
        <v>4.12</v>
      </c>
      <c r="Z212" s="917">
        <f t="shared" si="1083"/>
        <v>1613</v>
      </c>
      <c r="AA212" s="82"/>
      <c r="AB212" s="75"/>
      <c r="AC212" s="75"/>
      <c r="AD212" s="166"/>
      <c r="AE212" s="75">
        <v>3.2210000000000001</v>
      </c>
      <c r="AF212" s="82">
        <v>3</v>
      </c>
      <c r="AG212" s="82">
        <v>2</v>
      </c>
      <c r="AH212" s="82">
        <v>1</v>
      </c>
      <c r="AI212" s="82">
        <v>0.99999999998544808</v>
      </c>
      <c r="AJ212" s="166">
        <v>3.2211099999999999</v>
      </c>
      <c r="AK212" s="82" t="str">
        <v>Base</v>
      </c>
      <c r="AL212" s="162">
        <v>-21.75</v>
      </c>
      <c r="AM212" s="162">
        <v>-3.8192371295293186</v>
      </c>
      <c r="AN212" s="162">
        <v>-7.6457915448653435E-2</v>
      </c>
      <c r="AO212" s="162">
        <v>26.167511622001179</v>
      </c>
      <c r="AP212" s="162">
        <v>-22.20779132657719</v>
      </c>
      <c r="AQ212" s="162">
        <v>0</v>
      </c>
      <c r="AR212" s="710" t="str">
        <v>1313.par</v>
      </c>
      <c r="AV212" s="82" t="str">
        <v>97,255,97</v>
      </c>
      <c r="AW212" s="947">
        <v>26.167511622001179</v>
      </c>
      <c r="AX212" s="947">
        <v>26.167511622001179</v>
      </c>
      <c r="AY212" s="947">
        <v>0</v>
      </c>
    </row>
    <row r="213" spans="2:51" x14ac:dyDescent="0.25">
      <c r="B213" s="650">
        <v>-0.46246609294827523</v>
      </c>
      <c r="C213" s="651">
        <v>-4.3202440753578353</v>
      </c>
      <c r="D213" s="652">
        <v>-0.65010390634084925</v>
      </c>
      <c r="E213" s="653">
        <v>0.90519782704199592</v>
      </c>
      <c r="F213" s="651">
        <v>-0.33477862210177334</v>
      </c>
      <c r="G213" s="654">
        <v>0.2618017725342725</v>
      </c>
      <c r="H213" s="653">
        <v>0.314</v>
      </c>
      <c r="I213" s="920">
        <v>0.52</v>
      </c>
      <c r="J213" s="924">
        <v>4.1260000000000003</v>
      </c>
      <c r="K213" s="790">
        <f>IF($J213="","",IF(IFERROR(INDEX(Settings!$AK$14:$AK$36,MATCH((((ROUND($H213,6)*2)*1000000)+ROUND($I213,6)),Settings!$AI$14:$AI$36,0)),"Undefined")="Undefined","Undefined",IFERROR(INDEX(_xlfn.ANCHORARRAY(Settings!$BC$14),MATCH(IFERROR(INDEX(Settings!$AK$14:$AK$36,MATCH((((ROUND($H213,6)*2)*1000000)+ROUND($I213,6)),Settings!$AI$14:$AI$36,0)),"Undefined"),_xlfn.ANCHORARRAY(Settings!$BC$14),0)),"Inactive")))</f>
        <v>1613</v>
      </c>
      <c r="L213" s="940" t="s">
        <v>420</v>
      </c>
      <c r="M213" s="973">
        <f t="shared" si="1067"/>
        <v>-41.606624611766414</v>
      </c>
      <c r="N213" s="941"/>
      <c r="O213" s="942"/>
      <c r="Q213" s="162">
        <f t="shared" si="1076"/>
        <v>-0.46246609294827523</v>
      </c>
      <c r="R213" s="162">
        <f t="shared" si="1077"/>
        <v>-4.3202440753578353</v>
      </c>
      <c r="S213" s="162">
        <f t="shared" si="1078"/>
        <v>-0.65010390634084925</v>
      </c>
      <c r="T213" s="162">
        <f t="shared" si="1079"/>
        <v>0.90519782704199592</v>
      </c>
      <c r="U213" s="162">
        <f t="shared" si="1080"/>
        <v>-0.33477862210177334</v>
      </c>
      <c r="V213" s="162">
        <f t="shared" si="1081"/>
        <v>0.2618017725342725</v>
      </c>
      <c r="W213" s="162">
        <f>IFERROR(IF(ISNUMBER(MATCH($Z213,Settings!$AK$28:$AK$36,0)),INDEX(Settings!$AO$14:$AO$36,MATCH($Z213,Settings!$AK$14:$AK$36,0))/2,INDEX(Settings!$AM$14:$AM$36,MATCH($Z213,Settings!$AK$14:$AK$36,0))/2),"")</f>
        <v>0.3125</v>
      </c>
      <c r="X213" s="162">
        <f t="shared" si="1082"/>
        <v>0.52</v>
      </c>
      <c r="Y213" s="75">
        <v>4.1260000000000003</v>
      </c>
      <c r="Z213" s="917">
        <f t="shared" si="1083"/>
        <v>1613</v>
      </c>
      <c r="AA213" s="82"/>
      <c r="AB213" s="75"/>
      <c r="AC213" s="75"/>
      <c r="AD213" s="166"/>
      <c r="AE213" s="75">
        <v>3.2149999999999999</v>
      </c>
      <c r="AF213" s="82">
        <v>3</v>
      </c>
      <c r="AG213" s="82">
        <v>2</v>
      </c>
      <c r="AH213" s="82">
        <v>1</v>
      </c>
      <c r="AI213" s="82">
        <v>0.99999999998544808</v>
      </c>
      <c r="AJ213" s="166">
        <v>3.2151099999999997</v>
      </c>
      <c r="AK213" s="82" t="str">
        <v>Base</v>
      </c>
      <c r="AL213" s="162">
        <v>-21.75</v>
      </c>
      <c r="AM213" s="162">
        <v>-3.0661488581587393</v>
      </c>
      <c r="AN213" s="162">
        <v>8.9395004076903137E-2</v>
      </c>
      <c r="AO213" s="162">
        <v>-0.99999985561788196</v>
      </c>
      <c r="AP213" s="162">
        <v>0</v>
      </c>
      <c r="AQ213" s="162">
        <v>0</v>
      </c>
      <c r="AR213" s="710" t="str">
        <v>32193r1.par</v>
      </c>
      <c r="AV213" s="82" t="str">
        <v>97,255,97</v>
      </c>
      <c r="AW213" s="947">
        <v>-0.99999985561788196</v>
      </c>
      <c r="AX213" s="947">
        <v>-0.99999985561788196</v>
      </c>
      <c r="AY213" s="947">
        <v>0</v>
      </c>
    </row>
    <row r="214" spans="2:51" x14ac:dyDescent="0.25">
      <c r="B214" s="650">
        <v>-0.56696945545210753</v>
      </c>
      <c r="C214" s="651">
        <v>-4.7759936080960186</v>
      </c>
      <c r="D214" s="652">
        <v>-1.2624075997511583</v>
      </c>
      <c r="E214" s="653">
        <v>0.85970717539172348</v>
      </c>
      <c r="F214" s="651">
        <v>-0.46761783235017629</v>
      </c>
      <c r="G214" s="654">
        <v>0.20551675223228635</v>
      </c>
      <c r="H214" s="653">
        <v>0.314</v>
      </c>
      <c r="I214" s="920">
        <v>0.52</v>
      </c>
      <c r="J214" s="924">
        <v>4.1319999999999997</v>
      </c>
      <c r="K214" s="790">
        <f>IF($J214="","",IF(IFERROR(INDEX(Settings!$AK$14:$AK$36,MATCH((((ROUND($H214,6)*2)*1000000)+ROUND($I214,6)),Settings!$AI$14:$AI$36,0)),"Undefined")="Undefined","Undefined",IFERROR(INDEX(_xlfn.ANCHORARRAY(Settings!$BC$14),MATCH(IFERROR(INDEX(Settings!$AK$14:$AK$36,MATCH((((ROUND($H214,6)*2)*1000000)+ROUND($I214,6)),Settings!$AI$14:$AI$36,0)),"Undefined"),_xlfn.ANCHORARRAY(Settings!$BC$14),0)),"Inactive")))</f>
        <v>1613</v>
      </c>
      <c r="L214" s="940" t="s">
        <v>420</v>
      </c>
      <c r="M214" s="973">
        <f t="shared" si="1067"/>
        <v>-60.249226457616452</v>
      </c>
      <c r="N214" s="941"/>
      <c r="O214" s="942"/>
      <c r="Q214" s="162">
        <f t="shared" si="1076"/>
        <v>-0.56696945545210753</v>
      </c>
      <c r="R214" s="162">
        <f t="shared" si="1077"/>
        <v>-4.7759936080960186</v>
      </c>
      <c r="S214" s="162">
        <f t="shared" si="1078"/>
        <v>-1.2624075997511583</v>
      </c>
      <c r="T214" s="162">
        <f t="shared" si="1079"/>
        <v>0.85970717539172348</v>
      </c>
      <c r="U214" s="162">
        <f t="shared" si="1080"/>
        <v>-0.46761783235017629</v>
      </c>
      <c r="V214" s="162">
        <f t="shared" si="1081"/>
        <v>0.20551675223228635</v>
      </c>
      <c r="W214" s="162">
        <f>IFERROR(IF(ISNUMBER(MATCH($Z214,Settings!$AK$28:$AK$36,0)),INDEX(Settings!$AO$14:$AO$36,MATCH($Z214,Settings!$AK$14:$AK$36,0))/2,INDEX(Settings!$AM$14:$AM$36,MATCH($Z214,Settings!$AK$14:$AK$36,0))/2),"")</f>
        <v>0.3125</v>
      </c>
      <c r="X214" s="162">
        <f t="shared" si="1082"/>
        <v>0.52</v>
      </c>
      <c r="Y214" s="75">
        <v>4.1319999999999997</v>
      </c>
      <c r="Z214" s="917">
        <f t="shared" si="1083"/>
        <v>1613</v>
      </c>
      <c r="AA214" s="82"/>
      <c r="AB214" s="75"/>
      <c r="AC214" s="75"/>
      <c r="AD214" s="166"/>
      <c r="AE214" s="75">
        <v>3.145</v>
      </c>
      <c r="AF214" s="82">
        <v>3</v>
      </c>
      <c r="AG214" s="82">
        <v>1</v>
      </c>
      <c r="AH214" s="82">
        <v>1</v>
      </c>
      <c r="AI214" s="82">
        <v>0.99999999998544808</v>
      </c>
      <c r="AJ214" s="166">
        <v>3.1451099999999999</v>
      </c>
      <c r="AK214" s="82" t="str">
        <v>Base</v>
      </c>
      <c r="AL214" s="162">
        <v>-21</v>
      </c>
      <c r="AM214" s="162">
        <v>-5.0550887932628417</v>
      </c>
      <c r="AN214" s="162">
        <v>-2.6764773556424371</v>
      </c>
      <c r="AO214" s="162">
        <v>84.97011741683842</v>
      </c>
      <c r="AP214" s="162">
        <v>-29.785208788526909</v>
      </c>
      <c r="AQ214" s="162">
        <v>0</v>
      </c>
      <c r="AR214" s="710" t="str">
        <v>1613.par</v>
      </c>
      <c r="AV214" s="82" t="str">
        <v>0,204,0</v>
      </c>
      <c r="AW214" s="947">
        <v>84.97011741683842</v>
      </c>
      <c r="AX214" s="947">
        <v>84.97011741683842</v>
      </c>
      <c r="AY214" s="947">
        <v>0</v>
      </c>
    </row>
    <row r="215" spans="2:51" x14ac:dyDescent="0.25">
      <c r="B215" s="650">
        <v>-0.62172518875826321</v>
      </c>
      <c r="C215" s="651">
        <v>-4.987226499017603</v>
      </c>
      <c r="D215" s="652">
        <v>-1.9999120483712829</v>
      </c>
      <c r="E215" s="653">
        <v>0.81263488385279681</v>
      </c>
      <c r="F215" s="651">
        <v>-0.57537849562887078</v>
      </c>
      <c r="G215" s="654">
        <v>9.2542597291242992E-2</v>
      </c>
      <c r="H215" s="653">
        <v>0.314</v>
      </c>
      <c r="I215" s="920">
        <v>0.52</v>
      </c>
      <c r="J215" s="924">
        <v>4.1379999999999999</v>
      </c>
      <c r="K215" s="790">
        <f>IF($J215="","",IF(IFERROR(INDEX(Settings!$AK$14:$AK$36,MATCH((((ROUND($H215,6)*2)*1000000)+ROUND($I215,6)),Settings!$AI$14:$AI$36,0)),"Undefined")="Undefined","Undefined",IFERROR(INDEX(_xlfn.ANCHORARRAY(Settings!$BC$14),MATCH(IFERROR(INDEX(Settings!$AK$14:$AK$36,MATCH((((ROUND($H215,6)*2)*1000000)+ROUND($I215,6)),Settings!$AI$14:$AI$36,0)),"Undefined"),_xlfn.ANCHORARRAY(Settings!$BC$14),0)),"Inactive")))</f>
        <v>1613</v>
      </c>
      <c r="L215" s="940" t="s">
        <v>420</v>
      </c>
      <c r="M215" s="973">
        <f t="shared" si="1067"/>
        <v>-78.799617313561896</v>
      </c>
      <c r="N215" s="941"/>
      <c r="O215" s="942"/>
      <c r="Q215" s="162">
        <f t="shared" si="1076"/>
        <v>-0.62172518875826321</v>
      </c>
      <c r="R215" s="162">
        <f t="shared" si="1077"/>
        <v>-4.987226499017603</v>
      </c>
      <c r="S215" s="162">
        <f t="shared" si="1078"/>
        <v>-1.9999120483712829</v>
      </c>
      <c r="T215" s="162">
        <f t="shared" si="1079"/>
        <v>0.81263488385279681</v>
      </c>
      <c r="U215" s="162">
        <f t="shared" si="1080"/>
        <v>-0.57537849562887078</v>
      </c>
      <c r="V215" s="162">
        <f t="shared" si="1081"/>
        <v>9.2542597291242992E-2</v>
      </c>
      <c r="W215" s="162">
        <f>IFERROR(IF(ISNUMBER(MATCH($Z215,Settings!$AK$28:$AK$36,0)),INDEX(Settings!$AO$14:$AO$36,MATCH($Z215,Settings!$AK$14:$AK$36,0))/2,INDEX(Settings!$AM$14:$AM$36,MATCH($Z215,Settings!$AK$14:$AK$36,0))/2),"")</f>
        <v>0.3125</v>
      </c>
      <c r="X215" s="162">
        <f t="shared" si="1082"/>
        <v>0.52</v>
      </c>
      <c r="Y215" s="75">
        <v>4.1379999999999999</v>
      </c>
      <c r="Z215" s="917">
        <f t="shared" si="1083"/>
        <v>1613</v>
      </c>
      <c r="AA215" s="82"/>
      <c r="AB215" s="75"/>
      <c r="AC215" s="75"/>
      <c r="AD215" s="166"/>
      <c r="AE215" s="75">
        <v>3.1389999999999998</v>
      </c>
      <c r="AF215" s="82">
        <v>3</v>
      </c>
      <c r="AG215" s="82">
        <v>1</v>
      </c>
      <c r="AH215" s="82">
        <v>1</v>
      </c>
      <c r="AI215" s="82">
        <v>0.9999999999490683</v>
      </c>
      <c r="AJ215" s="166">
        <v>3.1391099999999996</v>
      </c>
      <c r="AK215" s="82" t="str">
        <v>Base</v>
      </c>
      <c r="AL215" s="162">
        <v>-21</v>
      </c>
      <c r="AM215" s="162">
        <v>-5.0256652349223865</v>
      </c>
      <c r="AN215" s="162">
        <v>-1.9222790116503328</v>
      </c>
      <c r="AO215" s="162">
        <v>81.885446807640747</v>
      </c>
      <c r="AP215" s="162">
        <v>-29.118222259814257</v>
      </c>
      <c r="AQ215" s="162">
        <v>0</v>
      </c>
      <c r="AR215" s="710" t="str">
        <v>1613.par</v>
      </c>
      <c r="AV215" s="82" t="str">
        <v>0,204,0</v>
      </c>
      <c r="AW215" s="947">
        <v>81.885446807640747</v>
      </c>
      <c r="AX215" s="947">
        <v>81.885446807640747</v>
      </c>
      <c r="AY215" s="947">
        <v>0</v>
      </c>
    </row>
    <row r="216" spans="2:51" x14ac:dyDescent="0.25">
      <c r="B216" s="650">
        <v>-0.63464222877463128</v>
      </c>
      <c r="C216" s="651">
        <v>-5.0250979083437999</v>
      </c>
      <c r="D216" s="652">
        <v>-2.7577166194415614</v>
      </c>
      <c r="E216" s="653">
        <v>0.79699137125783814</v>
      </c>
      <c r="F216" s="651">
        <v>-0.60241839011964027</v>
      </c>
      <c r="G216" s="654">
        <v>4.3552696658323085E-2</v>
      </c>
      <c r="H216" s="653">
        <v>0.314</v>
      </c>
      <c r="I216" s="920">
        <v>0.52</v>
      </c>
      <c r="J216" s="924">
        <v>4.1440000000000001</v>
      </c>
      <c r="K216" s="790">
        <f>IF($J216="","",IF(IFERROR(INDEX(Settings!$AK$14:$AK$36,MATCH((((ROUND($H216,6)*2)*1000000)+ROUND($I216,6)),Settings!$AI$14:$AI$36,0)),"Undefined")="Undefined","Undefined",IFERROR(INDEX(_xlfn.ANCHORARRAY(Settings!$BC$14),MATCH(IFERROR(INDEX(Settings!$AK$14:$AK$36,MATCH((((ROUND($H216,6)*2)*1000000)+ROUND($I216,6)),Settings!$AI$14:$AI$36,0)),"Undefined"),_xlfn.ANCHORARRAY(Settings!$BC$14),0)),"Inactive")))</f>
        <v>1613</v>
      </c>
      <c r="L216" s="940" t="s">
        <v>420</v>
      </c>
      <c r="M216" s="973">
        <f t="shared" si="1067"/>
        <v>-84.970117416838406</v>
      </c>
      <c r="N216" s="941"/>
      <c r="O216" s="942"/>
      <c r="Q216" s="162">
        <f t="shared" si="1076"/>
        <v>-0.63464222877463128</v>
      </c>
      <c r="R216" s="162">
        <f t="shared" si="1077"/>
        <v>-5.0250979083437999</v>
      </c>
      <c r="S216" s="162">
        <f t="shared" si="1078"/>
        <v>-2.7577166194415614</v>
      </c>
      <c r="T216" s="162">
        <f t="shared" si="1079"/>
        <v>0.79699137125783814</v>
      </c>
      <c r="U216" s="162">
        <f t="shared" si="1080"/>
        <v>-0.60241839011964027</v>
      </c>
      <c r="V216" s="162">
        <f t="shared" si="1081"/>
        <v>4.3552696658323085E-2</v>
      </c>
      <c r="W216" s="162">
        <f>IFERROR(IF(ISNUMBER(MATCH($Z216,Settings!$AK$28:$AK$36,0)),INDEX(Settings!$AO$14:$AO$36,MATCH($Z216,Settings!$AK$14:$AK$36,0))/2,INDEX(Settings!$AM$14:$AM$36,MATCH($Z216,Settings!$AK$14:$AK$36,0))/2),"")</f>
        <v>0.3125</v>
      </c>
      <c r="X216" s="162">
        <f t="shared" si="1082"/>
        <v>0.52</v>
      </c>
      <c r="Y216" s="75">
        <v>4.1440000000000001</v>
      </c>
      <c r="Z216" s="917">
        <f t="shared" si="1083"/>
        <v>1613</v>
      </c>
      <c r="AA216" s="82"/>
      <c r="AB216" s="75"/>
      <c r="AC216" s="75"/>
      <c r="AD216" s="166"/>
      <c r="AE216" s="75">
        <v>3.133</v>
      </c>
      <c r="AF216" s="82">
        <v>3</v>
      </c>
      <c r="AG216" s="82">
        <v>1</v>
      </c>
      <c r="AH216" s="82">
        <v>1</v>
      </c>
      <c r="AI216" s="82">
        <v>0.99999999998544808</v>
      </c>
      <c r="AJ216" s="166">
        <v>3.1331099999999998</v>
      </c>
      <c r="AK216" s="82" t="str">
        <v>Base</v>
      </c>
      <c r="AL216" s="162">
        <v>-21</v>
      </c>
      <c r="AM216" s="162">
        <v>-4.8564048247187852</v>
      </c>
      <c r="AN216" s="162">
        <v>-1.1757630211561374</v>
      </c>
      <c r="AO216" s="162">
        <v>63.345987496311885</v>
      </c>
      <c r="AP216" s="162">
        <v>-25.129745570941751</v>
      </c>
      <c r="AQ216" s="162">
        <v>0</v>
      </c>
      <c r="AR216" s="710" t="str">
        <v>1613.par</v>
      </c>
      <c r="AV216" s="82" t="str">
        <v>0,204,0</v>
      </c>
      <c r="AW216" s="947">
        <v>63.345987496311885</v>
      </c>
      <c r="AX216" s="947">
        <v>63.345987496311885</v>
      </c>
      <c r="AY216" s="947">
        <v>0</v>
      </c>
    </row>
    <row r="217" spans="2:51" x14ac:dyDescent="0.25">
      <c r="B217" s="650">
        <v>-1.3817959091770449</v>
      </c>
      <c r="C217" s="651">
        <v>-3.4197354218450564</v>
      </c>
      <c r="D217" s="652">
        <v>-0.28120491982203843</v>
      </c>
      <c r="E217" s="653">
        <v>-0.12813359435070973</v>
      </c>
      <c r="F217" s="651">
        <v>-0.31711122345876397</v>
      </c>
      <c r="G217" s="654">
        <v>0.93969263802333458</v>
      </c>
      <c r="H217" s="653">
        <v>0.25700000000000001</v>
      </c>
      <c r="I217" s="920">
        <v>0.41499999999999992</v>
      </c>
      <c r="J217" s="924">
        <v>4.22</v>
      </c>
      <c r="K217" s="790" t="str">
        <f>IF($J217="","",IF(IFERROR(INDEX(Settings!$AK$14:$AK$36,MATCH((((ROUND($H217,6)*2)*1000000)+ROUND($I217,6)),Settings!$AI$14:$AI$36,0)),"Undefined")="Undefined","Undefined",IFERROR(INDEX(_xlfn.ANCHORARRAY(Settings!$BC$14),MATCH(IFERROR(INDEX(Settings!$AK$14:$AK$36,MATCH((((ROUND($H217,6)*2)*1000000)+ROUND($I217,6)),Settings!$AI$14:$AI$36,0)),"Undefined"),_xlfn.ANCHORARRAY(Settings!$BC$14),0)),"Inactive")))</f>
        <v>CPS-32193r1</v>
      </c>
      <c r="L217" s="940" t="s">
        <v>423</v>
      </c>
      <c r="M217" s="973">
        <f t="shared" si="1067"/>
        <v>-19.99999711235769</v>
      </c>
      <c r="N217" s="941"/>
      <c r="O217" s="942"/>
      <c r="Q217" s="162">
        <f t="shared" si="1076"/>
        <v>-1.3817959091770449</v>
      </c>
      <c r="R217" s="162">
        <f t="shared" si="1077"/>
        <v>-3.4197354218450564</v>
      </c>
      <c r="S217" s="162">
        <f t="shared" si="1078"/>
        <v>-0.28120491982203843</v>
      </c>
      <c r="T217" s="162">
        <f t="shared" si="1079"/>
        <v>-0.12813359435070973</v>
      </c>
      <c r="U217" s="162">
        <f t="shared" si="1080"/>
        <v>-0.31711122345876397</v>
      </c>
      <c r="V217" s="162">
        <f t="shared" si="1081"/>
        <v>0.93969263802333458</v>
      </c>
      <c r="W217" s="162">
        <f>IFERROR(IF(ISNUMBER(MATCH($Z217,Settings!$AK$28:$AK$36,0)),INDEX(Settings!$AO$14:$AO$36,MATCH($Z217,Settings!$AK$14:$AK$36,0))/2,INDEX(Settings!$AM$14:$AM$36,MATCH($Z217,Settings!$AK$14:$AK$36,0))/2),"")</f>
        <v>0.255</v>
      </c>
      <c r="X217" s="162">
        <f t="shared" si="1082"/>
        <v>0.41499999999999992</v>
      </c>
      <c r="Y217" s="75">
        <v>4.22</v>
      </c>
      <c r="Z217" s="917" t="str">
        <f t="shared" si="1083"/>
        <v>CPS-32193r1</v>
      </c>
      <c r="AA217" s="82"/>
      <c r="AB217" s="75"/>
      <c r="AC217" s="75"/>
      <c r="AD217" s="166"/>
      <c r="AE217" s="75">
        <v>3.1269999999999998</v>
      </c>
      <c r="AF217" s="82">
        <v>3</v>
      </c>
      <c r="AG217" s="82">
        <v>1</v>
      </c>
      <c r="AH217" s="82">
        <v>1</v>
      </c>
      <c r="AI217" s="82">
        <v>0.9999999999490683</v>
      </c>
      <c r="AJ217" s="166">
        <v>3.1271099999999996</v>
      </c>
      <c r="AK217" s="82" t="str">
        <v>Base</v>
      </c>
      <c r="AL217" s="162">
        <v>-21</v>
      </c>
      <c r="AM217" s="162">
        <v>-4.4323083330046469</v>
      </c>
      <c r="AN217" s="162">
        <v>-0.53859911598012844</v>
      </c>
      <c r="AO217" s="162">
        <v>44.722719194276351</v>
      </c>
      <c r="AP217" s="162">
        <v>-21.155897053638178</v>
      </c>
      <c r="AQ217" s="162">
        <v>0</v>
      </c>
      <c r="AR217" s="710" t="str">
        <v>1613.par</v>
      </c>
      <c r="AV217" s="82" t="str">
        <v>0,204,0</v>
      </c>
      <c r="AW217" s="947">
        <v>44.722719194276351</v>
      </c>
      <c r="AX217" s="947">
        <v>44.722719194276351</v>
      </c>
      <c r="AY217" s="947">
        <v>0</v>
      </c>
    </row>
    <row r="218" spans="2:51" x14ac:dyDescent="0.25">
      <c r="B218" s="650">
        <v>-1.5184291916044943</v>
      </c>
      <c r="C218" s="651">
        <v>-4.0386743166618224</v>
      </c>
      <c r="D218" s="652">
        <v>-0.6740116129023761</v>
      </c>
      <c r="E218" s="653">
        <v>-0.2308809968203244</v>
      </c>
      <c r="F218" s="651">
        <v>-0.61409063868050251</v>
      </c>
      <c r="G218" s="654">
        <v>0.75470964800526175</v>
      </c>
      <c r="H218" s="653">
        <v>0.25700000000000001</v>
      </c>
      <c r="I218" s="920">
        <v>0.41499999999999992</v>
      </c>
      <c r="J218" s="924">
        <v>4.226</v>
      </c>
      <c r="K218" s="790" t="str">
        <f>IF($J218="","",IF(IFERROR(INDEX(Settings!$AK$14:$AK$36,MATCH((((ROUND($H218,6)*2)*1000000)+ROUND($I218,6)),Settings!$AI$14:$AI$36,0)),"Undefined")="Undefined","Undefined",IFERROR(INDEX(_xlfn.ANCHORARRAY(Settings!$BC$14),MATCH(IFERROR(INDEX(Settings!$AK$14:$AK$36,MATCH((((ROUND($H218,6)*2)*1000000)+ROUND($I218,6)),Settings!$AI$14:$AI$36,0)),"Undefined"),_xlfn.ANCHORARRAY(Settings!$BC$14),0)),"Inactive")))</f>
        <v>CPS-32193r1</v>
      </c>
      <c r="L218" s="940" t="s">
        <v>423</v>
      </c>
      <c r="M218" s="973">
        <f t="shared" si="1067"/>
        <v>-40.999994080333266</v>
      </c>
      <c r="N218" s="941"/>
      <c r="O218" s="942"/>
      <c r="Q218" s="162">
        <f t="shared" si="1076"/>
        <v>-1.5184291916044943</v>
      </c>
      <c r="R218" s="162">
        <f t="shared" si="1077"/>
        <v>-4.0386743166618224</v>
      </c>
      <c r="S218" s="162">
        <f t="shared" si="1078"/>
        <v>-0.6740116129023761</v>
      </c>
      <c r="T218" s="162">
        <f t="shared" si="1079"/>
        <v>-0.2308809968203244</v>
      </c>
      <c r="U218" s="162">
        <f t="shared" si="1080"/>
        <v>-0.61409063868050251</v>
      </c>
      <c r="V218" s="162">
        <f t="shared" si="1081"/>
        <v>0.75470964800526175</v>
      </c>
      <c r="W218" s="162">
        <f>IFERROR(IF(ISNUMBER(MATCH($Z218,Settings!$AK$28:$AK$36,0)),INDEX(Settings!$AO$14:$AO$36,MATCH($Z218,Settings!$AK$14:$AK$36,0))/2,INDEX(Settings!$AM$14:$AM$36,MATCH($Z218,Settings!$AK$14:$AK$36,0))/2),"")</f>
        <v>0.255</v>
      </c>
      <c r="X218" s="162">
        <f t="shared" si="1082"/>
        <v>0.41499999999999992</v>
      </c>
      <c r="Y218" s="75">
        <v>4.226</v>
      </c>
      <c r="Z218" s="917" t="str">
        <f t="shared" si="1083"/>
        <v>CPS-32193r1</v>
      </c>
      <c r="AA218" s="82"/>
      <c r="AB218" s="75"/>
      <c r="AC218" s="75"/>
      <c r="AD218" s="166"/>
      <c r="AE218" s="75">
        <v>3.121</v>
      </c>
      <c r="AF218" s="82">
        <v>3</v>
      </c>
      <c r="AG218" s="82">
        <v>1</v>
      </c>
      <c r="AH218" s="82">
        <v>1</v>
      </c>
      <c r="AI218" s="82">
        <v>0.99999999998544808</v>
      </c>
      <c r="AJ218" s="166">
        <v>3.1211099999999998</v>
      </c>
      <c r="AK218" s="82" t="str">
        <v>Base</v>
      </c>
      <c r="AL218" s="162">
        <v>-21</v>
      </c>
      <c r="AM218" s="162">
        <v>-3.8085869115984403</v>
      </c>
      <c r="AN218" s="162">
        <v>-9.4053160795900065E-2</v>
      </c>
      <c r="AO218" s="162">
        <v>25.946275176386688</v>
      </c>
      <c r="AP218" s="162">
        <v>-17.203971811334654</v>
      </c>
      <c r="AQ218" s="162">
        <v>0</v>
      </c>
      <c r="AR218" s="710" t="str">
        <v>1613 Ripper.par</v>
      </c>
      <c r="AV218" s="82" t="str">
        <v>0,204,0</v>
      </c>
      <c r="AW218" s="947">
        <v>25.946275176386688</v>
      </c>
      <c r="AX218" s="947">
        <v>25.946275176386688</v>
      </c>
      <c r="AY218" s="947">
        <v>0</v>
      </c>
    </row>
    <row r="219" spans="2:51" x14ac:dyDescent="0.25">
      <c r="B219" s="650">
        <v>-1.6235434139114382</v>
      </c>
      <c r="C219" s="651">
        <v>-4.5000894150190582</v>
      </c>
      <c r="D219" s="652">
        <v>-1.2986389817050208</v>
      </c>
      <c r="E219" s="653">
        <v>-0.29964513295383793</v>
      </c>
      <c r="F219" s="651">
        <v>-0.83054747998324641</v>
      </c>
      <c r="G219" s="654">
        <v>0.46947170073451266</v>
      </c>
      <c r="H219" s="653">
        <v>0.25700000000000001</v>
      </c>
      <c r="I219" s="920">
        <v>0.41499999999999992</v>
      </c>
      <c r="J219" s="924">
        <v>4.2320000000000002</v>
      </c>
      <c r="K219" s="790" t="str">
        <f>IF($J219="","",IF(IFERROR(INDEX(Settings!$AK$14:$AK$36,MATCH((((ROUND($H219,6)*2)*1000000)+ROUND($I219,6)),Settings!$AI$14:$AI$36,0)),"Undefined")="Undefined","Undefined",IFERROR(INDEX(_xlfn.ANCHORARRAY(Settings!$BC$14),MATCH(IFERROR(INDEX(Settings!$AK$14:$AK$36,MATCH((((ROUND($H219,6)*2)*1000000)+ROUND($I219,6)),Settings!$AI$14:$AI$36,0)),"Undefined"),_xlfn.ANCHORARRAY(Settings!$BC$14),0)),"Inactive")))</f>
        <v>CPS-32193r1</v>
      </c>
      <c r="L219" s="940" t="s">
        <v>423</v>
      </c>
      <c r="M219" s="973">
        <f t="shared" si="1067"/>
        <v>-61.99999104830885</v>
      </c>
      <c r="N219" s="941"/>
      <c r="O219" s="942"/>
      <c r="Q219" s="162">
        <f t="shared" si="1076"/>
        <v>-1.6235434139114382</v>
      </c>
      <c r="R219" s="162">
        <f t="shared" si="1077"/>
        <v>-4.5000894150190582</v>
      </c>
      <c r="S219" s="162">
        <f t="shared" si="1078"/>
        <v>-1.2986389817050208</v>
      </c>
      <c r="T219" s="162">
        <f t="shared" si="1079"/>
        <v>-0.29964513295383793</v>
      </c>
      <c r="U219" s="162">
        <f t="shared" si="1080"/>
        <v>-0.83054747998324641</v>
      </c>
      <c r="V219" s="162">
        <f t="shared" si="1081"/>
        <v>0.46947170073451266</v>
      </c>
      <c r="W219" s="162">
        <f>IFERROR(IF(ISNUMBER(MATCH($Z219,Settings!$AK$28:$AK$36,0)),INDEX(Settings!$AO$14:$AO$36,MATCH($Z219,Settings!$AK$14:$AK$36,0))/2,INDEX(Settings!$AM$14:$AM$36,MATCH($Z219,Settings!$AK$14:$AK$36,0))/2),"")</f>
        <v>0.255</v>
      </c>
      <c r="X219" s="162">
        <f t="shared" si="1082"/>
        <v>0.41499999999999992</v>
      </c>
      <c r="Y219" s="75">
        <v>4.2320000000000002</v>
      </c>
      <c r="Z219" s="917" t="str">
        <f t="shared" si="1083"/>
        <v>CPS-32193r1</v>
      </c>
      <c r="AA219" s="82"/>
      <c r="AB219" s="75"/>
      <c r="AC219" s="75"/>
      <c r="AD219" s="166"/>
      <c r="AE219" s="75">
        <v>3.1150000000000002</v>
      </c>
      <c r="AF219" s="82">
        <v>3</v>
      </c>
      <c r="AG219" s="82">
        <v>1</v>
      </c>
      <c r="AH219" s="82">
        <v>1</v>
      </c>
      <c r="AI219" s="82">
        <v>1.0000000000218279</v>
      </c>
      <c r="AJ219" s="166">
        <v>3.11511</v>
      </c>
      <c r="AK219" s="82" t="str">
        <v>Base</v>
      </c>
      <c r="AL219" s="162">
        <v>-21</v>
      </c>
      <c r="AM219" s="162">
        <v>-3.0667945084187682</v>
      </c>
      <c r="AN219" s="162">
        <v>9.9286190536741953E-2</v>
      </c>
      <c r="AO219" s="162">
        <v>7.1077563806310833</v>
      </c>
      <c r="AP219" s="162">
        <v>-15.551478149906009</v>
      </c>
      <c r="AQ219" s="162">
        <v>0</v>
      </c>
      <c r="AR219" s="710" t="str">
        <v>1613 Ripper.par</v>
      </c>
      <c r="AV219" s="82" t="str">
        <v>0,204,0</v>
      </c>
      <c r="AW219" s="947">
        <v>7.1077563806310833</v>
      </c>
      <c r="AX219" s="947">
        <v>7.1077563806310833</v>
      </c>
      <c r="AY219" s="947">
        <v>0</v>
      </c>
    </row>
    <row r="220" spans="2:51" x14ac:dyDescent="0.25">
      <c r="B220" s="650">
        <v>-1.6728634681730195</v>
      </c>
      <c r="C220" s="651">
        <v>-4.6972465887168084</v>
      </c>
      <c r="D220" s="652">
        <v>-2.0285278777360891</v>
      </c>
      <c r="E220" s="653">
        <v>-0.33299517787717076</v>
      </c>
      <c r="F220" s="651">
        <v>-0.9350197987472042</v>
      </c>
      <c r="G220" s="654">
        <v>0.12186955100142652</v>
      </c>
      <c r="H220" s="653">
        <v>0.25700000000000001</v>
      </c>
      <c r="I220" s="920">
        <v>0.41499999999999992</v>
      </c>
      <c r="J220" s="924">
        <v>4.2380000000000004</v>
      </c>
      <c r="K220" s="790" t="str">
        <f>IF($J220="","",IF(IFERROR(INDEX(Settings!$AK$14:$AK$36,MATCH((((ROUND($H220,6)*2)*1000000)+ROUND($I220,6)),Settings!$AI$14:$AI$36,0)),"Undefined")="Undefined","Undefined",IFERROR(INDEX(_xlfn.ANCHORARRAY(Settings!$BC$14),MATCH(IFERROR(INDEX(Settings!$AK$14:$AK$36,MATCH((((ROUND($H220,6)*2)*1000000)+ROUND($I220,6)),Settings!$AI$14:$AI$36,0)),"Undefined"),_xlfn.ANCHORARRAY(Settings!$BC$14),0)),"Inactive")))</f>
        <v>CPS-32193r1</v>
      </c>
      <c r="L220" s="940" t="s">
        <v>423</v>
      </c>
      <c r="M220" s="973">
        <f t="shared" si="1067"/>
        <v>-82.999988016284419</v>
      </c>
      <c r="N220" s="941"/>
      <c r="O220" s="942"/>
      <c r="Q220" s="162">
        <f t="shared" si="1076"/>
        <v>-1.6728634681730195</v>
      </c>
      <c r="R220" s="162">
        <f t="shared" si="1077"/>
        <v>-4.6972465887168084</v>
      </c>
      <c r="S220" s="162">
        <f t="shared" si="1078"/>
        <v>-2.0285278777360891</v>
      </c>
      <c r="T220" s="162">
        <f t="shared" si="1079"/>
        <v>-0.33299517787717076</v>
      </c>
      <c r="U220" s="162">
        <f t="shared" si="1080"/>
        <v>-0.9350197987472042</v>
      </c>
      <c r="V220" s="162">
        <f t="shared" si="1081"/>
        <v>0.12186955100142652</v>
      </c>
      <c r="W220" s="162">
        <f>IFERROR(IF(ISNUMBER(MATCH($Z220,Settings!$AK$28:$AK$36,0)),INDEX(Settings!$AO$14:$AO$36,MATCH($Z220,Settings!$AK$14:$AK$36,0))/2,INDEX(Settings!$AM$14:$AM$36,MATCH($Z220,Settings!$AK$14:$AK$36,0))/2),"")</f>
        <v>0.255</v>
      </c>
      <c r="X220" s="162">
        <f t="shared" si="1082"/>
        <v>0.41499999999999992</v>
      </c>
      <c r="Y220" s="75">
        <v>4.2380000000000004</v>
      </c>
      <c r="Z220" s="917" t="str">
        <f t="shared" si="1083"/>
        <v>CPS-32193r1</v>
      </c>
      <c r="AA220" s="82"/>
      <c r="AB220" s="75"/>
      <c r="AC220" s="75"/>
      <c r="AD220" s="166"/>
      <c r="AE220" s="75">
        <v>3.109</v>
      </c>
      <c r="AF220" s="82">
        <v>3</v>
      </c>
      <c r="AG220" s="82">
        <v>1</v>
      </c>
      <c r="AH220" s="82">
        <v>1</v>
      </c>
      <c r="AI220" s="82">
        <v>0.99999999998544808</v>
      </c>
      <c r="AJ220" s="166">
        <v>3.1091099999999998</v>
      </c>
      <c r="AK220" s="82" t="str">
        <v>Base</v>
      </c>
      <c r="AL220" s="162">
        <v>-21</v>
      </c>
      <c r="AM220" s="162">
        <v>-2.3048937266229794</v>
      </c>
      <c r="AN220" s="162">
        <v>1.7253747394183006E-2</v>
      </c>
      <c r="AO220" s="162">
        <v>-11.754573914654843</v>
      </c>
      <c r="AP220" s="162">
        <v>-15.090629431527974</v>
      </c>
      <c r="AQ220" s="162">
        <v>0</v>
      </c>
      <c r="AR220" s="710" t="str">
        <v>1613 Ripper.par</v>
      </c>
      <c r="AV220" s="82" t="str">
        <v>0,204,0</v>
      </c>
      <c r="AW220" s="947">
        <v>-11.754573914654843</v>
      </c>
      <c r="AX220" s="947">
        <v>-11.754573914654843</v>
      </c>
      <c r="AY220" s="947">
        <v>0</v>
      </c>
    </row>
    <row r="221" spans="2:51" x14ac:dyDescent="0.25">
      <c r="B221" s="650">
        <v>-1.6839692611181216</v>
      </c>
      <c r="C221" s="651">
        <v>-4.7300561551938678</v>
      </c>
      <c r="D221" s="652">
        <v>-2.782242554641229</v>
      </c>
      <c r="E221" s="653">
        <v>-0.33539359772687627</v>
      </c>
      <c r="F221" s="651">
        <v>-0.94207809368638384</v>
      </c>
      <c r="G221" s="654">
        <v>2.2679489686261436E-7</v>
      </c>
      <c r="H221" s="653">
        <v>0.25700000000000001</v>
      </c>
      <c r="I221" s="920">
        <v>0.41499999999999992</v>
      </c>
      <c r="J221" s="924">
        <v>4.2439999999999998</v>
      </c>
      <c r="K221" s="790" t="str">
        <f>IF($J221="","",IF(IFERROR(INDEX(Settings!$AK$14:$AK$36,MATCH((((ROUND($H221,6)*2)*1000000)+ROUND($I221,6)),Settings!$AI$14:$AI$36,0)),"Undefined")="Undefined","Undefined",IFERROR(INDEX(_xlfn.ANCHORARRAY(Settings!$BC$14),MATCH(IFERROR(INDEX(Settings!$AK$14:$AK$36,MATCH((((ROUND($H221,6)*2)*1000000)+ROUND($I221,6)),Settings!$AI$14:$AI$36,0)),"Undefined"),_xlfn.ANCHORARRAY(Settings!$BC$14),0)),"Inactive")))</f>
        <v>CPS-32193r1</v>
      </c>
      <c r="L221" s="940" t="s">
        <v>423</v>
      </c>
      <c r="M221" s="973">
        <f t="shared" si="1067"/>
        <v>-89.999987005609597</v>
      </c>
      <c r="N221" s="941"/>
      <c r="O221" s="942"/>
      <c r="Q221" s="162">
        <f t="shared" si="1076"/>
        <v>-1.6839692611181216</v>
      </c>
      <c r="R221" s="162">
        <f t="shared" si="1077"/>
        <v>-4.7300561551938678</v>
      </c>
      <c r="S221" s="162">
        <f t="shared" si="1078"/>
        <v>-2.782242554641229</v>
      </c>
      <c r="T221" s="162">
        <f t="shared" si="1079"/>
        <v>-0.33539359772687627</v>
      </c>
      <c r="U221" s="162">
        <f t="shared" si="1080"/>
        <v>-0.94207809368638384</v>
      </c>
      <c r="V221" s="162">
        <f t="shared" si="1081"/>
        <v>2.2679489686261436E-7</v>
      </c>
      <c r="W221" s="162">
        <f>IFERROR(IF(ISNUMBER(MATCH($Z221,Settings!$AK$28:$AK$36,0)),INDEX(Settings!$AO$14:$AO$36,MATCH($Z221,Settings!$AK$14:$AK$36,0))/2,INDEX(Settings!$AM$14:$AM$36,MATCH($Z221,Settings!$AK$14:$AK$36,0))/2),"")</f>
        <v>0.255</v>
      </c>
      <c r="X221" s="162">
        <f t="shared" si="1082"/>
        <v>0.41499999999999992</v>
      </c>
      <c r="Y221" s="75">
        <v>4.2439999999999998</v>
      </c>
      <c r="Z221" s="917" t="str">
        <f t="shared" si="1083"/>
        <v>CPS-32193r1</v>
      </c>
      <c r="AA221" s="82"/>
      <c r="AB221" s="75"/>
      <c r="AC221" s="75"/>
      <c r="AD221" s="166"/>
      <c r="AE221" s="75">
        <v>3.1059999999999999</v>
      </c>
      <c r="AF221" s="82">
        <v>3</v>
      </c>
      <c r="AG221" s="82">
        <v>1</v>
      </c>
      <c r="AH221" s="82">
        <v>1</v>
      </c>
      <c r="AI221" s="82">
        <v>0.99999999998544808</v>
      </c>
      <c r="AJ221" s="166">
        <v>3.1061099999999997</v>
      </c>
      <c r="AK221" s="82" t="str">
        <v>Base</v>
      </c>
      <c r="AL221" s="162">
        <v>-21</v>
      </c>
      <c r="AM221" s="162">
        <v>-1.6077246308135538</v>
      </c>
      <c r="AN221" s="162">
        <v>-0.16925813675856688</v>
      </c>
      <c r="AO221" s="162">
        <v>-12.508515021959289</v>
      </c>
      <c r="AP221" s="162">
        <v>-15.134396576192788</v>
      </c>
      <c r="AQ221" s="162">
        <v>0</v>
      </c>
      <c r="AR221" s="710" t="str">
        <v>1613 Ripper.par</v>
      </c>
      <c r="AV221" s="82" t="str">
        <v>0,204,0</v>
      </c>
      <c r="AW221" s="947">
        <v>-12.508515021959289</v>
      </c>
      <c r="AX221" s="947">
        <v>-12.508515021959289</v>
      </c>
      <c r="AY221" s="947">
        <v>0</v>
      </c>
    </row>
    <row r="222" spans="2:51" x14ac:dyDescent="0.25">
      <c r="B222" s="650">
        <v>-1.4154041309157765</v>
      </c>
      <c r="C222" s="651">
        <v>-4.9360931109572173</v>
      </c>
      <c r="D222" s="652">
        <v>-9.5000286520864137</v>
      </c>
      <c r="E222" s="653">
        <v>0.56188434598387349</v>
      </c>
      <c r="F222" s="651">
        <v>-0.81965068301290056</v>
      </c>
      <c r="G222" s="654">
        <v>-0.11161872412261628</v>
      </c>
      <c r="H222" s="653">
        <v>0.26600000000000001</v>
      </c>
      <c r="I222" s="920">
        <v>0.52</v>
      </c>
      <c r="J222" s="924">
        <v>4.25</v>
      </c>
      <c r="K222" s="790">
        <f>IF($J222="","",IF(IFERROR(INDEX(Settings!$AK$14:$AK$36,MATCH((((ROUND($H222,6)*2)*1000000)+ROUND($I222,6)),Settings!$AI$14:$AI$36,0)),"Undefined")="Undefined","Undefined",IFERROR(INDEX(_xlfn.ANCHORARRAY(Settings!$BC$14),MATCH(IFERROR(INDEX(Settings!$AK$14:$AK$36,MATCH((((ROUND($H222,6)*2)*1000000)+ROUND($I222,6)),Settings!$AI$14:$AI$36,0)),"Undefined"),_xlfn.ANCHORARRAY(Settings!$BC$14),0)),"Inactive")))</f>
        <v>1313</v>
      </c>
      <c r="L222" s="940" t="s">
        <v>424</v>
      </c>
      <c r="M222" s="973">
        <f t="shared" si="1067"/>
        <v>-100.03561890671628</v>
      </c>
      <c r="N222" s="941"/>
      <c r="O222" s="942"/>
      <c r="Q222" s="162">
        <f t="shared" si="1076"/>
        <v>-1.4154041309157765</v>
      </c>
      <c r="R222" s="162">
        <f t="shared" si="1077"/>
        <v>-4.9360931109572173</v>
      </c>
      <c r="S222" s="162">
        <f t="shared" si="1078"/>
        <v>-9.5000286520864137</v>
      </c>
      <c r="T222" s="162">
        <f t="shared" si="1079"/>
        <v>0.56188434598387349</v>
      </c>
      <c r="U222" s="162">
        <f t="shared" si="1080"/>
        <v>-0.81965068301290056</v>
      </c>
      <c r="V222" s="162">
        <f t="shared" si="1081"/>
        <v>-0.11161872412261628</v>
      </c>
      <c r="W222" s="162">
        <f>IFERROR(IF(ISNUMBER(MATCH($Z222,Settings!$AK$28:$AK$36,0)),INDEX(Settings!$AO$14:$AO$36,MATCH($Z222,Settings!$AK$14:$AK$36,0))/2,INDEX(Settings!$AM$14:$AM$36,MATCH($Z222,Settings!$AK$14:$AK$36,0))/2),"")</f>
        <v>0.26450000000000001</v>
      </c>
      <c r="X222" s="162">
        <f t="shared" si="1082"/>
        <v>0.52</v>
      </c>
      <c r="Y222" s="75">
        <v>4.25</v>
      </c>
      <c r="Z222" s="917">
        <f t="shared" si="1083"/>
        <v>1313</v>
      </c>
      <c r="AA222" s="82"/>
      <c r="AB222" s="75"/>
      <c r="AC222" s="75"/>
      <c r="AD222" s="166"/>
      <c r="AE222" s="75">
        <v>3.1030000000000002</v>
      </c>
      <c r="AF222" s="82">
        <v>3</v>
      </c>
      <c r="AG222" s="82">
        <v>1</v>
      </c>
      <c r="AH222" s="82">
        <v>1</v>
      </c>
      <c r="AI222" s="82">
        <v>0.99999999998544808</v>
      </c>
      <c r="AJ222" s="166">
        <v>3.10311</v>
      </c>
      <c r="AK222" s="82" t="str">
        <v>Base</v>
      </c>
      <c r="AL222" s="162">
        <v>-21</v>
      </c>
      <c r="AM222" s="162">
        <v>-0.86547604771679154</v>
      </c>
      <c r="AN222" s="162">
        <v>-0.36767898609743388</v>
      </c>
      <c r="AO222" s="162">
        <v>-14.302653650703496</v>
      </c>
      <c r="AP222" s="162">
        <v>-16.268123573021061</v>
      </c>
      <c r="AQ222" s="162">
        <v>0</v>
      </c>
      <c r="AR222" s="710" t="str">
        <v>1613.par</v>
      </c>
      <c r="AV222" s="82" t="str">
        <v>0,204,0</v>
      </c>
      <c r="AW222" s="947">
        <v>-14.302653650703496</v>
      </c>
      <c r="AX222" s="947">
        <v>-14.302653650703496</v>
      </c>
      <c r="AY222" s="947">
        <v>0</v>
      </c>
    </row>
    <row r="223" spans="2:51" x14ac:dyDescent="0.25">
      <c r="B223" s="650">
        <v>-0.52542096527234461</v>
      </c>
      <c r="C223" s="651">
        <v>-0.30335151204810706</v>
      </c>
      <c r="D223" s="652">
        <v>-0.60230363309003598</v>
      </c>
      <c r="E223" s="653">
        <v>0.52207924620628954</v>
      </c>
      <c r="F223" s="651">
        <v>-0.79983493493255087</v>
      </c>
      <c r="G223" s="654">
        <v>0.29613736262436513</v>
      </c>
      <c r="H223" s="653">
        <v>0.314</v>
      </c>
      <c r="I223" s="920">
        <v>0.52</v>
      </c>
      <c r="J223" s="924">
        <v>5.1020000000000003</v>
      </c>
      <c r="K223" s="790">
        <f>IF($J223="","",IF(IFERROR(INDEX(Settings!$AK$14:$AK$36,MATCH((((ROUND($H223,6)*2)*1000000)+ROUND($I223,6)),Settings!$AI$14:$AI$36,0)),"Undefined")="Undefined","Undefined",IFERROR(INDEX(_xlfn.ANCHORARRAY(Settings!$BC$14),MATCH(IFERROR(INDEX(Settings!$AK$14:$AK$36,MATCH((((ROUND($H223,6)*2)*1000000)+ROUND($I223,6)),Settings!$AI$14:$AI$36,0)),"Undefined"),_xlfn.ANCHORARRAY(Settings!$BC$14),0)),"Inactive")))</f>
        <v>1613</v>
      </c>
      <c r="L223" s="940" t="s">
        <v>420</v>
      </c>
      <c r="M223" s="973">
        <f t="shared" si="1067"/>
        <v>15.496960293563548</v>
      </c>
      <c r="N223" s="941"/>
      <c r="O223" s="942"/>
      <c r="Q223" s="162">
        <f t="shared" si="1076"/>
        <v>-0.52542096527234461</v>
      </c>
      <c r="R223" s="162">
        <f t="shared" si="1077"/>
        <v>-0.30335151204810706</v>
      </c>
      <c r="S223" s="162">
        <f t="shared" si="1078"/>
        <v>-0.60230363309003598</v>
      </c>
      <c r="T223" s="162">
        <f t="shared" si="1079"/>
        <v>0.52207924620628954</v>
      </c>
      <c r="U223" s="162">
        <f t="shared" si="1080"/>
        <v>-0.79983493493255087</v>
      </c>
      <c r="V223" s="162">
        <f t="shared" si="1081"/>
        <v>0.29613736262436513</v>
      </c>
      <c r="W223" s="162">
        <f>IFERROR(IF(ISNUMBER(MATCH($Z223,Settings!$AK$28:$AK$36,0)),INDEX(Settings!$AO$14:$AO$36,MATCH($Z223,Settings!$AK$14:$AK$36,0))/2,INDEX(Settings!$AM$14:$AM$36,MATCH($Z223,Settings!$AK$14:$AK$36,0))/2),"")</f>
        <v>0.3125</v>
      </c>
      <c r="X223" s="162">
        <f t="shared" si="1082"/>
        <v>0.52</v>
      </c>
      <c r="Y223" s="75">
        <v>5.1020000000000003</v>
      </c>
      <c r="Z223" s="917">
        <f t="shared" si="1083"/>
        <v>1613</v>
      </c>
      <c r="AA223" s="82"/>
      <c r="AB223" s="75"/>
      <c r="AC223" s="75"/>
      <c r="AD223" s="166"/>
      <c r="AE223" s="75">
        <v>2.2519999999999998</v>
      </c>
      <c r="AF223" s="82">
        <v>2</v>
      </c>
      <c r="AG223" s="82">
        <v>2</v>
      </c>
      <c r="AH223" s="82">
        <v>1</v>
      </c>
      <c r="AI223" s="82">
        <v>0.9999999999490683</v>
      </c>
      <c r="AJ223" s="166">
        <v>2.2521099999999996</v>
      </c>
      <c r="AK223" s="82" t="str">
        <v>Base</v>
      </c>
      <c r="AL223" s="162">
        <v>-20.25</v>
      </c>
      <c r="AM223" s="162">
        <v>-5.1223779559634774</v>
      </c>
      <c r="AN223" s="162">
        <v>-9.565772961019869</v>
      </c>
      <c r="AO223" s="162">
        <v>100.03561890671624</v>
      </c>
      <c r="AP223" s="162">
        <v>-39.831236627249659</v>
      </c>
      <c r="AQ223" s="162">
        <v>0</v>
      </c>
      <c r="AR223" s="710" t="str">
        <v>1313.par</v>
      </c>
      <c r="AV223" s="82" t="str">
        <v>255,255,91</v>
      </c>
      <c r="AW223" s="947">
        <v>100.03561890671624</v>
      </c>
      <c r="AX223" s="947">
        <v>100.03561890671624</v>
      </c>
      <c r="AY223" s="947">
        <v>0</v>
      </c>
    </row>
    <row r="224" spans="2:51" x14ac:dyDescent="0.25">
      <c r="B224" s="650">
        <v>-1.1814393947989663</v>
      </c>
      <c r="C224" s="651">
        <v>-0.68210339992752245</v>
      </c>
      <c r="D224" s="652">
        <v>-0.39930240858849636</v>
      </c>
      <c r="E224" s="653">
        <v>0.52188458828136786</v>
      </c>
      <c r="F224" s="651">
        <v>-0.81404491809935031</v>
      </c>
      <c r="G224" s="654">
        <v>0.25488693146375618</v>
      </c>
      <c r="H224" s="653">
        <v>0.314</v>
      </c>
      <c r="I224" s="920">
        <v>0.52</v>
      </c>
      <c r="J224" s="924">
        <v>5.1050000000000004</v>
      </c>
      <c r="K224" s="790">
        <f>IF($J224="","",IF(IFERROR(INDEX(Settings!$AK$14:$AK$36,MATCH((((ROUND($H224,6)*2)*1000000)+ROUND($I224,6)),Settings!$AI$14:$AI$36,0)),"Undefined")="Undefined","Undefined",IFERROR(INDEX(_xlfn.ANCHORARRAY(Settings!$BC$14),MATCH(IFERROR(INDEX(Settings!$AK$14:$AK$36,MATCH((((ROUND($H224,6)*2)*1000000)+ROUND($I224,6)),Settings!$AI$14:$AI$36,0)),"Undefined"),_xlfn.ANCHORARRAY(Settings!$BC$14),0)),"Inactive")))</f>
        <v>1613</v>
      </c>
      <c r="L224" s="940" t="s">
        <v>422</v>
      </c>
      <c r="M224" s="973">
        <f t="shared" si="1067"/>
        <v>12.949138827495569</v>
      </c>
      <c r="N224" s="941"/>
      <c r="O224" s="942"/>
      <c r="Q224" s="162">
        <f t="shared" si="1076"/>
        <v>-1.1814393947989663</v>
      </c>
      <c r="R224" s="162">
        <f t="shared" si="1077"/>
        <v>-0.68210339992752245</v>
      </c>
      <c r="S224" s="162">
        <f t="shared" si="1078"/>
        <v>-0.39930240858849636</v>
      </c>
      <c r="T224" s="162">
        <f t="shared" si="1079"/>
        <v>0.52188458828136786</v>
      </c>
      <c r="U224" s="162">
        <f t="shared" si="1080"/>
        <v>-0.81404491809935031</v>
      </c>
      <c r="V224" s="162">
        <f t="shared" si="1081"/>
        <v>0.25488693146375618</v>
      </c>
      <c r="W224" s="162">
        <f>IFERROR(IF(ISNUMBER(MATCH($Z224,Settings!$AK$28:$AK$36,0)),INDEX(Settings!$AO$14:$AO$36,MATCH($Z224,Settings!$AK$14:$AK$36,0))/2,INDEX(Settings!$AM$14:$AM$36,MATCH($Z224,Settings!$AK$14:$AK$36,0))/2),"")</f>
        <v>0.3125</v>
      </c>
      <c r="X224" s="162">
        <f t="shared" si="1082"/>
        <v>0.52</v>
      </c>
      <c r="Y224" s="75">
        <v>5.1050000000000004</v>
      </c>
      <c r="Z224" s="917">
        <f t="shared" si="1083"/>
        <v>1613</v>
      </c>
      <c r="AA224" s="82"/>
      <c r="AB224" s="75"/>
      <c r="AC224" s="75"/>
      <c r="AD224" s="166"/>
      <c r="AE224" s="75">
        <v>2.246</v>
      </c>
      <c r="AF224" s="82">
        <v>2</v>
      </c>
      <c r="AG224" s="82">
        <v>2</v>
      </c>
      <c r="AH224" s="82">
        <v>1</v>
      </c>
      <c r="AI224" s="82">
        <v>0.99999999998544808</v>
      </c>
      <c r="AJ224" s="166">
        <v>2.2461099999999998</v>
      </c>
      <c r="AK224" s="82" t="str">
        <v>Base</v>
      </c>
      <c r="AL224" s="162">
        <v>-20.25</v>
      </c>
      <c r="AM224" s="162">
        <v>-5.0208747946625891</v>
      </c>
      <c r="AN224" s="162">
        <v>-2.9270191800870156</v>
      </c>
      <c r="AO224" s="162">
        <v>89.999987005609626</v>
      </c>
      <c r="AP224" s="162">
        <v>0</v>
      </c>
      <c r="AQ224" s="162">
        <v>0</v>
      </c>
      <c r="AR224" s="710" t="str">
        <v>32193r1.par</v>
      </c>
      <c r="AV224" s="82" t="str">
        <v>255,255,91</v>
      </c>
      <c r="AW224" s="947">
        <v>89.999987005609626</v>
      </c>
      <c r="AX224" s="947">
        <v>89.999987005609626</v>
      </c>
      <c r="AY224" s="947">
        <v>0</v>
      </c>
    </row>
    <row r="225" spans="2:51" x14ac:dyDescent="0.25">
      <c r="B225" s="650">
        <v>-1.7983132262865056</v>
      </c>
      <c r="C225" s="651">
        <v>-1.0382551751572342</v>
      </c>
      <c r="D225" s="652">
        <v>-0.20850125767768982</v>
      </c>
      <c r="E225" s="653">
        <v>0.52188458828136786</v>
      </c>
      <c r="F225" s="651">
        <v>-0.81404491809934998</v>
      </c>
      <c r="G225" s="654">
        <v>0.25488693146375652</v>
      </c>
      <c r="H225" s="653">
        <v>0.314</v>
      </c>
      <c r="I225" s="920">
        <v>0.52</v>
      </c>
      <c r="J225" s="924">
        <v>5.1079999999999997</v>
      </c>
      <c r="K225" s="790">
        <f>IF($J225="","",IF(IFERROR(INDEX(Settings!$AK$14:$AK$36,MATCH((((ROUND($H225,6)*2)*1000000)+ROUND($I225,6)),Settings!$AI$14:$AI$36,0)),"Undefined")="Undefined","Undefined",IFERROR(INDEX(_xlfn.ANCHORARRAY(Settings!$BC$14),MATCH(IFERROR(INDEX(Settings!$AK$14:$AK$36,MATCH((((ROUND($H225,6)*2)*1000000)+ROUND($I225,6)),Settings!$AI$14:$AI$36,0)),"Undefined"),_xlfn.ANCHORARRAY(Settings!$BC$14),0)),"Inactive")))</f>
        <v>1613</v>
      </c>
      <c r="L225" s="940" t="s">
        <v>422</v>
      </c>
      <c r="M225" s="973">
        <f t="shared" si="1067"/>
        <v>11.945289726695552</v>
      </c>
      <c r="N225" s="941"/>
      <c r="O225" s="942"/>
      <c r="Q225" s="162">
        <f t="shared" si="1076"/>
        <v>-1.7983132262865056</v>
      </c>
      <c r="R225" s="162">
        <f t="shared" si="1077"/>
        <v>-1.0382551751572342</v>
      </c>
      <c r="S225" s="162">
        <f t="shared" si="1078"/>
        <v>-0.20850125767768982</v>
      </c>
      <c r="T225" s="162">
        <f t="shared" si="1079"/>
        <v>0.52188458828136786</v>
      </c>
      <c r="U225" s="162">
        <f t="shared" si="1080"/>
        <v>-0.81404491809934998</v>
      </c>
      <c r="V225" s="162">
        <f t="shared" si="1081"/>
        <v>0.25488693146375652</v>
      </c>
      <c r="W225" s="162">
        <f>IFERROR(IF(ISNUMBER(MATCH($Z225,Settings!$AK$28:$AK$36,0)),INDEX(Settings!$AO$14:$AO$36,MATCH($Z225,Settings!$AK$14:$AK$36,0))/2,INDEX(Settings!$AM$14:$AM$36,MATCH($Z225,Settings!$AK$14:$AK$36,0))/2),"")</f>
        <v>0.3125</v>
      </c>
      <c r="X225" s="162">
        <f t="shared" si="1082"/>
        <v>0.52</v>
      </c>
      <c r="Y225" s="75">
        <v>5.1079999999999997</v>
      </c>
      <c r="Z225" s="917">
        <f t="shared" si="1083"/>
        <v>1613</v>
      </c>
      <c r="AA225" s="82"/>
      <c r="AB225" s="75"/>
      <c r="AC225" s="75"/>
      <c r="AD225" s="166"/>
      <c r="AE225" s="75">
        <v>2.2400000000000002</v>
      </c>
      <c r="AF225" s="82">
        <v>2</v>
      </c>
      <c r="AG225" s="82">
        <v>2</v>
      </c>
      <c r="AH225" s="82">
        <v>1</v>
      </c>
      <c r="AI225" s="82">
        <v>1.0000000000218279</v>
      </c>
      <c r="AJ225" s="166">
        <v>2.24011</v>
      </c>
      <c r="AK225" s="82" t="str">
        <v>Base</v>
      </c>
      <c r="AL225" s="162">
        <v>-20.25</v>
      </c>
      <c r="AM225" s="162">
        <v>-4.9927899012947679</v>
      </c>
      <c r="AN225" s="162">
        <v>-2.1756369363509043</v>
      </c>
      <c r="AO225" s="162">
        <v>89.999987005609611</v>
      </c>
      <c r="AP225" s="162">
        <v>0</v>
      </c>
      <c r="AQ225" s="162">
        <v>0</v>
      </c>
      <c r="AR225" s="710" t="str">
        <v>32193r1.par</v>
      </c>
      <c r="AV225" s="82" t="str">
        <v>255,255,91</v>
      </c>
      <c r="AW225" s="947">
        <v>89.999987005609611</v>
      </c>
      <c r="AX225" s="947">
        <v>89.999987005609611</v>
      </c>
      <c r="AY225" s="947">
        <v>0</v>
      </c>
    </row>
    <row r="226" spans="2:51" x14ac:dyDescent="0.25">
      <c r="B226" s="650">
        <v>-2.433546913491492</v>
      </c>
      <c r="C226" s="651">
        <v>-1.4050070032226485</v>
      </c>
      <c r="D226" s="652">
        <v>-6.200037398569206E-2</v>
      </c>
      <c r="E226" s="653">
        <v>0.4729859531345994</v>
      </c>
      <c r="F226" s="651">
        <v>-0.84016292650000401</v>
      </c>
      <c r="G226" s="654">
        <v>0.26534985410266115</v>
      </c>
      <c r="H226" s="653">
        <v>0.314</v>
      </c>
      <c r="I226" s="920">
        <v>0.52</v>
      </c>
      <c r="J226" s="924">
        <v>5.1130000000000004</v>
      </c>
      <c r="K226" s="790">
        <f>IF($J226="","",IF(IFERROR(INDEX(Settings!$AK$14:$AK$36,MATCH((((ROUND($H226,6)*2)*1000000)+ROUND($I226,6)),Settings!$AI$14:$AI$36,0)),"Undefined")="Undefined","Undefined",IFERROR(INDEX(_xlfn.ANCHORARRAY(Settings!$BC$14),MATCH(IFERROR(INDEX(Settings!$AK$14:$AK$36,MATCH((((ROUND($H226,6)*2)*1000000)+ROUND($I226,6)),Settings!$AI$14:$AI$36,0)),"Undefined"),_xlfn.ANCHORARRAY(Settings!$BC$14),0)),"Inactive")))</f>
        <v>1613</v>
      </c>
      <c r="L226" s="940" t="s">
        <v>422</v>
      </c>
      <c r="M226" s="973">
        <f t="shared" si="1067"/>
        <v>-0.8306004126858153</v>
      </c>
      <c r="N226" s="941"/>
      <c r="O226" s="942"/>
      <c r="Q226" s="162">
        <f t="shared" si="1076"/>
        <v>-2.433546913491492</v>
      </c>
      <c r="R226" s="162">
        <f t="shared" si="1077"/>
        <v>-1.4050070032226485</v>
      </c>
      <c r="S226" s="162">
        <f t="shared" si="1078"/>
        <v>-6.200037398569206E-2</v>
      </c>
      <c r="T226" s="162">
        <f t="shared" si="1079"/>
        <v>0.4729859531345994</v>
      </c>
      <c r="U226" s="162">
        <f t="shared" si="1080"/>
        <v>-0.84016292650000401</v>
      </c>
      <c r="V226" s="162">
        <f t="shared" si="1081"/>
        <v>0.26534985410266115</v>
      </c>
      <c r="W226" s="162">
        <f>IFERROR(IF(ISNUMBER(MATCH($Z226,Settings!$AK$28:$AK$36,0)),INDEX(Settings!$AO$14:$AO$36,MATCH($Z226,Settings!$AK$14:$AK$36,0))/2,INDEX(Settings!$AM$14:$AM$36,MATCH($Z226,Settings!$AK$14:$AK$36,0))/2),"")</f>
        <v>0.3125</v>
      </c>
      <c r="X226" s="162">
        <f t="shared" si="1082"/>
        <v>0.52</v>
      </c>
      <c r="Y226" s="75">
        <v>5.1130000000000004</v>
      </c>
      <c r="Z226" s="917">
        <f t="shared" si="1083"/>
        <v>1613</v>
      </c>
      <c r="AA226" s="82"/>
      <c r="AB226" s="75"/>
      <c r="AC226" s="75"/>
      <c r="AD226" s="166"/>
      <c r="AE226" s="75">
        <v>2.234</v>
      </c>
      <c r="AF226" s="82">
        <v>2</v>
      </c>
      <c r="AG226" s="82">
        <v>2</v>
      </c>
      <c r="AH226" s="82">
        <v>1</v>
      </c>
      <c r="AI226" s="82">
        <v>0.99999999998544808</v>
      </c>
      <c r="AJ226" s="166">
        <v>2.2341099999999998</v>
      </c>
      <c r="AK226" s="82" t="str">
        <v>Base</v>
      </c>
      <c r="AL226" s="162">
        <v>-20.25</v>
      </c>
      <c r="AM226" s="162">
        <v>-4.8811717254525888</v>
      </c>
      <c r="AN226" s="162">
        <v>-1.4268780515480219</v>
      </c>
      <c r="AO226" s="162">
        <v>68.999990037634035</v>
      </c>
      <c r="AP226" s="162">
        <v>0</v>
      </c>
      <c r="AQ226" s="162">
        <v>0</v>
      </c>
      <c r="AR226" s="710" t="str">
        <v>32193r1.par</v>
      </c>
      <c r="AV226" s="82" t="str">
        <v>255,255,91</v>
      </c>
      <c r="AW226" s="947">
        <v>68.999990037634035</v>
      </c>
      <c r="AX226" s="947">
        <v>68.999990037634035</v>
      </c>
      <c r="AY226" s="947">
        <v>0</v>
      </c>
    </row>
    <row r="227" spans="2:51" x14ac:dyDescent="0.25">
      <c r="B227" s="650">
        <v>-3.1019798992109444</v>
      </c>
      <c r="C227" s="651">
        <v>-1.7707709777413225</v>
      </c>
      <c r="D227" s="652">
        <v>-0.16450099226848927</v>
      </c>
      <c r="E227" s="653">
        <v>0.39215606331702602</v>
      </c>
      <c r="F227" s="651">
        <v>-0.88299627629700173</v>
      </c>
      <c r="G227" s="654">
        <v>0.25793642249461746</v>
      </c>
      <c r="H227" s="653">
        <v>0.314</v>
      </c>
      <c r="I227" s="920">
        <v>0.52</v>
      </c>
      <c r="J227" s="924">
        <v>5.1189999999999998</v>
      </c>
      <c r="K227" s="790">
        <f>IF($J227="","",IF(IFERROR(INDEX(Settings!$AK$14:$AK$36,MATCH((((ROUND($H227,6)*2)*1000000)+ROUND($I227,6)),Settings!$AI$14:$AI$36,0)),"Undefined")="Undefined","Undefined",IFERROR(INDEX(_xlfn.ANCHORARRAY(Settings!$BC$14),MATCH(IFERROR(INDEX(Settings!$AK$14:$AK$36,MATCH((((ROUND($H227,6)*2)*1000000)+ROUND($I227,6)),Settings!$AI$14:$AI$36,0)),"Undefined"),_xlfn.ANCHORARRAY(Settings!$BC$14),0)),"Inactive")))</f>
        <v>1613</v>
      </c>
      <c r="L227" s="940" t="s">
        <v>422</v>
      </c>
      <c r="M227" s="973">
        <f t="shared" si="1067"/>
        <v>-19.63131247542724</v>
      </c>
      <c r="N227" s="941"/>
      <c r="O227" s="942"/>
      <c r="Q227" s="162">
        <f t="shared" si="1076"/>
        <v>-3.1019798992109444</v>
      </c>
      <c r="R227" s="162">
        <f t="shared" si="1077"/>
        <v>-1.7707709777413225</v>
      </c>
      <c r="S227" s="162">
        <f t="shared" si="1078"/>
        <v>-0.16450099226848927</v>
      </c>
      <c r="T227" s="162">
        <f t="shared" si="1079"/>
        <v>0.39215606331702602</v>
      </c>
      <c r="U227" s="162">
        <f t="shared" si="1080"/>
        <v>-0.88299627629700173</v>
      </c>
      <c r="V227" s="162">
        <f t="shared" si="1081"/>
        <v>0.25793642249461746</v>
      </c>
      <c r="W227" s="162">
        <f>IFERROR(IF(ISNUMBER(MATCH($Z227,Settings!$AK$28:$AK$36,0)),INDEX(Settings!$AO$14:$AO$36,MATCH($Z227,Settings!$AK$14:$AK$36,0))/2,INDEX(Settings!$AM$14:$AM$36,MATCH($Z227,Settings!$AK$14:$AK$36,0))/2),"")</f>
        <v>0.3125</v>
      </c>
      <c r="X227" s="162">
        <f t="shared" si="1082"/>
        <v>0.52</v>
      </c>
      <c r="Y227" s="75">
        <v>5.1189999999999998</v>
      </c>
      <c r="Z227" s="917">
        <f t="shared" si="1083"/>
        <v>1613</v>
      </c>
      <c r="AA227" s="82"/>
      <c r="AB227" s="75"/>
      <c r="AC227" s="75"/>
      <c r="AD227" s="166"/>
      <c r="AE227" s="75">
        <v>2.2280000000000002</v>
      </c>
      <c r="AF227" s="82">
        <v>2</v>
      </c>
      <c r="AG227" s="82">
        <v>2</v>
      </c>
      <c r="AH227" s="82">
        <v>1</v>
      </c>
      <c r="AI227" s="82">
        <v>0.99999999998544808</v>
      </c>
      <c r="AJ227" s="166">
        <v>2.22811</v>
      </c>
      <c r="AK227" s="82" t="str">
        <v>Base</v>
      </c>
      <c r="AL227" s="162">
        <v>-20.25</v>
      </c>
      <c r="AM227" s="162">
        <v>-4.5041623974577867</v>
      </c>
      <c r="AN227" s="162">
        <v>-0.7626175399487054</v>
      </c>
      <c r="AO227" s="162">
        <v>47.999993069658451</v>
      </c>
      <c r="AP227" s="162">
        <v>0</v>
      </c>
      <c r="AQ227" s="162">
        <v>0</v>
      </c>
      <c r="AR227" s="710" t="str">
        <v>32193r1.par</v>
      </c>
      <c r="AV227" s="82" t="str">
        <v>255,255,91</v>
      </c>
      <c r="AW227" s="947">
        <v>47.999993069658451</v>
      </c>
      <c r="AX227" s="947">
        <v>47.999993069658451</v>
      </c>
      <c r="AY227" s="947">
        <v>0</v>
      </c>
    </row>
    <row r="228" spans="2:51" x14ac:dyDescent="0.25">
      <c r="B228" s="650">
        <v>-3.7141692655913081</v>
      </c>
      <c r="C228" s="651">
        <v>-2.0600660492200644</v>
      </c>
      <c r="D228" s="652">
        <v>-0.53120320421289569</v>
      </c>
      <c r="E228" s="653">
        <v>0.26749517746143076</v>
      </c>
      <c r="F228" s="651">
        <v>-0.92622807932579221</v>
      </c>
      <c r="G228" s="654">
        <v>0.26560849968201672</v>
      </c>
      <c r="H228" s="653">
        <v>0.314</v>
      </c>
      <c r="I228" s="920">
        <v>0.52</v>
      </c>
      <c r="J228" s="924">
        <v>5.125</v>
      </c>
      <c r="K228" s="790">
        <f>IF($J228="","",IF(IFERROR(INDEX(Settings!$AK$14:$AK$36,MATCH((((ROUND($H228,6)*2)*1000000)+ROUND($I228,6)),Settings!$AI$14:$AI$36,0)),"Undefined")="Undefined","Undefined",IFERROR(INDEX(_xlfn.ANCHORARRAY(Settings!$BC$14),MATCH(IFERROR(INDEX(Settings!$AK$14:$AK$36,MATCH((((ROUND($H228,6)*2)*1000000)+ROUND($I228,6)),Settings!$AI$14:$AI$36,0)),"Undefined"),_xlfn.ANCHORARRAY(Settings!$BC$14),0)),"Inactive")))</f>
        <v>1613</v>
      </c>
      <c r="L228" s="940" t="s">
        <v>420</v>
      </c>
      <c r="M228" s="973">
        <f t="shared" si="1067"/>
        <v>-38.485986851085471</v>
      </c>
      <c r="N228" s="941"/>
      <c r="O228" s="942"/>
      <c r="Q228" s="162">
        <f t="shared" si="1076"/>
        <v>-3.7141692655913081</v>
      </c>
      <c r="R228" s="162">
        <f t="shared" si="1077"/>
        <v>-2.0600660492200644</v>
      </c>
      <c r="S228" s="162">
        <f t="shared" si="1078"/>
        <v>-0.53120320421289569</v>
      </c>
      <c r="T228" s="162">
        <f t="shared" si="1079"/>
        <v>0.26749517746143076</v>
      </c>
      <c r="U228" s="162">
        <f t="shared" si="1080"/>
        <v>-0.92622807932579221</v>
      </c>
      <c r="V228" s="162">
        <f t="shared" si="1081"/>
        <v>0.26560849968201672</v>
      </c>
      <c r="W228" s="162">
        <f>IFERROR(IF(ISNUMBER(MATCH($Z228,Settings!$AK$28:$AK$36,0)),INDEX(Settings!$AO$14:$AO$36,MATCH($Z228,Settings!$AK$14:$AK$36,0))/2,INDEX(Settings!$AM$14:$AM$36,MATCH($Z228,Settings!$AK$14:$AK$36,0))/2),"")</f>
        <v>0.3125</v>
      </c>
      <c r="X228" s="162">
        <f t="shared" si="1082"/>
        <v>0.52</v>
      </c>
      <c r="Y228" s="75">
        <v>5.125</v>
      </c>
      <c r="Z228" s="917">
        <f t="shared" si="1083"/>
        <v>1613</v>
      </c>
      <c r="AA228" s="82"/>
      <c r="AB228" s="75"/>
      <c r="AC228" s="75"/>
      <c r="AD228" s="166"/>
      <c r="AE228" s="75">
        <v>2.222</v>
      </c>
      <c r="AF228" s="82">
        <v>2</v>
      </c>
      <c r="AG228" s="82">
        <v>2</v>
      </c>
      <c r="AH228" s="82">
        <v>1</v>
      </c>
      <c r="AI228" s="82">
        <v>0.99999999998544808</v>
      </c>
      <c r="AJ228" s="166">
        <v>2.2221099999999998</v>
      </c>
      <c r="AK228" s="82" t="str">
        <v>Base</v>
      </c>
      <c r="AL228" s="162">
        <v>-20.25</v>
      </c>
      <c r="AM228" s="162">
        <v>-3.9192729222602507</v>
      </c>
      <c r="AN228" s="162">
        <v>-0.28188739389833334</v>
      </c>
      <c r="AO228" s="162">
        <v>26.999996101682878</v>
      </c>
      <c r="AP228" s="162">
        <v>0</v>
      </c>
      <c r="AQ228" s="162">
        <v>0</v>
      </c>
      <c r="AR228" s="710" t="str">
        <v>32193r1.par</v>
      </c>
      <c r="AV228" s="82" t="str">
        <v>255,255,91</v>
      </c>
      <c r="AW228" s="947">
        <v>26.999996101682878</v>
      </c>
      <c r="AX228" s="947">
        <v>26.999996101682878</v>
      </c>
      <c r="AY228" s="947">
        <v>0</v>
      </c>
    </row>
    <row r="229" spans="2:51" x14ac:dyDescent="0.25">
      <c r="B229" s="650">
        <v>-4.1796290948742891</v>
      </c>
      <c r="C229" s="651">
        <v>-2.252659893584295</v>
      </c>
      <c r="D229" s="652">
        <v>-1.1143067214880087</v>
      </c>
      <c r="E229" s="653">
        <v>0.13188907511856623</v>
      </c>
      <c r="F229" s="651">
        <v>-0.96678633895088661</v>
      </c>
      <c r="G229" s="654">
        <v>0.21892794860937828</v>
      </c>
      <c r="H229" s="653">
        <v>0.314</v>
      </c>
      <c r="I229" s="920">
        <v>0.52</v>
      </c>
      <c r="J229" s="924">
        <v>5.1310000000000002</v>
      </c>
      <c r="K229" s="790">
        <f>IF($J229="","",IF(IFERROR(INDEX(Settings!$AK$14:$AK$36,MATCH((((ROUND($H229,6)*2)*1000000)+ROUND($I229,6)),Settings!$AI$14:$AI$36,0)),"Undefined")="Undefined","Undefined",IFERROR(INDEX(_xlfn.ANCHORARRAY(Settings!$BC$14),MATCH(IFERROR(INDEX(Settings!$AK$14:$AK$36,MATCH((((ROUND($H229,6)*2)*1000000)+ROUND($I229,6)),Settings!$AI$14:$AI$36,0)),"Undefined"),_xlfn.ANCHORARRAY(Settings!$BC$14),0)),"Inactive")))</f>
        <v>1613</v>
      </c>
      <c r="L229" s="940" t="s">
        <v>420</v>
      </c>
      <c r="M229" s="973">
        <f t="shared" ref="M229:M253" si="1084">AN74</f>
        <v>-57.149982620263913</v>
      </c>
      <c r="N229" s="941"/>
      <c r="O229" s="942"/>
      <c r="Q229" s="162">
        <f t="shared" si="1076"/>
        <v>-4.1796290948742891</v>
      </c>
      <c r="R229" s="162">
        <f t="shared" si="1077"/>
        <v>-2.252659893584295</v>
      </c>
      <c r="S229" s="162">
        <f t="shared" si="1078"/>
        <v>-1.1143067214880087</v>
      </c>
      <c r="T229" s="162">
        <f t="shared" si="1079"/>
        <v>0.13188907511856623</v>
      </c>
      <c r="U229" s="162">
        <f t="shared" si="1080"/>
        <v>-0.96678633895088661</v>
      </c>
      <c r="V229" s="162">
        <f t="shared" si="1081"/>
        <v>0.21892794860937828</v>
      </c>
      <c r="W229" s="162">
        <f>IFERROR(IF(ISNUMBER(MATCH($Z229,Settings!$AK$28:$AK$36,0)),INDEX(Settings!$AO$14:$AO$36,MATCH($Z229,Settings!$AK$14:$AK$36,0))/2,INDEX(Settings!$AM$14:$AM$36,MATCH($Z229,Settings!$AK$14:$AK$36,0))/2),"")</f>
        <v>0.3125</v>
      </c>
      <c r="X229" s="162">
        <f t="shared" si="1082"/>
        <v>0.52</v>
      </c>
      <c r="Y229" s="75">
        <v>5.1310000000000002</v>
      </c>
      <c r="Z229" s="917">
        <f t="shared" si="1083"/>
        <v>1613</v>
      </c>
      <c r="AA229" s="82"/>
      <c r="AB229" s="75"/>
      <c r="AC229" s="75"/>
      <c r="AD229" s="166"/>
      <c r="AE229" s="75">
        <v>2.2160000000000002</v>
      </c>
      <c r="AF229" s="82">
        <v>2</v>
      </c>
      <c r="AG229" s="82">
        <v>2</v>
      </c>
      <c r="AH229" s="82">
        <v>1</v>
      </c>
      <c r="AI229" s="82">
        <v>0.99999999998544808</v>
      </c>
      <c r="AJ229" s="166">
        <v>2.21611</v>
      </c>
      <c r="AK229" s="82" t="str">
        <v>Base</v>
      </c>
      <c r="AL229" s="162">
        <v>-20.25</v>
      </c>
      <c r="AM229" s="162">
        <v>-3.1937190736100054</v>
      </c>
      <c r="AN229" s="162">
        <v>-4.2082326022231331E-2</v>
      </c>
      <c r="AO229" s="162">
        <v>5.9999991337073082</v>
      </c>
      <c r="AP229" s="162">
        <v>0</v>
      </c>
      <c r="AQ229" s="162">
        <v>0</v>
      </c>
      <c r="AR229" s="710" t="str">
        <v>32193r1.par</v>
      </c>
      <c r="AV229" s="82" t="str">
        <v>255,255,91</v>
      </c>
      <c r="AW229" s="947">
        <v>5.9999991337073082</v>
      </c>
      <c r="AX229" s="947">
        <v>5.9999991337073082</v>
      </c>
      <c r="AY229" s="947">
        <v>0</v>
      </c>
    </row>
    <row r="230" spans="2:51" x14ac:dyDescent="0.25">
      <c r="B230" s="650">
        <v>-4.4256856854073847</v>
      </c>
      <c r="C230" s="651">
        <v>-2.3453538233587059</v>
      </c>
      <c r="D230" s="652">
        <v>-1.8373110826437384</v>
      </c>
      <c r="E230" s="653">
        <v>1.1564149540854851E-2</v>
      </c>
      <c r="F230" s="651">
        <v>-0.99329221137281176</v>
      </c>
      <c r="G230" s="654">
        <v>0.11505152442061059</v>
      </c>
      <c r="H230" s="653">
        <v>0.314</v>
      </c>
      <c r="I230" s="920">
        <v>0.52</v>
      </c>
      <c r="J230" s="924">
        <v>5.1369999999999996</v>
      </c>
      <c r="K230" s="790">
        <f>IF($J230="","",IF(IFERROR(INDEX(Settings!$AK$14:$AK$36,MATCH((((ROUND($H230,6)*2)*1000000)+ROUND($I230,6)),Settings!$AI$14:$AI$36,0)),"Undefined")="Undefined","Undefined",IFERROR(INDEX(_xlfn.ANCHORARRAY(Settings!$BC$14),MATCH(IFERROR(INDEX(Settings!$AK$14:$AK$36,MATCH((((ROUND($H230,6)*2)*1000000)+ROUND($I230,6)),Settings!$AI$14:$AI$36,0)),"Undefined"),_xlfn.ANCHORARRAY(Settings!$BC$14),0)),"Inactive")))</f>
        <v>1613</v>
      </c>
      <c r="L230" s="940" t="s">
        <v>420</v>
      </c>
      <c r="M230" s="973">
        <f t="shared" si="1084"/>
        <v>-75.712346529077777</v>
      </c>
      <c r="N230" s="941"/>
      <c r="O230" s="942"/>
      <c r="Q230" s="162">
        <f t="shared" si="1076"/>
        <v>-4.4256856854073847</v>
      </c>
      <c r="R230" s="162">
        <f t="shared" si="1077"/>
        <v>-2.3453538233587059</v>
      </c>
      <c r="S230" s="162">
        <f t="shared" si="1078"/>
        <v>-1.8373110826437384</v>
      </c>
      <c r="T230" s="162">
        <f t="shared" si="1079"/>
        <v>1.1564149540854851E-2</v>
      </c>
      <c r="U230" s="162">
        <f t="shared" si="1080"/>
        <v>-0.99329221137281176</v>
      </c>
      <c r="V230" s="162">
        <f t="shared" si="1081"/>
        <v>0.11505152442061059</v>
      </c>
      <c r="W230" s="162">
        <f>IFERROR(IF(ISNUMBER(MATCH($Z230,Settings!$AK$28:$AK$36,0)),INDEX(Settings!$AO$14:$AO$36,MATCH($Z230,Settings!$AK$14:$AK$36,0))/2,INDEX(Settings!$AM$14:$AM$36,MATCH($Z230,Settings!$AK$14:$AK$36,0))/2),"")</f>
        <v>0.3125</v>
      </c>
      <c r="X230" s="162">
        <f t="shared" si="1082"/>
        <v>0.52</v>
      </c>
      <c r="Y230" s="75">
        <v>5.1369999999999996</v>
      </c>
      <c r="Z230" s="917">
        <f t="shared" si="1083"/>
        <v>1613</v>
      </c>
      <c r="AA230" s="82"/>
      <c r="AB230" s="75"/>
      <c r="AC230" s="75"/>
      <c r="AD230" s="166"/>
      <c r="AE230" s="75">
        <v>2.1459999999999999</v>
      </c>
      <c r="AF230" s="82">
        <v>2</v>
      </c>
      <c r="AG230" s="82">
        <v>1</v>
      </c>
      <c r="AH230" s="82">
        <v>1</v>
      </c>
      <c r="AI230" s="82">
        <v>0.99999999998544808</v>
      </c>
      <c r="AJ230" s="166">
        <v>2.1461099999999997</v>
      </c>
      <c r="AK230" s="82" t="str">
        <v>Base</v>
      </c>
      <c r="AL230" s="162">
        <v>-19.5</v>
      </c>
      <c r="AM230" s="162">
        <v>-5.0550887932628417</v>
      </c>
      <c r="AN230" s="162">
        <v>-2.9203116424371185</v>
      </c>
      <c r="AO230" s="162">
        <v>84.97011741683842</v>
      </c>
      <c r="AP230" s="162">
        <v>-29.785208788526894</v>
      </c>
      <c r="AQ230" s="162">
        <v>0</v>
      </c>
      <c r="AR230" s="710" t="str">
        <v>1613.par</v>
      </c>
      <c r="AV230" s="82" t="str">
        <v>204,204,0</v>
      </c>
      <c r="AW230" s="947">
        <v>84.97011741683842</v>
      </c>
      <c r="AX230" s="947">
        <v>84.97011741683842</v>
      </c>
      <c r="AY230" s="947">
        <v>0</v>
      </c>
    </row>
    <row r="231" spans="2:51" x14ac:dyDescent="0.25">
      <c r="B231" s="650">
        <v>-4.4524542304280148</v>
      </c>
      <c r="C231" s="651">
        <v>-2.355062420891191</v>
      </c>
      <c r="D231" s="652">
        <v>-2.598715675429315</v>
      </c>
      <c r="E231" s="653">
        <v>-3.5047308895518089E-2</v>
      </c>
      <c r="F231" s="651">
        <v>-0.99843620164383573</v>
      </c>
      <c r="G231" s="654">
        <v>4.3552696658323176E-2</v>
      </c>
      <c r="H231" s="653">
        <v>0.314</v>
      </c>
      <c r="I231" s="920">
        <v>0.52</v>
      </c>
      <c r="J231" s="924">
        <v>5.1429999999999998</v>
      </c>
      <c r="K231" s="790">
        <f>IF($J231="","",IF(IFERROR(INDEX(Settings!$AK$14:$AK$36,MATCH((((ROUND($H231,6)*2)*1000000)+ROUND($I231,6)),Settings!$AI$14:$AI$36,0)),"Undefined")="Undefined","Undefined",IFERROR(INDEX(_xlfn.ANCHORARRAY(Settings!$BC$14),MATCH(IFERROR(INDEX(Settings!$AK$14:$AK$36,MATCH((((ROUND($H231,6)*2)*1000000)+ROUND($I231,6)),Settings!$AI$14:$AI$36,0)),"Undefined"),_xlfn.ANCHORARRAY(Settings!$BC$14),0)),"Inactive")))</f>
        <v>1613</v>
      </c>
      <c r="L231" s="940" t="s">
        <v>420</v>
      </c>
      <c r="M231" s="973">
        <f t="shared" si="1084"/>
        <v>-84.969949372155952</v>
      </c>
      <c r="N231" s="941"/>
      <c r="O231" s="942"/>
      <c r="Q231" s="162">
        <f t="shared" si="1076"/>
        <v>-4.4524542304280148</v>
      </c>
      <c r="R231" s="162">
        <f t="shared" si="1077"/>
        <v>-2.355062420891191</v>
      </c>
      <c r="S231" s="162">
        <f t="shared" si="1078"/>
        <v>-2.598715675429315</v>
      </c>
      <c r="T231" s="162">
        <f t="shared" si="1079"/>
        <v>-3.5047308895518089E-2</v>
      </c>
      <c r="U231" s="162">
        <f t="shared" si="1080"/>
        <v>-0.99843620164383573</v>
      </c>
      <c r="V231" s="162">
        <f t="shared" si="1081"/>
        <v>4.3552696658323176E-2</v>
      </c>
      <c r="W231" s="162">
        <f>IFERROR(IF(ISNUMBER(MATCH($Z231,Settings!$AK$28:$AK$36,0)),INDEX(Settings!$AO$14:$AO$36,MATCH($Z231,Settings!$AK$14:$AK$36,0))/2,INDEX(Settings!$AM$14:$AM$36,MATCH($Z231,Settings!$AK$14:$AK$36,0))/2),"")</f>
        <v>0.3125</v>
      </c>
      <c r="X231" s="162">
        <f t="shared" si="1082"/>
        <v>0.52</v>
      </c>
      <c r="Y231" s="75">
        <v>5.1429999999999998</v>
      </c>
      <c r="Z231" s="917">
        <f t="shared" si="1083"/>
        <v>1613</v>
      </c>
      <c r="AA231" s="82"/>
      <c r="AB231" s="75"/>
      <c r="AC231" s="75"/>
      <c r="AD231" s="166"/>
      <c r="AE231" s="75">
        <v>2.14</v>
      </c>
      <c r="AF231" s="82">
        <v>2</v>
      </c>
      <c r="AG231" s="82">
        <v>1</v>
      </c>
      <c r="AH231" s="82">
        <v>1</v>
      </c>
      <c r="AI231" s="82">
        <v>0.99999999998544808</v>
      </c>
      <c r="AJ231" s="166">
        <v>2.14011</v>
      </c>
      <c r="AK231" s="82" t="str">
        <v>Base</v>
      </c>
      <c r="AL231" s="162">
        <v>-19.5</v>
      </c>
      <c r="AM231" s="162">
        <v>-5.0270040657372688</v>
      </c>
      <c r="AN231" s="162">
        <v>-2.1689083635219815</v>
      </c>
      <c r="AO231" s="162">
        <v>84.969949372155938</v>
      </c>
      <c r="AP231" s="162">
        <v>-29.784116024848295</v>
      </c>
      <c r="AQ231" s="162">
        <v>0</v>
      </c>
      <c r="AR231" s="710" t="str">
        <v>1613.par</v>
      </c>
      <c r="AV231" s="82" t="str">
        <v>204,204,0</v>
      </c>
      <c r="AW231" s="947">
        <v>84.969949372155938</v>
      </c>
      <c r="AX231" s="947">
        <v>84.969949372155938</v>
      </c>
      <c r="AY231" s="947">
        <v>0</v>
      </c>
    </row>
    <row r="232" spans="2:51" x14ac:dyDescent="0.25">
      <c r="B232" s="650">
        <v>-4.4803350939825073</v>
      </c>
      <c r="C232" s="651">
        <v>-2.3624091924588417</v>
      </c>
      <c r="D232" s="652">
        <v>-3.3502202084978241</v>
      </c>
      <c r="E232" s="653">
        <v>-3.6336802866364419E-2</v>
      </c>
      <c r="F232" s="651">
        <v>-0.99839010380273652</v>
      </c>
      <c r="G232" s="654">
        <v>4.355269665832296E-2</v>
      </c>
      <c r="H232" s="653">
        <v>0.314</v>
      </c>
      <c r="I232" s="920">
        <v>0.52</v>
      </c>
      <c r="J232" s="924">
        <v>5.149</v>
      </c>
      <c r="K232" s="790">
        <f>IF($J232="","",IF(IFERROR(INDEX(Settings!$AK$14:$AK$36,MATCH((((ROUND($H232,6)*2)*1000000)+ROUND($I232,6)),Settings!$AI$14:$AI$36,0)),"Undefined")="Undefined","Undefined",IFERROR(INDEX(_xlfn.ANCHORARRAY(Settings!$BC$14),MATCH(IFERROR(INDEX(Settings!$AK$14:$AK$36,MATCH((((ROUND($H232,6)*2)*1000000)+ROUND($I232,6)),Settings!$AI$14:$AI$36,0)),"Undefined"),_xlfn.ANCHORARRAY(Settings!$BC$14),0)),"Inactive")))</f>
        <v>1613</v>
      </c>
      <c r="L232" s="940" t="s">
        <v>420</v>
      </c>
      <c r="M232" s="973">
        <f t="shared" si="1084"/>
        <v>-84.97011741683842</v>
      </c>
      <c r="N232" s="941"/>
      <c r="O232" s="942"/>
      <c r="Q232" s="162">
        <f t="shared" si="1076"/>
        <v>-4.4803350939825073</v>
      </c>
      <c r="R232" s="162">
        <f t="shared" si="1077"/>
        <v>-2.3624091924588417</v>
      </c>
      <c r="S232" s="162">
        <f t="shared" si="1078"/>
        <v>-3.3502202084978241</v>
      </c>
      <c r="T232" s="162">
        <f t="shared" si="1079"/>
        <v>-3.6336802866364419E-2</v>
      </c>
      <c r="U232" s="162">
        <f t="shared" si="1080"/>
        <v>-0.99839010380273652</v>
      </c>
      <c r="V232" s="162">
        <f t="shared" si="1081"/>
        <v>4.355269665832296E-2</v>
      </c>
      <c r="W232" s="162">
        <f>IFERROR(IF(ISNUMBER(MATCH($Z232,Settings!$AK$28:$AK$36,0)),INDEX(Settings!$AO$14:$AO$36,MATCH($Z232,Settings!$AK$14:$AK$36,0))/2,INDEX(Settings!$AM$14:$AM$36,MATCH($Z232,Settings!$AK$14:$AK$36,0))/2),"")</f>
        <v>0.3125</v>
      </c>
      <c r="X232" s="162">
        <f t="shared" si="1082"/>
        <v>0.52</v>
      </c>
      <c r="Y232" s="75">
        <v>5.149</v>
      </c>
      <c r="Z232" s="917">
        <f t="shared" si="1083"/>
        <v>1613</v>
      </c>
      <c r="AA232" s="82"/>
      <c r="AB232" s="75"/>
      <c r="AC232" s="75"/>
      <c r="AD232" s="166"/>
      <c r="AE232" s="75">
        <v>2.1339999999999999</v>
      </c>
      <c r="AF232" s="82">
        <v>2</v>
      </c>
      <c r="AG232" s="82">
        <v>1</v>
      </c>
      <c r="AH232" s="82">
        <v>1</v>
      </c>
      <c r="AI232" s="82">
        <v>0.99999999998544808</v>
      </c>
      <c r="AJ232" s="166">
        <v>2.1341099999999997</v>
      </c>
      <c r="AK232" s="82" t="str">
        <v>Base</v>
      </c>
      <c r="AL232" s="162">
        <v>-19.5</v>
      </c>
      <c r="AM232" s="162">
        <v>-4.9033194043169575</v>
      </c>
      <c r="AN232" s="162">
        <v>-1.4134686474326092</v>
      </c>
      <c r="AO232" s="162">
        <v>66.440489504246187</v>
      </c>
      <c r="AP232" s="162">
        <v>-25.793602252313281</v>
      </c>
      <c r="AQ232" s="162">
        <v>0</v>
      </c>
      <c r="AR232" s="710" t="str">
        <v>1613.par</v>
      </c>
      <c r="AV232" s="82" t="str">
        <v>204,204,0</v>
      </c>
      <c r="AW232" s="947">
        <v>66.440489504246187</v>
      </c>
      <c r="AX232" s="947">
        <v>66.440489504246187</v>
      </c>
      <c r="AY232" s="947">
        <v>0</v>
      </c>
    </row>
    <row r="233" spans="2:51" x14ac:dyDescent="0.25">
      <c r="B233" s="650">
        <v>-3.4819888164023145</v>
      </c>
      <c r="C233" s="651">
        <v>-0.77986556115357386</v>
      </c>
      <c r="D233" s="652">
        <v>-0.20246261363798021</v>
      </c>
      <c r="E233" s="653">
        <v>-0.21951266652936532</v>
      </c>
      <c r="F233" s="651">
        <v>-4.916453724860597E-2</v>
      </c>
      <c r="G233" s="654">
        <v>0.97437007215446547</v>
      </c>
      <c r="H233" s="653">
        <v>0.25700000000000001</v>
      </c>
      <c r="I233" s="920">
        <v>0.41499999999999992</v>
      </c>
      <c r="J233" s="924">
        <v>5.2190000000000003</v>
      </c>
      <c r="K233" s="790" t="str">
        <f>IF($J233="","",IF(IFERROR(INDEX(Settings!$AK$14:$AK$36,MATCH((((ROUND($H233,6)*2)*1000000)+ROUND($I233,6)),Settings!$AI$14:$AI$36,0)),"Undefined")="Undefined","Undefined",IFERROR(INDEX(_xlfn.ANCHORARRAY(Settings!$BC$14),MATCH(IFERROR(INDEX(Settings!$AK$14:$AK$36,MATCH((((ROUND($H233,6)*2)*1000000)+ROUND($I233,6)),Settings!$AI$14:$AI$36,0)),"Undefined"),_xlfn.ANCHORARRAY(Settings!$BC$14),0)),"Inactive")))</f>
        <v>CPS-32193r1</v>
      </c>
      <c r="L233" s="940" t="s">
        <v>423</v>
      </c>
      <c r="M233" s="973">
        <f t="shared" si="1084"/>
        <v>-12.999998123032507</v>
      </c>
      <c r="N233" s="941"/>
      <c r="O233" s="942"/>
      <c r="Q233" s="162">
        <f t="shared" si="1076"/>
        <v>-3.4819888164023145</v>
      </c>
      <c r="R233" s="162">
        <f t="shared" si="1077"/>
        <v>-0.77986556115357386</v>
      </c>
      <c r="S233" s="162">
        <f t="shared" si="1078"/>
        <v>-0.20246261363798021</v>
      </c>
      <c r="T233" s="162">
        <f t="shared" si="1079"/>
        <v>-0.21951266652936532</v>
      </c>
      <c r="U233" s="162">
        <f t="shared" si="1080"/>
        <v>-4.916453724860597E-2</v>
      </c>
      <c r="V233" s="162">
        <f t="shared" si="1081"/>
        <v>0.97437007215446547</v>
      </c>
      <c r="W233" s="162">
        <f>IFERROR(IF(ISNUMBER(MATCH($Z233,Settings!$AK$28:$AK$36,0)),INDEX(Settings!$AO$14:$AO$36,MATCH($Z233,Settings!$AK$14:$AK$36,0))/2,INDEX(Settings!$AM$14:$AM$36,MATCH($Z233,Settings!$AK$14:$AK$36,0))/2),"")</f>
        <v>0.255</v>
      </c>
      <c r="X233" s="162">
        <f t="shared" si="1082"/>
        <v>0.41499999999999992</v>
      </c>
      <c r="Y233" s="75">
        <v>5.2190000000000003</v>
      </c>
      <c r="Z233" s="917" t="str">
        <f t="shared" si="1083"/>
        <v>CPS-32193r1</v>
      </c>
      <c r="AA233" s="82"/>
      <c r="AB233" s="75"/>
      <c r="AC233" s="75"/>
      <c r="AD233" s="166"/>
      <c r="AE233" s="75">
        <v>2.1280000000000001</v>
      </c>
      <c r="AF233" s="82">
        <v>2</v>
      </c>
      <c r="AG233" s="82">
        <v>1</v>
      </c>
      <c r="AH233" s="82">
        <v>1</v>
      </c>
      <c r="AI233" s="82">
        <v>0.99999999998544808</v>
      </c>
      <c r="AJ233" s="166">
        <v>2.1281099999999999</v>
      </c>
      <c r="AK233" s="82" t="str">
        <v>Base</v>
      </c>
      <c r="AL233" s="162">
        <v>-19.5</v>
      </c>
      <c r="AM233" s="162">
        <v>-4.5186798771013077</v>
      </c>
      <c r="AN233" s="162">
        <v>-0.75173528329894634</v>
      </c>
      <c r="AO233" s="162">
        <v>47.834713669325687</v>
      </c>
      <c r="AP233" s="162">
        <v>-21.816944784593154</v>
      </c>
      <c r="AQ233" s="162">
        <v>0</v>
      </c>
      <c r="AR233" s="710" t="str">
        <v>1613.par</v>
      </c>
      <c r="AV233" s="82" t="str">
        <v>204,204,0</v>
      </c>
      <c r="AW233" s="947">
        <v>47.834713669325687</v>
      </c>
      <c r="AX233" s="947">
        <v>47.834713669325687</v>
      </c>
      <c r="AY233" s="947">
        <v>0</v>
      </c>
    </row>
    <row r="234" spans="2:51" x14ac:dyDescent="0.25">
      <c r="B234" s="650">
        <v>-4.0612420857617462</v>
      </c>
      <c r="C234" s="651">
        <v>-1.2969812004451755</v>
      </c>
      <c r="D234" s="652">
        <v>-0.53019807470762303</v>
      </c>
      <c r="E234" s="653">
        <v>2.2248094992542766E-2</v>
      </c>
      <c r="F234" s="651">
        <v>-0.94433964618443711</v>
      </c>
      <c r="G234" s="654">
        <v>0.32821891309529228</v>
      </c>
      <c r="H234" s="653">
        <v>0.26600000000000001</v>
      </c>
      <c r="I234" s="920">
        <v>0.52</v>
      </c>
      <c r="J234" s="924">
        <v>5.2249999999999996</v>
      </c>
      <c r="K234" s="790">
        <f>IF($J234="","",IF(IFERROR(INDEX(Settings!$AK$14:$AK$36,MATCH((((ROUND($H234,6)*2)*1000000)+ROUND($I234,6)),Settings!$AI$14:$AI$36,0)),"Undefined")="Undefined","Undefined",IFERROR(INDEX(_xlfn.ANCHORARRAY(Settings!$BC$14),MATCH(IFERROR(INDEX(Settings!$AK$14:$AK$36,MATCH((((ROUND($H234,6)*2)*1000000)+ROUND($I234,6)),Settings!$AI$14:$AI$36,0)),"Undefined"),_xlfn.ANCHORARRAY(Settings!$BC$14),0)),"Inactive")))</f>
        <v>1313</v>
      </c>
      <c r="L234" s="940" t="s">
        <v>424</v>
      </c>
      <c r="M234" s="973">
        <f t="shared" si="1084"/>
        <v>-38.623227592362632</v>
      </c>
      <c r="N234" s="941"/>
      <c r="O234" s="942"/>
      <c r="Q234" s="162">
        <f t="shared" si="1076"/>
        <v>-4.0612420857617462</v>
      </c>
      <c r="R234" s="162">
        <f t="shared" si="1077"/>
        <v>-1.2969812004451755</v>
      </c>
      <c r="S234" s="162">
        <f t="shared" si="1078"/>
        <v>-0.53019807470762303</v>
      </c>
      <c r="T234" s="162">
        <f t="shared" si="1079"/>
        <v>2.2248094992542766E-2</v>
      </c>
      <c r="U234" s="162">
        <f t="shared" si="1080"/>
        <v>-0.94433964618443711</v>
      </c>
      <c r="V234" s="162">
        <f t="shared" si="1081"/>
        <v>0.32821891309529228</v>
      </c>
      <c r="W234" s="162">
        <f>IFERROR(IF(ISNUMBER(MATCH($Z234,Settings!$AK$28:$AK$36,0)),INDEX(Settings!$AO$14:$AO$36,MATCH($Z234,Settings!$AK$14:$AK$36,0))/2,INDEX(Settings!$AM$14:$AM$36,MATCH($Z234,Settings!$AK$14:$AK$36,0))/2),"")</f>
        <v>0.26450000000000001</v>
      </c>
      <c r="X234" s="162">
        <f t="shared" si="1082"/>
        <v>0.52</v>
      </c>
      <c r="Y234" s="75">
        <v>5.2249999999999996</v>
      </c>
      <c r="Z234" s="917">
        <f t="shared" si="1083"/>
        <v>1313</v>
      </c>
      <c r="AA234" s="82"/>
      <c r="AB234" s="75"/>
      <c r="AC234" s="75"/>
      <c r="AD234" s="166"/>
      <c r="AE234" s="75">
        <v>2.1219999999999999</v>
      </c>
      <c r="AF234" s="82">
        <v>2</v>
      </c>
      <c r="AG234" s="82">
        <v>1</v>
      </c>
      <c r="AH234" s="82">
        <v>1</v>
      </c>
      <c r="AI234" s="82">
        <v>0.99999999998544808</v>
      </c>
      <c r="AJ234" s="166">
        <v>2.1221099999999997</v>
      </c>
      <c r="AK234" s="82" t="str">
        <v>Base</v>
      </c>
      <c r="AL234" s="162">
        <v>-19.5</v>
      </c>
      <c r="AM234" s="162">
        <v>-3.923195158347927</v>
      </c>
      <c r="AN234" s="162">
        <v>-0.2702772225462633</v>
      </c>
      <c r="AO234" s="162">
        <v>29.091158349317926</v>
      </c>
      <c r="AP234" s="162">
        <v>-17.860607850540081</v>
      </c>
      <c r="AQ234" s="162">
        <v>0</v>
      </c>
      <c r="AR234" s="710" t="str">
        <v>1613.par</v>
      </c>
      <c r="AV234" s="82" t="str">
        <v>204,204,0</v>
      </c>
      <c r="AW234" s="947">
        <v>29.091158349317926</v>
      </c>
      <c r="AX234" s="947">
        <v>29.091158349317926</v>
      </c>
      <c r="AY234" s="947">
        <v>0</v>
      </c>
    </row>
    <row r="235" spans="2:51" x14ac:dyDescent="0.25">
      <c r="B235" s="650">
        <v>-4.5304294344575755</v>
      </c>
      <c r="C235" s="651">
        <v>-1.4916964290545309</v>
      </c>
      <c r="D235" s="652">
        <v>-1.1172940264445657</v>
      </c>
      <c r="E235" s="653">
        <v>-0.11432895229960759</v>
      </c>
      <c r="F235" s="651">
        <v>-0.95855197518054613</v>
      </c>
      <c r="G235" s="654">
        <v>0.2609731816557937</v>
      </c>
      <c r="H235" s="653">
        <v>0.26600000000000001</v>
      </c>
      <c r="I235" s="920">
        <v>0.52</v>
      </c>
      <c r="J235" s="924">
        <v>5.2309999999999999</v>
      </c>
      <c r="K235" s="790">
        <f>IF($J235="","",IF(IFERROR(INDEX(Settings!$AK$14:$AK$36,MATCH((((ROUND($H235,6)*2)*1000000)+ROUND($I235,6)),Settings!$AI$14:$AI$36,0)),"Undefined")="Undefined","Undefined",IFERROR(INDEX(_xlfn.ANCHORARRAY(Settings!$BC$14),MATCH(IFERROR(INDEX(Settings!$AK$14:$AK$36,MATCH((((ROUND($H235,6)*2)*1000000)+ROUND($I235,6)),Settings!$AI$14:$AI$36,0)),"Undefined"),_xlfn.ANCHORARRAY(Settings!$BC$14),0)),"Inactive")))</f>
        <v>1313</v>
      </c>
      <c r="L235" s="940" t="s">
        <v>424</v>
      </c>
      <c r="M235" s="973">
        <f t="shared" si="1084"/>
        <v>-57.213428741154814</v>
      </c>
      <c r="N235" s="941"/>
      <c r="O235" s="942"/>
      <c r="Q235" s="162">
        <f t="shared" si="1076"/>
        <v>-4.5304294344575755</v>
      </c>
      <c r="R235" s="162">
        <f t="shared" si="1077"/>
        <v>-1.4916964290545309</v>
      </c>
      <c r="S235" s="162">
        <f t="shared" si="1078"/>
        <v>-1.1172940264445657</v>
      </c>
      <c r="T235" s="162">
        <f t="shared" si="1079"/>
        <v>-0.11432895229960759</v>
      </c>
      <c r="U235" s="162">
        <f t="shared" si="1080"/>
        <v>-0.95855197518054613</v>
      </c>
      <c r="V235" s="162">
        <f t="shared" si="1081"/>
        <v>0.2609731816557937</v>
      </c>
      <c r="W235" s="162">
        <f>IFERROR(IF(ISNUMBER(MATCH($Z235,Settings!$AK$28:$AK$36,0)),INDEX(Settings!$AO$14:$AO$36,MATCH($Z235,Settings!$AK$14:$AK$36,0))/2,INDEX(Settings!$AM$14:$AM$36,MATCH($Z235,Settings!$AK$14:$AK$36,0))/2),"")</f>
        <v>0.26450000000000001</v>
      </c>
      <c r="X235" s="162">
        <f t="shared" si="1082"/>
        <v>0.52</v>
      </c>
      <c r="Y235" s="75">
        <v>5.2309999999999999</v>
      </c>
      <c r="Z235" s="917">
        <f t="shared" si="1083"/>
        <v>1313</v>
      </c>
      <c r="AA235" s="82"/>
      <c r="AB235" s="75"/>
      <c r="AC235" s="75"/>
      <c r="AD235" s="166"/>
      <c r="AE235" s="75">
        <v>2.1160000000000001</v>
      </c>
      <c r="AF235" s="82">
        <v>2</v>
      </c>
      <c r="AG235" s="82">
        <v>1</v>
      </c>
      <c r="AH235" s="82">
        <v>1</v>
      </c>
      <c r="AI235" s="82">
        <v>0.99999999998544808</v>
      </c>
      <c r="AJ235" s="166">
        <v>2.1161099999999999</v>
      </c>
      <c r="AK235" s="82" t="str">
        <v>Base</v>
      </c>
      <c r="AL235" s="162">
        <v>-19.5</v>
      </c>
      <c r="AM235" s="162">
        <v>-3.1946027962538608</v>
      </c>
      <c r="AN235" s="162">
        <v>-3.2296880394560676E-2</v>
      </c>
      <c r="AO235" s="162">
        <v>10.242376499105918</v>
      </c>
      <c r="AP235" s="162">
        <v>-15.635007982189849</v>
      </c>
      <c r="AQ235" s="162">
        <v>0</v>
      </c>
      <c r="AR235" s="710" t="str">
        <v>1613 Ripper.par</v>
      </c>
      <c r="AV235" s="82" t="str">
        <v>204,204,0</v>
      </c>
      <c r="AW235" s="947">
        <v>10.242376499105918</v>
      </c>
      <c r="AX235" s="947">
        <v>10.242376499105918</v>
      </c>
      <c r="AY235" s="947">
        <v>0</v>
      </c>
    </row>
    <row r="236" spans="2:51" x14ac:dyDescent="0.25">
      <c r="B236" s="650">
        <v>-4.7775012317310086</v>
      </c>
      <c r="C236" s="651">
        <v>-1.5849502636753487</v>
      </c>
      <c r="D236" s="652">
        <v>-1.8469806553404726</v>
      </c>
      <c r="E236" s="653">
        <v>-0.23680475010775959</v>
      </c>
      <c r="F236" s="651">
        <v>-0.96234355074147904</v>
      </c>
      <c r="G236" s="654">
        <v>0.13348558226521709</v>
      </c>
      <c r="H236" s="653">
        <v>0.26600000000000001</v>
      </c>
      <c r="I236" s="920">
        <v>0.52</v>
      </c>
      <c r="J236" s="924">
        <v>5.2370000000000001</v>
      </c>
      <c r="K236" s="790">
        <f>IF($J236="","",IF(IFERROR(INDEX(Settings!$AK$14:$AK$36,MATCH((((ROUND($H236,6)*2)*1000000)+ROUND($I236,6)),Settings!$AI$14:$AI$36,0)),"Undefined")="Undefined","Undefined",IFERROR(INDEX(_xlfn.ANCHORARRAY(Settings!$BC$14),MATCH(IFERROR(INDEX(Settings!$AK$14:$AK$36,MATCH((((ROUND($H236,6)*2)*1000000)+ROUND($I236,6)),Settings!$AI$14:$AI$36,0)),"Undefined"),_xlfn.ANCHORARRAY(Settings!$BC$14),0)),"Inactive")))</f>
        <v>1313</v>
      </c>
      <c r="L236" s="940" t="s">
        <v>424</v>
      </c>
      <c r="M236" s="973">
        <f t="shared" si="1084"/>
        <v>-75.733702256223253</v>
      </c>
      <c r="N236" s="941"/>
      <c r="O236" s="942"/>
      <c r="Q236" s="162">
        <f t="shared" si="1076"/>
        <v>-4.7775012317310086</v>
      </c>
      <c r="R236" s="162">
        <f t="shared" si="1077"/>
        <v>-1.5849502636753487</v>
      </c>
      <c r="S236" s="162">
        <f t="shared" si="1078"/>
        <v>-1.8469806553404726</v>
      </c>
      <c r="T236" s="162">
        <f t="shared" si="1079"/>
        <v>-0.23680475010775959</v>
      </c>
      <c r="U236" s="162">
        <f t="shared" si="1080"/>
        <v>-0.96234355074147904</v>
      </c>
      <c r="V236" s="162">
        <f t="shared" si="1081"/>
        <v>0.13348558226521709</v>
      </c>
      <c r="W236" s="162">
        <f>IFERROR(IF(ISNUMBER(MATCH($Z236,Settings!$AK$28:$AK$36,0)),INDEX(Settings!$AO$14:$AO$36,MATCH($Z236,Settings!$AK$14:$AK$36,0))/2,INDEX(Settings!$AM$14:$AM$36,MATCH($Z236,Settings!$AK$14:$AK$36,0))/2),"")</f>
        <v>0.26450000000000001</v>
      </c>
      <c r="X236" s="162">
        <f t="shared" si="1082"/>
        <v>0.52</v>
      </c>
      <c r="Y236" s="75">
        <v>5.2370000000000001</v>
      </c>
      <c r="Z236" s="917">
        <f t="shared" si="1083"/>
        <v>1313</v>
      </c>
      <c r="AA236" s="82"/>
      <c r="AB236" s="75"/>
      <c r="AC236" s="75"/>
      <c r="AD236" s="166"/>
      <c r="AE236" s="75">
        <v>2.11</v>
      </c>
      <c r="AF236" s="82">
        <v>2</v>
      </c>
      <c r="AG236" s="82">
        <v>1</v>
      </c>
      <c r="AH236" s="82">
        <v>1</v>
      </c>
      <c r="AI236" s="82">
        <v>0.99999999998544808</v>
      </c>
      <c r="AJ236" s="166">
        <v>2.1101099999999997</v>
      </c>
      <c r="AK236" s="82" t="str">
        <v>Base</v>
      </c>
      <c r="AL236" s="162">
        <v>-19.5</v>
      </c>
      <c r="AM236" s="162">
        <v>-2.4286205357576263</v>
      </c>
      <c r="AN236" s="162">
        <v>-6.9088093042021473E-2</v>
      </c>
      <c r="AO236" s="162">
        <v>-8.604830320611164</v>
      </c>
      <c r="AP236" s="162">
        <v>-15.161593068640046</v>
      </c>
      <c r="AQ236" s="162">
        <v>0</v>
      </c>
      <c r="AR236" s="710" t="str">
        <v>1613 Ripper.par</v>
      </c>
      <c r="AV236" s="82" t="str">
        <v>204,204,0</v>
      </c>
      <c r="AW236" s="947">
        <v>-8.604830320611164</v>
      </c>
      <c r="AX236" s="947">
        <v>-8.604830320611164</v>
      </c>
      <c r="AY236" s="947">
        <v>0</v>
      </c>
    </row>
    <row r="237" spans="2:51" x14ac:dyDescent="0.25">
      <c r="B237" s="650">
        <v>-4.8133571912710211</v>
      </c>
      <c r="C237" s="651">
        <v>-1.3264778730572726</v>
      </c>
      <c r="D237" s="652">
        <v>-2.6233586781757343</v>
      </c>
      <c r="E237" s="653">
        <v>-0.96406163416222712</v>
      </c>
      <c r="F237" s="651">
        <v>-0.26567868852507681</v>
      </c>
      <c r="G237" s="654">
        <v>2.2679489693200328E-7</v>
      </c>
      <c r="H237" s="653">
        <v>0.25700000000000001</v>
      </c>
      <c r="I237" s="920">
        <v>0.41499999999999992</v>
      </c>
      <c r="J237" s="924">
        <v>5.2430000000000003</v>
      </c>
      <c r="K237" s="790" t="str">
        <f>IF($J237="","",IF(IFERROR(INDEX(Settings!$AK$14:$AK$36,MATCH((((ROUND($H237,6)*2)*1000000)+ROUND($I237,6)),Settings!$AI$14:$AI$36,0)),"Undefined")="Undefined","Undefined",IFERROR(INDEX(_xlfn.ANCHORARRAY(Settings!$BC$14),MATCH(IFERROR(INDEX(Settings!$AK$14:$AK$36,MATCH((((ROUND($H237,6)*2)*1000000)+ROUND($I237,6)),Settings!$AI$14:$AI$36,0)),"Undefined"),_xlfn.ANCHORARRAY(Settings!$BC$14),0)),"Inactive")))</f>
        <v>CPS-32193r1</v>
      </c>
      <c r="L237" s="940" t="s">
        <v>423</v>
      </c>
      <c r="M237" s="973">
        <f t="shared" si="1084"/>
        <v>-89.999987005609597</v>
      </c>
      <c r="N237" s="941"/>
      <c r="O237" s="942"/>
      <c r="Q237" s="162">
        <f t="shared" si="1076"/>
        <v>-4.8133571912710211</v>
      </c>
      <c r="R237" s="162">
        <f t="shared" si="1077"/>
        <v>-1.3264778730572726</v>
      </c>
      <c r="S237" s="162">
        <f t="shared" si="1078"/>
        <v>-2.6233586781757343</v>
      </c>
      <c r="T237" s="162">
        <f t="shared" si="1079"/>
        <v>-0.96406163416222712</v>
      </c>
      <c r="U237" s="162">
        <f t="shared" si="1080"/>
        <v>-0.26567868852507681</v>
      </c>
      <c r="V237" s="162">
        <f t="shared" si="1081"/>
        <v>2.2679489693200328E-7</v>
      </c>
      <c r="W237" s="162">
        <f>IFERROR(IF(ISNUMBER(MATCH($Z237,Settings!$AK$28:$AK$36,0)),INDEX(Settings!$AO$14:$AO$36,MATCH($Z237,Settings!$AK$14:$AK$36,0))/2,INDEX(Settings!$AM$14:$AM$36,MATCH($Z237,Settings!$AK$14:$AK$36,0))/2),"")</f>
        <v>0.255</v>
      </c>
      <c r="X237" s="162">
        <f t="shared" si="1082"/>
        <v>0.41499999999999992</v>
      </c>
      <c r="Y237" s="75">
        <v>5.2430000000000003</v>
      </c>
      <c r="Z237" s="917" t="str">
        <f t="shared" si="1083"/>
        <v>CPS-32193r1</v>
      </c>
      <c r="AA237" s="82"/>
      <c r="AB237" s="75"/>
      <c r="AC237" s="75"/>
      <c r="AD237" s="166"/>
      <c r="AE237" s="75">
        <v>1.2529999999999999</v>
      </c>
      <c r="AF237" s="82">
        <v>1</v>
      </c>
      <c r="AG237" s="82">
        <v>2</v>
      </c>
      <c r="AH237" s="82">
        <v>1</v>
      </c>
      <c r="AI237" s="82">
        <v>1.000000000003638</v>
      </c>
      <c r="AJ237" s="166">
        <v>1.2531099999999999</v>
      </c>
      <c r="AK237" s="82" t="str">
        <v>Base</v>
      </c>
      <c r="AL237" s="162">
        <v>-18.75</v>
      </c>
      <c r="AM237" s="162">
        <v>-5.1223779559634792</v>
      </c>
      <c r="AN237" s="162">
        <v>-9.4866063058107386</v>
      </c>
      <c r="AO237" s="162">
        <v>100.03561890671624</v>
      </c>
      <c r="AP237" s="162">
        <v>-39.831236627249616</v>
      </c>
      <c r="AQ237" s="162">
        <v>0</v>
      </c>
      <c r="AR237" s="710" t="str">
        <v>1313.par</v>
      </c>
      <c r="AV237" s="82" t="str">
        <v>255,188,121</v>
      </c>
      <c r="AW237" s="947">
        <v>100.03561890671624</v>
      </c>
      <c r="AX237" s="947">
        <v>100.03561890671624</v>
      </c>
      <c r="AY237" s="947">
        <v>0</v>
      </c>
    </row>
    <row r="238" spans="2:51" x14ac:dyDescent="0.25">
      <c r="B238" s="650">
        <v>-4.8405202803701499</v>
      </c>
      <c r="C238" s="651">
        <v>-1.3336218050869515</v>
      </c>
      <c r="D238" s="652">
        <v>-3.3747461436974899</v>
      </c>
      <c r="E238" s="653">
        <v>-0.96407906556756051</v>
      </c>
      <c r="F238" s="651">
        <v>-0.26561542751566253</v>
      </c>
      <c r="G238" s="654">
        <v>2.26794896820981E-7</v>
      </c>
      <c r="H238" s="653">
        <v>0.25700000000000001</v>
      </c>
      <c r="I238" s="920">
        <v>0.41499999999999992</v>
      </c>
      <c r="J238" s="924">
        <v>5.2489999999999997</v>
      </c>
      <c r="K238" s="790" t="str">
        <f>IF($J238="","",IF(IFERROR(INDEX(Settings!$AK$14:$AK$36,MATCH((((ROUND($H238,6)*2)*1000000)+ROUND($I238,6)),Settings!$AI$14:$AI$36,0)),"Undefined")="Undefined","Undefined",IFERROR(INDEX(_xlfn.ANCHORARRAY(Settings!$BC$14),MATCH(IFERROR(INDEX(Settings!$AK$14:$AK$36,MATCH((((ROUND($H238,6)*2)*1000000)+ROUND($I238,6)),Settings!$AI$14:$AI$36,0)),"Undefined"),_xlfn.ANCHORARRAY(Settings!$BC$14),0)),"Inactive")))</f>
        <v>CPS-32193r1</v>
      </c>
      <c r="L238" s="940" t="s">
        <v>423</v>
      </c>
      <c r="M238" s="973">
        <f t="shared" si="1084"/>
        <v>-89.999987005609597</v>
      </c>
      <c r="N238" s="941"/>
      <c r="O238" s="942"/>
      <c r="Q238" s="162">
        <f t="shared" si="1076"/>
        <v>-4.8405202803701499</v>
      </c>
      <c r="R238" s="162">
        <f t="shared" si="1077"/>
        <v>-1.3336218050869515</v>
      </c>
      <c r="S238" s="162">
        <f t="shared" si="1078"/>
        <v>-3.3747461436974899</v>
      </c>
      <c r="T238" s="162">
        <f t="shared" si="1079"/>
        <v>-0.96407906556756051</v>
      </c>
      <c r="U238" s="162">
        <f t="shared" si="1080"/>
        <v>-0.26561542751566253</v>
      </c>
      <c r="V238" s="162">
        <f t="shared" si="1081"/>
        <v>2.26794896820981E-7</v>
      </c>
      <c r="W238" s="162">
        <f>IFERROR(IF(ISNUMBER(MATCH($Z238,Settings!$AK$28:$AK$36,0)),INDEX(Settings!$AO$14:$AO$36,MATCH($Z238,Settings!$AK$14:$AK$36,0))/2,INDEX(Settings!$AM$14:$AM$36,MATCH($Z238,Settings!$AK$14:$AK$36,0))/2),"")</f>
        <v>0.255</v>
      </c>
      <c r="X238" s="162">
        <f t="shared" si="1082"/>
        <v>0.41499999999999992</v>
      </c>
      <c r="Y238" s="75">
        <v>5.2489999999999997</v>
      </c>
      <c r="Z238" s="917" t="str">
        <f t="shared" si="1083"/>
        <v>CPS-32193r1</v>
      </c>
      <c r="AA238" s="82"/>
      <c r="AB238" s="75"/>
      <c r="AC238" s="75"/>
      <c r="AD238" s="166"/>
      <c r="AE238" s="75">
        <v>1.2470000000000001</v>
      </c>
      <c r="AF238" s="82">
        <v>1</v>
      </c>
      <c r="AG238" s="82">
        <v>2</v>
      </c>
      <c r="AH238" s="82">
        <v>1</v>
      </c>
      <c r="AI238" s="82">
        <v>1.0000000000218279</v>
      </c>
      <c r="AJ238" s="166">
        <v>1.2471100000000002</v>
      </c>
      <c r="AK238" s="82" t="str">
        <v>Base</v>
      </c>
      <c r="AL238" s="162">
        <v>-18.75</v>
      </c>
      <c r="AM238" s="162">
        <v>-5.0208747946625891</v>
      </c>
      <c r="AN238" s="162">
        <v>-3.1077976137125694</v>
      </c>
      <c r="AO238" s="162">
        <v>89.999987005609597</v>
      </c>
      <c r="AP238" s="162">
        <v>0</v>
      </c>
      <c r="AQ238" s="162">
        <v>0</v>
      </c>
      <c r="AR238" s="710" t="str">
        <v>32193r1.par</v>
      </c>
      <c r="AV238" s="82" t="str">
        <v>255,188,121</v>
      </c>
      <c r="AW238" s="947">
        <v>89.999987005609597</v>
      </c>
      <c r="AX238" s="947">
        <v>89.999987005609597</v>
      </c>
      <c r="AY238" s="947">
        <v>0</v>
      </c>
    </row>
    <row r="239" spans="2:51" x14ac:dyDescent="0.25">
      <c r="B239" s="650">
        <v>3.5670794055829904</v>
      </c>
      <c r="C239" s="651">
        <v>-3.6938230288034171</v>
      </c>
      <c r="D239" s="652">
        <v>-9.5000286520864137</v>
      </c>
      <c r="E239" s="653">
        <v>0.99078049831935566</v>
      </c>
      <c r="F239" s="651">
        <v>7.6780626301749713E-2</v>
      </c>
      <c r="G239" s="654">
        <v>-0.11161872412261509</v>
      </c>
      <c r="H239" s="653">
        <v>0.26600000000000001</v>
      </c>
      <c r="I239" s="920">
        <v>0.52</v>
      </c>
      <c r="J239" s="924">
        <v>5.2549999999999999</v>
      </c>
      <c r="K239" s="790">
        <f>IF($J239="","",IF(IFERROR(INDEX(Settings!$AK$14:$AK$36,MATCH((((ROUND($H239,6)*2)*1000000)+ROUND($I239,6)),Settings!$AI$14:$AI$36,0)),"Undefined")="Undefined","Undefined",IFERROR(INDEX(_xlfn.ANCHORARRAY(Settings!$BC$14),MATCH(IFERROR(INDEX(Settings!$AK$14:$AK$36,MATCH((((ROUND($H239,6)*2)*1000000)+ROUND($I239,6)),Settings!$AI$14:$AI$36,0)),"Undefined"),_xlfn.ANCHORARRAY(Settings!$BC$14),0)),"Inactive")))</f>
        <v>1313</v>
      </c>
      <c r="L239" s="940" t="s">
        <v>424</v>
      </c>
      <c r="M239" s="973">
        <f t="shared" si="1084"/>
        <v>-100.03561890671617</v>
      </c>
      <c r="N239" s="941"/>
      <c r="O239" s="942"/>
      <c r="Q239" s="162">
        <f t="shared" si="1076"/>
        <v>3.5670794055829904</v>
      </c>
      <c r="R239" s="162">
        <f t="shared" si="1077"/>
        <v>-3.6938230288034171</v>
      </c>
      <c r="S239" s="162">
        <f t="shared" si="1078"/>
        <v>-9.5000286520864137</v>
      </c>
      <c r="T239" s="162">
        <f t="shared" si="1079"/>
        <v>0.99078049831935566</v>
      </c>
      <c r="U239" s="162">
        <f t="shared" si="1080"/>
        <v>7.6780626301749713E-2</v>
      </c>
      <c r="V239" s="162">
        <f t="shared" si="1081"/>
        <v>-0.11161872412261509</v>
      </c>
      <c r="W239" s="162">
        <f>IFERROR(IF(ISNUMBER(MATCH($Z239,Settings!$AK$28:$AK$36,0)),INDEX(Settings!$AO$14:$AO$36,MATCH($Z239,Settings!$AK$14:$AK$36,0))/2,INDEX(Settings!$AM$14:$AM$36,MATCH($Z239,Settings!$AK$14:$AK$36,0))/2),"")</f>
        <v>0.26450000000000001</v>
      </c>
      <c r="X239" s="162">
        <f t="shared" si="1082"/>
        <v>0.52</v>
      </c>
      <c r="Y239" s="75">
        <v>5.2549999999999999</v>
      </c>
      <c r="Z239" s="917">
        <f t="shared" si="1083"/>
        <v>1313</v>
      </c>
      <c r="AA239" s="82"/>
      <c r="AB239" s="75"/>
      <c r="AC239" s="75"/>
      <c r="AD239" s="166"/>
      <c r="AE239" s="75">
        <v>1.2410000000000001</v>
      </c>
      <c r="AF239" s="82">
        <v>1</v>
      </c>
      <c r="AG239" s="82">
        <v>2</v>
      </c>
      <c r="AH239" s="82">
        <v>1</v>
      </c>
      <c r="AI239" s="82">
        <v>1.0000000000218279</v>
      </c>
      <c r="AJ239" s="166">
        <v>1.2411100000000002</v>
      </c>
      <c r="AK239" s="82" t="str">
        <v>Base</v>
      </c>
      <c r="AL239" s="162">
        <v>-18.75</v>
      </c>
      <c r="AM239" s="162">
        <v>-4.9927899012947687</v>
      </c>
      <c r="AN239" s="162">
        <v>-2.3564153699582664</v>
      </c>
      <c r="AO239" s="162">
        <v>89.999987005609611</v>
      </c>
      <c r="AP239" s="162">
        <v>0</v>
      </c>
      <c r="AQ239" s="162">
        <v>0</v>
      </c>
      <c r="AR239" s="710" t="str">
        <v>32193r1.par</v>
      </c>
      <c r="AV239" s="82" t="str">
        <v>255,188,121</v>
      </c>
      <c r="AW239" s="947">
        <v>89.999987005609611</v>
      </c>
      <c r="AX239" s="947">
        <v>89.999987005609611</v>
      </c>
      <c r="AY239" s="947">
        <v>0</v>
      </c>
    </row>
    <row r="240" spans="2:51" x14ac:dyDescent="0.25">
      <c r="B240" s="650">
        <v>-2.2489912543589865</v>
      </c>
      <c r="C240" s="651">
        <v>1.4605148579991447</v>
      </c>
      <c r="D240" s="652">
        <v>-0.1071006309500316</v>
      </c>
      <c r="E240" s="653">
        <v>-0.52222157471588571</v>
      </c>
      <c r="F240" s="651">
        <v>-0.81096822806638758</v>
      </c>
      <c r="G240" s="654">
        <v>0.26384684945650655</v>
      </c>
      <c r="H240" s="653">
        <v>0.314</v>
      </c>
      <c r="I240" s="920">
        <v>0.52</v>
      </c>
      <c r="J240" s="924">
        <v>6.1120000000000001</v>
      </c>
      <c r="K240" s="790">
        <f>IF($J240="","",IF(IFERROR(INDEX(Settings!$AK$14:$AK$36,MATCH((((ROUND($H240,6)*2)*1000000)+ROUND($I240,6)),Settings!$AI$14:$AI$36,0)),"Undefined")="Undefined","Undefined",IFERROR(INDEX(_xlfn.ANCHORARRAY(Settings!$BC$14),MATCH(IFERROR(INDEX(Settings!$AK$14:$AK$36,MATCH((((ROUND($H240,6)*2)*1000000)+ROUND($I240,6)),Settings!$AI$14:$AI$36,0)),"Undefined"),_xlfn.ANCHORARRAY(Settings!$BC$14),0)),"Inactive")))</f>
        <v>1613</v>
      </c>
      <c r="L240" s="940" t="s">
        <v>422</v>
      </c>
      <c r="M240" s="973">
        <f t="shared" si="1084"/>
        <v>2.3119637600075813</v>
      </c>
      <c r="N240" s="941"/>
      <c r="O240" s="942"/>
      <c r="Q240" s="162">
        <f t="shared" si="1076"/>
        <v>-2.2489912543589865</v>
      </c>
      <c r="R240" s="162">
        <f t="shared" si="1077"/>
        <v>1.4605148579991447</v>
      </c>
      <c r="S240" s="162">
        <f t="shared" si="1078"/>
        <v>-0.1071006309500316</v>
      </c>
      <c r="T240" s="162">
        <f t="shared" si="1079"/>
        <v>-0.52222157471588571</v>
      </c>
      <c r="U240" s="162">
        <f t="shared" si="1080"/>
        <v>-0.81096822806638758</v>
      </c>
      <c r="V240" s="162">
        <f t="shared" si="1081"/>
        <v>0.26384684945650655</v>
      </c>
      <c r="W240" s="162">
        <f>IFERROR(IF(ISNUMBER(MATCH($Z240,Settings!$AK$28:$AK$36,0)),INDEX(Settings!$AO$14:$AO$36,MATCH($Z240,Settings!$AK$14:$AK$36,0))/2,INDEX(Settings!$AM$14:$AM$36,MATCH($Z240,Settings!$AK$14:$AK$36,0))/2),"")</f>
        <v>0.3125</v>
      </c>
      <c r="X240" s="162">
        <f t="shared" si="1082"/>
        <v>0.52</v>
      </c>
      <c r="Y240" s="75">
        <v>6.1120000000000001</v>
      </c>
      <c r="Z240" s="917">
        <f t="shared" si="1083"/>
        <v>1613</v>
      </c>
      <c r="AA240" s="82"/>
      <c r="AB240" s="75"/>
      <c r="AC240" s="75"/>
      <c r="AD240" s="166"/>
      <c r="AE240" s="75">
        <v>1.2350000000000001</v>
      </c>
      <c r="AF240" s="82">
        <v>1</v>
      </c>
      <c r="AG240" s="82">
        <v>2</v>
      </c>
      <c r="AH240" s="82">
        <v>1</v>
      </c>
      <c r="AI240" s="82">
        <v>1.0000000000218279</v>
      </c>
      <c r="AJ240" s="166">
        <v>1.2351100000000002</v>
      </c>
      <c r="AK240" s="82" t="str">
        <v>Base</v>
      </c>
      <c r="AL240" s="162">
        <v>-18.75</v>
      </c>
      <c r="AM240" s="162">
        <v>-4.9655836720076438</v>
      </c>
      <c r="AN240" s="162">
        <v>-1.5850220210252144</v>
      </c>
      <c r="AO240" s="162">
        <v>69.566043588691343</v>
      </c>
      <c r="AP240" s="162">
        <v>-31.467894876304182</v>
      </c>
      <c r="AQ240" s="162">
        <v>0</v>
      </c>
      <c r="AR240" s="710" t="str">
        <v>1313.par</v>
      </c>
      <c r="AV240" s="82" t="str">
        <v>255,188,121</v>
      </c>
      <c r="AW240" s="947">
        <v>69.566043588691343</v>
      </c>
      <c r="AX240" s="947">
        <v>69.566043588691343</v>
      </c>
      <c r="AY240" s="947">
        <v>0</v>
      </c>
    </row>
    <row r="241" spans="2:51" x14ac:dyDescent="0.25">
      <c r="B241" s="650">
        <v>-2.8856759182127787</v>
      </c>
      <c r="C241" s="651">
        <v>1.8876178580667811</v>
      </c>
      <c r="D241" s="652">
        <v>-0.16320096934676293</v>
      </c>
      <c r="E241" s="653">
        <v>-0.59572352404201612</v>
      </c>
      <c r="F241" s="651">
        <v>-0.75954408206156487</v>
      </c>
      <c r="G241" s="654">
        <v>0.26116330199363064</v>
      </c>
      <c r="H241" s="653">
        <v>0.314</v>
      </c>
      <c r="I241" s="920">
        <v>0.52</v>
      </c>
      <c r="J241" s="924">
        <v>6.1180000000000003</v>
      </c>
      <c r="K241" s="790">
        <f>IF($J241="","",IF(IFERROR(INDEX(Settings!$AK$14:$AK$36,MATCH((((ROUND($H241,6)*2)*1000000)+ROUND($I241,6)),Settings!$AI$14:$AI$36,0)),"Undefined")="Undefined","Undefined",IFERROR(INDEX(_xlfn.ANCHORARRAY(Settings!$BC$14),MATCH(IFERROR(INDEX(Settings!$AK$14:$AK$36,MATCH((((ROUND($H241,6)*2)*1000000)+ROUND($I241,6)),Settings!$AI$14:$AI$36,0)),"Undefined"),_xlfn.ANCHORARRAY(Settings!$BC$14),0)),"Inactive")))</f>
        <v>1613</v>
      </c>
      <c r="L241" s="940" t="s">
        <v>422</v>
      </c>
      <c r="M241" s="973">
        <f t="shared" si="1084"/>
        <v>-16.504059297615232</v>
      </c>
      <c r="N241" s="941"/>
      <c r="O241" s="942"/>
      <c r="Q241" s="162">
        <f t="shared" si="1076"/>
        <v>-2.8856759182127787</v>
      </c>
      <c r="R241" s="162">
        <f t="shared" si="1077"/>
        <v>1.8876178580667811</v>
      </c>
      <c r="S241" s="162">
        <f t="shared" si="1078"/>
        <v>-0.16320096934676293</v>
      </c>
      <c r="T241" s="162">
        <f t="shared" si="1079"/>
        <v>-0.59572352404201612</v>
      </c>
      <c r="U241" s="162">
        <f t="shared" si="1080"/>
        <v>-0.75954408206156487</v>
      </c>
      <c r="V241" s="162">
        <f t="shared" si="1081"/>
        <v>0.26116330199363064</v>
      </c>
      <c r="W241" s="162">
        <f>IFERROR(IF(ISNUMBER(MATCH($Z241,Settings!$AK$28:$AK$36,0)),INDEX(Settings!$AO$14:$AO$36,MATCH($Z241,Settings!$AK$14:$AK$36,0))/2,INDEX(Settings!$AM$14:$AM$36,MATCH($Z241,Settings!$AK$14:$AK$36,0))/2),"")</f>
        <v>0.3125</v>
      </c>
      <c r="X241" s="162">
        <f t="shared" si="1082"/>
        <v>0.52</v>
      </c>
      <c r="Y241" s="75">
        <v>6.1180000000000003</v>
      </c>
      <c r="Z241" s="917">
        <f t="shared" si="1083"/>
        <v>1613</v>
      </c>
      <c r="AA241" s="82"/>
      <c r="AB241" s="75"/>
      <c r="AC241" s="75"/>
      <c r="AD241" s="166"/>
      <c r="AE241" s="75">
        <v>1.2290000000000001</v>
      </c>
      <c r="AF241" s="82">
        <v>1</v>
      </c>
      <c r="AG241" s="82">
        <v>2</v>
      </c>
      <c r="AH241" s="82">
        <v>1</v>
      </c>
      <c r="AI241" s="82">
        <v>1.0000000000218279</v>
      </c>
      <c r="AJ241" s="166">
        <v>1.2291100000000001</v>
      </c>
      <c r="AK241" s="82" t="str">
        <v>Base</v>
      </c>
      <c r="AL241" s="162">
        <v>-18.75</v>
      </c>
      <c r="AM241" s="162">
        <v>-4.6179594043500742</v>
      </c>
      <c r="AN241" s="162">
        <v>-0.894723813163672</v>
      </c>
      <c r="AO241" s="162">
        <v>51.026324417745535</v>
      </c>
      <c r="AP241" s="162">
        <v>-27.48633572036287</v>
      </c>
      <c r="AQ241" s="162">
        <v>0</v>
      </c>
      <c r="AR241" s="710" t="str">
        <v>1313.par</v>
      </c>
      <c r="AV241" s="82" t="str">
        <v>255,188,121</v>
      </c>
      <c r="AW241" s="947">
        <v>51.026324417745535</v>
      </c>
      <c r="AX241" s="947">
        <v>51.026324417745535</v>
      </c>
      <c r="AY241" s="947">
        <v>0</v>
      </c>
    </row>
    <row r="242" spans="2:51" x14ac:dyDescent="0.25">
      <c r="B242" s="650">
        <v>-3.4417812110680415</v>
      </c>
      <c r="C242" s="651">
        <v>2.3091250482779957</v>
      </c>
      <c r="D242" s="652">
        <v>-0.48840293096203768</v>
      </c>
      <c r="E242" s="653">
        <v>-0.68716718689088374</v>
      </c>
      <c r="F242" s="651">
        <v>-0.67530669300495516</v>
      </c>
      <c r="G242" s="654">
        <v>0.26788454162788272</v>
      </c>
      <c r="H242" s="653">
        <v>0.314</v>
      </c>
      <c r="I242" s="920">
        <v>0.52</v>
      </c>
      <c r="J242" s="924">
        <v>6.1239999999999997</v>
      </c>
      <c r="K242" s="790">
        <f>IF($J242="","",IF(IFERROR(INDEX(Settings!$AK$14:$AK$36,MATCH((((ROUND($H242,6)*2)*1000000)+ROUND($I242,6)),Settings!$AI$14:$AI$36,0)),"Undefined")="Undefined","Undefined",IFERROR(INDEX(_xlfn.ANCHORARRAY(Settings!$BC$14),MATCH(IFERROR(INDEX(Settings!$AK$14:$AK$36,MATCH((((ROUND($H242,6)*2)*1000000)+ROUND($I242,6)),Settings!$AI$14:$AI$36,0)),"Undefined"),_xlfn.ANCHORARRAY(Settings!$BC$14),0)),"Inactive")))</f>
        <v>1613</v>
      </c>
      <c r="L242" s="940" t="s">
        <v>420</v>
      </c>
      <c r="M242" s="973">
        <f t="shared" si="1084"/>
        <v>-35.360276952469491</v>
      </c>
      <c r="N242" s="941"/>
      <c r="O242" s="942"/>
      <c r="Q242" s="162">
        <f t="shared" si="1076"/>
        <v>-3.4417812110680415</v>
      </c>
      <c r="R242" s="162">
        <f t="shared" si="1077"/>
        <v>2.3091250482779957</v>
      </c>
      <c r="S242" s="162">
        <f t="shared" si="1078"/>
        <v>-0.48840293096203768</v>
      </c>
      <c r="T242" s="162">
        <f t="shared" si="1079"/>
        <v>-0.68716718689088374</v>
      </c>
      <c r="U242" s="162">
        <f t="shared" si="1080"/>
        <v>-0.67530669300495516</v>
      </c>
      <c r="V242" s="162">
        <f t="shared" si="1081"/>
        <v>0.26788454162788272</v>
      </c>
      <c r="W242" s="162">
        <f>IFERROR(IF(ISNUMBER(MATCH($Z242,Settings!$AK$28:$AK$36,0)),INDEX(Settings!$AO$14:$AO$36,MATCH($Z242,Settings!$AK$14:$AK$36,0))/2,INDEX(Settings!$AM$14:$AM$36,MATCH($Z242,Settings!$AK$14:$AK$36,0))/2),"")</f>
        <v>0.3125</v>
      </c>
      <c r="X242" s="162">
        <f t="shared" si="1082"/>
        <v>0.52</v>
      </c>
      <c r="Y242" s="75">
        <v>6.1239999999999997</v>
      </c>
      <c r="Z242" s="917">
        <f t="shared" si="1083"/>
        <v>1613</v>
      </c>
      <c r="AA242" s="82"/>
      <c r="AB242" s="75"/>
      <c r="AC242" s="75"/>
      <c r="AD242" s="166"/>
      <c r="AE242" s="75">
        <v>1.2230000000000001</v>
      </c>
      <c r="AF242" s="82">
        <v>1</v>
      </c>
      <c r="AG242" s="82">
        <v>2</v>
      </c>
      <c r="AH242" s="82">
        <v>1</v>
      </c>
      <c r="AI242" s="82">
        <v>1.0000000000218279</v>
      </c>
      <c r="AJ242" s="166">
        <v>1.2231100000000001</v>
      </c>
      <c r="AK242" s="82" t="str">
        <v>Base</v>
      </c>
      <c r="AL242" s="162">
        <v>-18.75</v>
      </c>
      <c r="AM242" s="162">
        <v>-4.0470214224005918</v>
      </c>
      <c r="AN242" s="162">
        <v>-0.37354092895085494</v>
      </c>
      <c r="AO242" s="162">
        <v>32.403257224374144</v>
      </c>
      <c r="AP242" s="162">
        <v>-23.52307731097898</v>
      </c>
      <c r="AQ242" s="162">
        <v>0</v>
      </c>
      <c r="AR242" s="710" t="str">
        <v>1313.par</v>
      </c>
      <c r="AV242" s="82" t="str">
        <v>255,188,121</v>
      </c>
      <c r="AW242" s="947">
        <v>32.403257224374144</v>
      </c>
      <c r="AX242" s="947">
        <v>32.403257224374144</v>
      </c>
      <c r="AY242" s="947">
        <v>0</v>
      </c>
    </row>
    <row r="243" spans="2:51" x14ac:dyDescent="0.25">
      <c r="B243" s="650">
        <v>-3.8532472546076901</v>
      </c>
      <c r="C243" s="651">
        <v>2.6558007916296562</v>
      </c>
      <c r="D243" s="652">
        <v>-1.0400062582282894</v>
      </c>
      <c r="E243" s="653">
        <v>-0.78603894357677295</v>
      </c>
      <c r="F243" s="651">
        <v>-0.57350484074695474</v>
      </c>
      <c r="G243" s="654">
        <v>0.23072706130950654</v>
      </c>
      <c r="H243" s="653">
        <v>0.314</v>
      </c>
      <c r="I243" s="920">
        <v>0.52</v>
      </c>
      <c r="J243" s="924">
        <v>6.13</v>
      </c>
      <c r="K243" s="790">
        <f>IF($J243="","",IF(IFERROR(INDEX(Settings!$AK$14:$AK$36,MATCH((((ROUND($H243,6)*2)*1000000)+ROUND($I243,6)),Settings!$AI$14:$AI$36,0)),"Undefined")="Undefined","Undefined",IFERROR(INDEX(_xlfn.ANCHORARRAY(Settings!$BC$14),MATCH(IFERROR(INDEX(Settings!$AK$14:$AK$36,MATCH((((ROUND($H243,6)*2)*1000000)+ROUND($I243,6)),Settings!$AI$14:$AI$36,0)),"Undefined"),_xlfn.ANCHORARRAY(Settings!$BC$14),0)),"Inactive")))</f>
        <v>1613</v>
      </c>
      <c r="L243" s="940" t="s">
        <v>420</v>
      </c>
      <c r="M243" s="973">
        <f t="shared" si="1084"/>
        <v>-54.048010045486649</v>
      </c>
      <c r="N243" s="941"/>
      <c r="O243" s="942"/>
      <c r="Q243" s="162">
        <f t="shared" si="1076"/>
        <v>-3.8532472546076901</v>
      </c>
      <c r="R243" s="162">
        <f t="shared" si="1077"/>
        <v>2.6558007916296562</v>
      </c>
      <c r="S243" s="162">
        <f t="shared" si="1078"/>
        <v>-1.0400062582282894</v>
      </c>
      <c r="T243" s="162">
        <f t="shared" si="1079"/>
        <v>-0.78603894357677295</v>
      </c>
      <c r="U243" s="162">
        <f t="shared" si="1080"/>
        <v>-0.57350484074695474</v>
      </c>
      <c r="V243" s="162">
        <f t="shared" si="1081"/>
        <v>0.23072706130950654</v>
      </c>
      <c r="W243" s="162">
        <f>IFERROR(IF(ISNUMBER(MATCH($Z243,Settings!$AK$28:$AK$36,0)),INDEX(Settings!$AO$14:$AO$36,MATCH($Z243,Settings!$AK$14:$AK$36,0))/2,INDEX(Settings!$AM$14:$AM$36,MATCH($Z243,Settings!$AK$14:$AK$36,0))/2),"")</f>
        <v>0.3125</v>
      </c>
      <c r="X243" s="162">
        <f t="shared" si="1082"/>
        <v>0.52</v>
      </c>
      <c r="Y243" s="75">
        <v>6.13</v>
      </c>
      <c r="Z243" s="917">
        <f t="shared" si="1083"/>
        <v>1613</v>
      </c>
      <c r="AA243" s="82"/>
      <c r="AB243" s="75"/>
      <c r="AC243" s="75"/>
      <c r="AD243" s="166"/>
      <c r="AE243" s="75">
        <v>1.2170000000000001</v>
      </c>
      <c r="AF243" s="82">
        <v>1</v>
      </c>
      <c r="AG243" s="82">
        <v>2</v>
      </c>
      <c r="AH243" s="82">
        <v>1</v>
      </c>
      <c r="AI243" s="82">
        <v>1.0000000000218279</v>
      </c>
      <c r="AJ243" s="166">
        <v>1.2171100000000001</v>
      </c>
      <c r="AK243" s="82" t="str">
        <v>Base</v>
      </c>
      <c r="AL243" s="162">
        <v>-18.75</v>
      </c>
      <c r="AM243" s="162">
        <v>-3.3201755508845281</v>
      </c>
      <c r="AN243" s="162">
        <v>-0.11816357121926588</v>
      </c>
      <c r="AO243" s="162">
        <v>5.9999991337073153</v>
      </c>
      <c r="AP243" s="162">
        <v>0</v>
      </c>
      <c r="AQ243" s="162">
        <v>0</v>
      </c>
      <c r="AR243" s="710" t="str">
        <v>32193r1.par</v>
      </c>
      <c r="AV243" s="82" t="str">
        <v>255,188,121</v>
      </c>
      <c r="AW243" s="947">
        <v>5.9999991337073153</v>
      </c>
      <c r="AX243" s="947">
        <v>5.9999991337073153</v>
      </c>
      <c r="AY243" s="947">
        <v>0</v>
      </c>
    </row>
    <row r="244" spans="2:51" x14ac:dyDescent="0.25">
      <c r="B244" s="650">
        <v>-4.0805153744065441</v>
      </c>
      <c r="C244" s="651">
        <v>2.861460530968277</v>
      </c>
      <c r="D244" s="652">
        <v>-1.7459105162363528</v>
      </c>
      <c r="E244" s="653">
        <v>-0.86894573790422225</v>
      </c>
      <c r="F244" s="651">
        <v>-0.47581074018385494</v>
      </c>
      <c r="G244" s="654">
        <v>0.13615228277109037</v>
      </c>
      <c r="H244" s="653">
        <v>0.314</v>
      </c>
      <c r="I244" s="920">
        <v>0.52</v>
      </c>
      <c r="J244" s="924">
        <v>6.1360000000000001</v>
      </c>
      <c r="K244" s="790">
        <f>IF($J244="","",IF(IFERROR(INDEX(Settings!$AK$14:$AK$36,MATCH((((ROUND($H244,6)*2)*1000000)+ROUND($I244,6)),Settings!$AI$14:$AI$36,0)),"Undefined")="Undefined","Undefined",IFERROR(INDEX(_xlfn.ANCHORARRAY(Settings!$BC$14),MATCH(IFERROR(INDEX(Settings!$AK$14:$AK$36,MATCH((((ROUND($H244,6)*2)*1000000)+ROUND($I244,6)),Settings!$AI$14:$AI$36,0)),"Undefined"),_xlfn.ANCHORARRAY(Settings!$BC$14),0)),"Inactive")))</f>
        <v>1613</v>
      </c>
      <c r="L244" s="940" t="s">
        <v>420</v>
      </c>
      <c r="M244" s="973">
        <f t="shared" si="1084"/>
        <v>-72.623499997444313</v>
      </c>
      <c r="N244" s="941"/>
      <c r="O244" s="942"/>
      <c r="Q244" s="162">
        <f t="shared" si="1076"/>
        <v>-4.0805153744065441</v>
      </c>
      <c r="R244" s="162">
        <f t="shared" si="1077"/>
        <v>2.861460530968277</v>
      </c>
      <c r="S244" s="162">
        <f t="shared" si="1078"/>
        <v>-1.7459105162363528</v>
      </c>
      <c r="T244" s="162">
        <f t="shared" si="1079"/>
        <v>-0.86894573790422225</v>
      </c>
      <c r="U244" s="162">
        <f t="shared" si="1080"/>
        <v>-0.47581074018385494</v>
      </c>
      <c r="V244" s="162">
        <f t="shared" si="1081"/>
        <v>0.13615228277109037</v>
      </c>
      <c r="W244" s="162">
        <f>IFERROR(IF(ISNUMBER(MATCH($Z244,Settings!$AK$28:$AK$36,0)),INDEX(Settings!$AO$14:$AO$36,MATCH($Z244,Settings!$AK$14:$AK$36,0))/2,INDEX(Settings!$AM$14:$AM$36,MATCH($Z244,Settings!$AK$14:$AK$36,0))/2),"")</f>
        <v>0.3125</v>
      </c>
      <c r="X244" s="162">
        <f t="shared" si="1082"/>
        <v>0.52</v>
      </c>
      <c r="Y244" s="75">
        <v>6.1360000000000001</v>
      </c>
      <c r="Z244" s="917">
        <f t="shared" si="1083"/>
        <v>1613</v>
      </c>
      <c r="AA244" s="82"/>
      <c r="AB244" s="75"/>
      <c r="AC244" s="75"/>
      <c r="AD244" s="166"/>
      <c r="AE244" s="75">
        <v>1.147</v>
      </c>
      <c r="AF244" s="82">
        <v>1</v>
      </c>
      <c r="AG244" s="82">
        <v>1</v>
      </c>
      <c r="AH244" s="82">
        <v>1</v>
      </c>
      <c r="AI244" s="82">
        <v>1.000000000003638</v>
      </c>
      <c r="AJ244" s="166">
        <v>1.1471100000000001</v>
      </c>
      <c r="AK244" s="82" t="str">
        <v>Base</v>
      </c>
      <c r="AL244" s="162">
        <v>-18</v>
      </c>
      <c r="AM244" s="162">
        <v>-5.0550887932628417</v>
      </c>
      <c r="AN244" s="162">
        <v>-3.1010900760535764</v>
      </c>
      <c r="AO244" s="162">
        <v>84.970117416838434</v>
      </c>
      <c r="AP244" s="162">
        <v>-29.785208788526894</v>
      </c>
      <c r="AQ244" s="162">
        <v>0</v>
      </c>
      <c r="AR244" s="710" t="str">
        <v>1613.par</v>
      </c>
      <c r="AV244" s="82" t="str">
        <v>255,127,0</v>
      </c>
      <c r="AW244" s="947">
        <v>84.970117416838434</v>
      </c>
      <c r="AX244" s="947">
        <v>84.970117416838434</v>
      </c>
      <c r="AY244" s="947">
        <v>0</v>
      </c>
    </row>
    <row r="245" spans="2:51" x14ac:dyDescent="0.25">
      <c r="B245" s="650">
        <v>-4.119747063205847</v>
      </c>
      <c r="C245" s="651">
        <v>2.8979909964589323</v>
      </c>
      <c r="D245" s="652">
        <v>-2.508215114450755</v>
      </c>
      <c r="E245" s="653">
        <v>-0.90552443723870402</v>
      </c>
      <c r="F245" s="651">
        <v>-0.42205290684618751</v>
      </c>
      <c r="G245" s="654">
        <v>4.3552696658322884E-2</v>
      </c>
      <c r="H245" s="653">
        <v>0.314</v>
      </c>
      <c r="I245" s="920">
        <v>0.52</v>
      </c>
      <c r="J245" s="924">
        <v>6.1420000000000003</v>
      </c>
      <c r="K245" s="790">
        <f>IF($J245="","",IF(IFERROR(INDEX(Settings!$AK$14:$AK$36,MATCH((((ROUND($H245,6)*2)*1000000)+ROUND($I245,6)),Settings!$AI$14:$AI$36,0)),"Undefined")="Undefined","Undefined",IFERROR(INDEX(_xlfn.ANCHORARRAY(Settings!$BC$14),MATCH(IFERROR(INDEX(Settings!$AK$14:$AK$36,MATCH((((ROUND($H245,6)*2)*1000000)+ROUND($I245,6)),Settings!$AI$14:$AI$36,0)),"Undefined"),_xlfn.ANCHORARRAY(Settings!$BC$14),0)),"Inactive")))</f>
        <v>1613</v>
      </c>
      <c r="L245" s="940" t="s">
        <v>420</v>
      </c>
      <c r="M245" s="973">
        <f t="shared" si="1084"/>
        <v>-84.96994937215598</v>
      </c>
      <c r="N245" s="941"/>
      <c r="O245" s="942"/>
      <c r="Q245" s="162">
        <f t="shared" si="1076"/>
        <v>-4.119747063205847</v>
      </c>
      <c r="R245" s="162">
        <f t="shared" si="1077"/>
        <v>2.8979909964589323</v>
      </c>
      <c r="S245" s="162">
        <f t="shared" si="1078"/>
        <v>-2.508215114450755</v>
      </c>
      <c r="T245" s="162">
        <f t="shared" si="1079"/>
        <v>-0.90552443723870402</v>
      </c>
      <c r="U245" s="162">
        <f t="shared" si="1080"/>
        <v>-0.42205290684618751</v>
      </c>
      <c r="V245" s="162">
        <f t="shared" si="1081"/>
        <v>4.3552696658322884E-2</v>
      </c>
      <c r="W245" s="162">
        <f>IFERROR(IF(ISNUMBER(MATCH($Z245,Settings!$AK$28:$AK$36,0)),INDEX(Settings!$AO$14:$AO$36,MATCH($Z245,Settings!$AK$14:$AK$36,0))/2,INDEX(Settings!$AM$14:$AM$36,MATCH($Z245,Settings!$AK$14:$AK$36,0))/2),"")</f>
        <v>0.3125</v>
      </c>
      <c r="X245" s="162">
        <f t="shared" si="1082"/>
        <v>0.52</v>
      </c>
      <c r="Y245" s="75">
        <v>6.1420000000000003</v>
      </c>
      <c r="Z245" s="917">
        <f t="shared" si="1083"/>
        <v>1613</v>
      </c>
      <c r="AA245" s="82"/>
      <c r="AB245" s="75"/>
      <c r="AC245" s="75"/>
      <c r="AD245" s="166"/>
      <c r="AE245" s="75">
        <v>1.141</v>
      </c>
      <c r="AF245" s="82">
        <v>1</v>
      </c>
      <c r="AG245" s="82">
        <v>1</v>
      </c>
      <c r="AH245" s="82">
        <v>1</v>
      </c>
      <c r="AI245" s="82">
        <v>1.000000000003638</v>
      </c>
      <c r="AJ245" s="166">
        <v>1.1411100000000001</v>
      </c>
      <c r="AK245" s="82" t="str">
        <v>Base</v>
      </c>
      <c r="AL245" s="162">
        <v>-18</v>
      </c>
      <c r="AM245" s="162">
        <v>-5.0270040657372705</v>
      </c>
      <c r="AN245" s="162">
        <v>-2.349686797138439</v>
      </c>
      <c r="AO245" s="162">
        <v>84.96994937215598</v>
      </c>
      <c r="AP245" s="162">
        <v>-29.784116024848295</v>
      </c>
      <c r="AQ245" s="162">
        <v>0</v>
      </c>
      <c r="AR245" s="710" t="str">
        <v>1613.par</v>
      </c>
      <c r="AV245" s="82" t="str">
        <v>255,127,0</v>
      </c>
      <c r="AW245" s="947">
        <v>84.96994937215598</v>
      </c>
      <c r="AX245" s="947">
        <v>84.96994937215598</v>
      </c>
      <c r="AY245" s="947">
        <v>0</v>
      </c>
    </row>
    <row r="246" spans="2:51" x14ac:dyDescent="0.25">
      <c r="B246" s="650">
        <v>-4.1389507255501252</v>
      </c>
      <c r="C246" s="651">
        <v>2.9194976688556165</v>
      </c>
      <c r="D246" s="652">
        <v>-3.2597196475192631</v>
      </c>
      <c r="E246" s="653">
        <v>-0.90606878143474701</v>
      </c>
      <c r="F246" s="651">
        <v>-0.420883031165597</v>
      </c>
      <c r="G246" s="654">
        <v>4.3552696658323106E-2</v>
      </c>
      <c r="H246" s="653">
        <v>0.314</v>
      </c>
      <c r="I246" s="920">
        <v>0.52</v>
      </c>
      <c r="J246" s="924">
        <v>6.1479999999999997</v>
      </c>
      <c r="K246" s="790">
        <f>IF($J246="","",IF(IFERROR(INDEX(Settings!$AK$14:$AK$36,MATCH((((ROUND($H246,6)*2)*1000000)+ROUND($I246,6)),Settings!$AI$14:$AI$36,0)),"Undefined")="Undefined","Undefined",IFERROR(INDEX(_xlfn.ANCHORARRAY(Settings!$BC$14),MATCH(IFERROR(INDEX(Settings!$AK$14:$AK$36,MATCH((((ROUND($H246,6)*2)*1000000)+ROUND($I246,6)),Settings!$AI$14:$AI$36,0)),"Undefined"),_xlfn.ANCHORARRAY(Settings!$BC$14),0)),"Inactive")))</f>
        <v>1613</v>
      </c>
      <c r="L246" s="940" t="s">
        <v>420</v>
      </c>
      <c r="M246" s="973">
        <f t="shared" si="1084"/>
        <v>-84.970117416838406</v>
      </c>
      <c r="N246" s="941"/>
      <c r="O246" s="942"/>
      <c r="Q246" s="162">
        <f t="shared" si="1076"/>
        <v>-4.1389507255501252</v>
      </c>
      <c r="R246" s="162">
        <f t="shared" si="1077"/>
        <v>2.9194976688556165</v>
      </c>
      <c r="S246" s="162">
        <f t="shared" si="1078"/>
        <v>-3.2597196475192631</v>
      </c>
      <c r="T246" s="162">
        <f t="shared" si="1079"/>
        <v>-0.90606878143474701</v>
      </c>
      <c r="U246" s="162">
        <f t="shared" si="1080"/>
        <v>-0.420883031165597</v>
      </c>
      <c r="V246" s="162">
        <f t="shared" si="1081"/>
        <v>4.3552696658323106E-2</v>
      </c>
      <c r="W246" s="162">
        <f>IFERROR(IF(ISNUMBER(MATCH($Z246,Settings!$AK$28:$AK$36,0)),INDEX(Settings!$AO$14:$AO$36,MATCH($Z246,Settings!$AK$14:$AK$36,0))/2,INDEX(Settings!$AM$14:$AM$36,MATCH($Z246,Settings!$AK$14:$AK$36,0))/2),"")</f>
        <v>0.3125</v>
      </c>
      <c r="X246" s="162">
        <f t="shared" si="1082"/>
        <v>0.52</v>
      </c>
      <c r="Y246" s="75">
        <v>6.1479999999999997</v>
      </c>
      <c r="Z246" s="917">
        <f t="shared" si="1083"/>
        <v>1613</v>
      </c>
      <c r="AA246" s="82"/>
      <c r="AB246" s="75"/>
      <c r="AC246" s="75"/>
      <c r="AD246" s="166"/>
      <c r="AE246" s="75">
        <v>1.135</v>
      </c>
      <c r="AF246" s="82">
        <v>1</v>
      </c>
      <c r="AG246" s="82">
        <v>1</v>
      </c>
      <c r="AH246" s="82">
        <v>1</v>
      </c>
      <c r="AI246" s="82">
        <v>1.000000000003638</v>
      </c>
      <c r="AJ246" s="166">
        <v>1.1351100000000001</v>
      </c>
      <c r="AK246" s="82" t="str">
        <v>Base</v>
      </c>
      <c r="AL246" s="162">
        <v>-18</v>
      </c>
      <c r="AM246" s="162">
        <v>-4.9429492165422184</v>
      </c>
      <c r="AN246" s="162">
        <v>-1.5907023273839713</v>
      </c>
      <c r="AO246" s="162">
        <v>69.53293472939626</v>
      </c>
      <c r="AP246" s="162">
        <v>-26.457837763909776</v>
      </c>
      <c r="AQ246" s="162">
        <v>0</v>
      </c>
      <c r="AR246" s="710" t="str">
        <v>1613.par</v>
      </c>
      <c r="AV246" s="82" t="str">
        <v>255,127,0</v>
      </c>
      <c r="AW246" s="947">
        <v>69.53293472939626</v>
      </c>
      <c r="AX246" s="947">
        <v>69.53293472939626</v>
      </c>
      <c r="AY246" s="947">
        <v>0</v>
      </c>
    </row>
    <row r="247" spans="2:51" x14ac:dyDescent="0.25">
      <c r="B247" s="650">
        <v>-2.1770378785297075</v>
      </c>
      <c r="C247" s="651">
        <v>2.6702146909085944</v>
      </c>
      <c r="D247" s="652">
        <v>-0.20203780335620697</v>
      </c>
      <c r="E247" s="653">
        <v>-0.1421467730557735</v>
      </c>
      <c r="F247" s="651">
        <v>0.174348092617993</v>
      </c>
      <c r="G247" s="654">
        <v>0.97437007215446547</v>
      </c>
      <c r="H247" s="653">
        <v>0.25700000000000001</v>
      </c>
      <c r="I247" s="920">
        <v>0.41499999999999992</v>
      </c>
      <c r="J247" s="924">
        <v>6.218</v>
      </c>
      <c r="K247" s="790" t="str">
        <f>IF($J247="","",IF(IFERROR(INDEX(Settings!$AK$14:$AK$36,MATCH((((ROUND($H247,6)*2)*1000000)+ROUND($I247,6)),Settings!$AI$14:$AI$36,0)),"Undefined")="Undefined","Undefined",IFERROR(INDEX(_xlfn.ANCHORARRAY(Settings!$BC$14),MATCH(IFERROR(INDEX(Settings!$AK$14:$AK$36,MATCH((((ROUND($H247,6)*2)*1000000)+ROUND($I247,6)),Settings!$AI$14:$AI$36,0)),"Undefined"),_xlfn.ANCHORARRAY(Settings!$BC$14),0)),"Inactive")))</f>
        <v>CPS-32193r1</v>
      </c>
      <c r="L247" s="940" t="s">
        <v>423</v>
      </c>
      <c r="M247" s="973">
        <f>AN92</f>
        <v>-12.999998123032499</v>
      </c>
      <c r="N247" s="941"/>
      <c r="O247" s="942"/>
      <c r="Q247" s="162">
        <f t="shared" si="1076"/>
        <v>-2.1770378785297075</v>
      </c>
      <c r="R247" s="162">
        <f t="shared" si="1077"/>
        <v>2.6702146909085944</v>
      </c>
      <c r="S247" s="162">
        <f t="shared" si="1078"/>
        <v>-0.20203780335620697</v>
      </c>
      <c r="T247" s="162">
        <f t="shared" si="1079"/>
        <v>-0.1421467730557735</v>
      </c>
      <c r="U247" s="162">
        <f t="shared" si="1080"/>
        <v>0.174348092617993</v>
      </c>
      <c r="V247" s="162">
        <f t="shared" si="1081"/>
        <v>0.97437007215446547</v>
      </c>
      <c r="W247" s="162">
        <f>IFERROR(IF(ISNUMBER(MATCH($Z247,Settings!$AK$28:$AK$36,0)),INDEX(Settings!$AO$14:$AO$36,MATCH($Z247,Settings!$AK$14:$AK$36,0))/2,INDEX(Settings!$AM$14:$AM$36,MATCH($Z247,Settings!$AK$14:$AK$36,0))/2),"")</f>
        <v>0.255</v>
      </c>
      <c r="X247" s="162">
        <f t="shared" si="1082"/>
        <v>0.41499999999999992</v>
      </c>
      <c r="Y247" s="75">
        <v>6.218</v>
      </c>
      <c r="Z247" s="917" t="str">
        <f t="shared" si="1083"/>
        <v>CPS-32193r1</v>
      </c>
      <c r="AA247" s="82"/>
      <c r="AB247" s="75"/>
      <c r="AC247" s="75"/>
      <c r="AD247" s="166"/>
      <c r="AE247" s="75">
        <v>1.129</v>
      </c>
      <c r="AF247" s="82">
        <v>1</v>
      </c>
      <c r="AG247" s="82">
        <v>1</v>
      </c>
      <c r="AH247" s="82">
        <v>1</v>
      </c>
      <c r="AI247" s="82">
        <v>1.000000000003638</v>
      </c>
      <c r="AJ247" s="166">
        <v>1.1291100000000001</v>
      </c>
      <c r="AK247" s="82" t="str">
        <v>Base</v>
      </c>
      <c r="AL247" s="162">
        <v>-18</v>
      </c>
      <c r="AM247" s="162">
        <v>-4.599152845196758</v>
      </c>
      <c r="AN247" s="162">
        <v>-0.90689117445904321</v>
      </c>
      <c r="AO247" s="162">
        <v>50.943025181030578</v>
      </c>
      <c r="AP247" s="162">
        <v>-22.478543785706282</v>
      </c>
      <c r="AQ247" s="162">
        <v>0</v>
      </c>
      <c r="AR247" s="710" t="str">
        <v>1613.par</v>
      </c>
      <c r="AV247" s="82" t="str">
        <v>255,127,0</v>
      </c>
      <c r="AW247" s="947">
        <v>50.943025181030578</v>
      </c>
      <c r="AX247" s="947">
        <v>50.943025181030578</v>
      </c>
      <c r="AY247" s="947">
        <v>0</v>
      </c>
    </row>
    <row r="248" spans="2:51" x14ac:dyDescent="0.25">
      <c r="B248" s="650">
        <v>-2.7088614823875843</v>
      </c>
      <c r="C248" s="651">
        <v>3.1238778875104485</v>
      </c>
      <c r="D248" s="652">
        <v>-0.52729965041995608</v>
      </c>
      <c r="E248" s="653">
        <v>-0.36634834604269323</v>
      </c>
      <c r="F248" s="651">
        <v>0.42247545870086312</v>
      </c>
      <c r="G248" s="654">
        <v>0.82903762046560858</v>
      </c>
      <c r="H248" s="653">
        <v>0.25700000000000001</v>
      </c>
      <c r="I248" s="920">
        <v>0.41499999999999992</v>
      </c>
      <c r="J248" s="924">
        <v>6.2240000000000002</v>
      </c>
      <c r="K248" s="790" t="str">
        <f>IF($J248="","",IF(IFERROR(INDEX(Settings!$AK$14:$AK$36,MATCH((((ROUND($H248,6)*2)*1000000)+ROUND($I248,6)),Settings!$AI$14:$AI$36,0)),"Undefined")="Undefined","Undefined",IFERROR(INDEX(_xlfn.ANCHORARRAY(Settings!$BC$14),MATCH(IFERROR(INDEX(Settings!$AK$14:$AK$36,MATCH((((ROUND($H248,6)*2)*1000000)+ROUND($I248,6)),Settings!$AI$14:$AI$36,0)),"Undefined"),_xlfn.ANCHORARRAY(Settings!$BC$14),0)),"Inactive")))</f>
        <v>CPS-32193r1</v>
      </c>
      <c r="L248" s="940" t="s">
        <v>423</v>
      </c>
      <c r="M248" s="973">
        <f t="shared" si="1084"/>
        <v>-33.999995091008067</v>
      </c>
      <c r="N248" s="941"/>
      <c r="O248" s="942"/>
      <c r="Q248" s="162">
        <f t="shared" si="1076"/>
        <v>-2.7088614823875843</v>
      </c>
      <c r="R248" s="162">
        <f t="shared" si="1077"/>
        <v>3.1238778875104485</v>
      </c>
      <c r="S248" s="162">
        <f t="shared" si="1078"/>
        <v>-0.52729965041995608</v>
      </c>
      <c r="T248" s="162">
        <f t="shared" si="1079"/>
        <v>-0.36634834604269323</v>
      </c>
      <c r="U248" s="162">
        <f t="shared" si="1080"/>
        <v>0.42247545870086312</v>
      </c>
      <c r="V248" s="162">
        <f t="shared" si="1081"/>
        <v>0.82903762046560858</v>
      </c>
      <c r="W248" s="162">
        <f>IFERROR(IF(ISNUMBER(MATCH($Z248,Settings!$AK$28:$AK$36,0)),INDEX(Settings!$AO$14:$AO$36,MATCH($Z248,Settings!$AK$14:$AK$36,0))/2,INDEX(Settings!$AM$14:$AM$36,MATCH($Z248,Settings!$AK$14:$AK$36,0))/2),"")</f>
        <v>0.255</v>
      </c>
      <c r="X248" s="162">
        <f t="shared" si="1082"/>
        <v>0.41499999999999992</v>
      </c>
      <c r="Y248" s="75">
        <v>6.2240000000000002</v>
      </c>
      <c r="Z248" s="917" t="str">
        <f t="shared" si="1083"/>
        <v>CPS-32193r1</v>
      </c>
      <c r="AA248" s="82"/>
      <c r="AB248" s="75"/>
      <c r="AC248" s="75"/>
      <c r="AD248" s="166"/>
      <c r="AE248" s="75">
        <v>1.123</v>
      </c>
      <c r="AF248" s="82">
        <v>1</v>
      </c>
      <c r="AG248" s="82">
        <v>1</v>
      </c>
      <c r="AH248" s="82">
        <v>1</v>
      </c>
      <c r="AI248" s="82">
        <v>1.000000000003638</v>
      </c>
      <c r="AJ248" s="166">
        <v>1.1231100000000001</v>
      </c>
      <c r="AK248" s="82" t="str">
        <v>Base</v>
      </c>
      <c r="AL248" s="162">
        <v>-18</v>
      </c>
      <c r="AM248" s="162">
        <v>-4.0340922214204733</v>
      </c>
      <c r="AN248" s="162">
        <v>-0.39020968085698138</v>
      </c>
      <c r="AO248" s="162">
        <v>32.228901208944677</v>
      </c>
      <c r="AP248" s="162">
        <v>-18.518146153032774</v>
      </c>
      <c r="AQ248" s="162">
        <v>0</v>
      </c>
      <c r="AR248" s="710" t="str">
        <v>1613.par</v>
      </c>
      <c r="AV248" s="82" t="str">
        <v>255,127,0</v>
      </c>
      <c r="AW248" s="947">
        <v>32.228901208944677</v>
      </c>
      <c r="AX248" s="947">
        <v>32.228901208944677</v>
      </c>
      <c r="AY248" s="947">
        <v>0</v>
      </c>
    </row>
    <row r="249" spans="2:51" x14ac:dyDescent="0.25">
      <c r="B249" s="650">
        <v>-3.1164970620685604</v>
      </c>
      <c r="C249" s="651">
        <v>3.4628419267043786</v>
      </c>
      <c r="D249" s="652">
        <v>-1.077526991199758</v>
      </c>
      <c r="E249" s="653">
        <v>-0.5479778803189832</v>
      </c>
      <c r="F249" s="651">
        <v>0.60887616483606544</v>
      </c>
      <c r="G249" s="654">
        <v>0.57357654988295925</v>
      </c>
      <c r="H249" s="653">
        <v>0.25700000000000001</v>
      </c>
      <c r="I249" s="920">
        <v>0.41499999999999992</v>
      </c>
      <c r="J249" s="924">
        <v>6.23</v>
      </c>
      <c r="K249" s="790" t="str">
        <f>IF($J249="","",IF(IFERROR(INDEX(Settings!$AK$14:$AK$36,MATCH((((ROUND($H249,6)*2)*1000000)+ROUND($I249,6)),Settings!$AI$14:$AI$36,0)),"Undefined")="Undefined","Undefined",IFERROR(INDEX(_xlfn.ANCHORARRAY(Settings!$BC$14),MATCH(IFERROR(INDEX(Settings!$AK$14:$AK$36,MATCH((((ROUND($H249,6)*2)*1000000)+ROUND($I249,6)),Settings!$AI$14:$AI$36,0)),"Undefined"),_xlfn.ANCHORARRAY(Settings!$BC$14),0)),"Inactive")))</f>
        <v>CPS-32193r1</v>
      </c>
      <c r="L249" s="940" t="s">
        <v>423</v>
      </c>
      <c r="M249" s="973">
        <f t="shared" si="1084"/>
        <v>-54.999992058983658</v>
      </c>
      <c r="N249" s="941"/>
      <c r="O249" s="942"/>
      <c r="Q249" s="162">
        <f t="shared" si="1076"/>
        <v>-3.1164970620685604</v>
      </c>
      <c r="R249" s="162">
        <f t="shared" si="1077"/>
        <v>3.4628419267043786</v>
      </c>
      <c r="S249" s="162">
        <f t="shared" si="1078"/>
        <v>-1.077526991199758</v>
      </c>
      <c r="T249" s="162">
        <f t="shared" si="1079"/>
        <v>-0.5479778803189832</v>
      </c>
      <c r="U249" s="162">
        <f t="shared" si="1080"/>
        <v>0.60887616483606544</v>
      </c>
      <c r="V249" s="162">
        <f t="shared" si="1081"/>
        <v>0.57357654988295925</v>
      </c>
      <c r="W249" s="162">
        <f>IFERROR(IF(ISNUMBER(MATCH($Z249,Settings!$AK$28:$AK$36,0)),INDEX(Settings!$AO$14:$AO$36,MATCH($Z249,Settings!$AK$14:$AK$36,0))/2,INDEX(Settings!$AM$14:$AM$36,MATCH($Z249,Settings!$AK$14:$AK$36,0))/2),"")</f>
        <v>0.255</v>
      </c>
      <c r="X249" s="162">
        <f t="shared" si="1082"/>
        <v>0.41499999999999992</v>
      </c>
      <c r="Y249" s="75">
        <v>6.23</v>
      </c>
      <c r="Z249" s="917" t="str">
        <f t="shared" si="1083"/>
        <v>CPS-32193r1</v>
      </c>
      <c r="AA249" s="82"/>
      <c r="AB249" s="75"/>
      <c r="AC249" s="75"/>
      <c r="AD249" s="166"/>
      <c r="AE249" s="75">
        <v>1.117</v>
      </c>
      <c r="AF249" s="82">
        <v>1</v>
      </c>
      <c r="AG249" s="82">
        <v>1</v>
      </c>
      <c r="AH249" s="82">
        <v>1</v>
      </c>
      <c r="AI249" s="82">
        <v>1.000000000003638</v>
      </c>
      <c r="AJ249" s="166">
        <v>1.11711</v>
      </c>
      <c r="AK249" s="82" t="str">
        <v>Base</v>
      </c>
      <c r="AL249" s="162">
        <v>-18</v>
      </c>
      <c r="AM249" s="162">
        <v>-3.3213108411312309</v>
      </c>
      <c r="AN249" s="162">
        <v>-0.10847875888290801</v>
      </c>
      <c r="AO249" s="162">
        <v>13.374429842880255</v>
      </c>
      <c r="AP249" s="162">
        <v>-15.719986249129448</v>
      </c>
      <c r="AQ249" s="162">
        <v>0</v>
      </c>
      <c r="AR249" s="710" t="str">
        <v>1613 Ripper.par</v>
      </c>
      <c r="AV249" s="82" t="str">
        <v>255,127,0</v>
      </c>
      <c r="AW249" s="947">
        <v>13.374429842880255</v>
      </c>
      <c r="AX249" s="947">
        <v>13.374429842880255</v>
      </c>
      <c r="AY249" s="947">
        <v>0</v>
      </c>
    </row>
    <row r="250" spans="2:51" x14ac:dyDescent="0.25">
      <c r="B250" s="650">
        <v>-3.3342933249960316</v>
      </c>
      <c r="C250" s="651">
        <v>3.6571216924399015</v>
      </c>
      <c r="D250" s="652">
        <v>-1.7777544182838394</v>
      </c>
      <c r="E250" s="653">
        <v>-0.65372534475586086</v>
      </c>
      <c r="F250" s="651">
        <v>0.71701944195544065</v>
      </c>
      <c r="G250" s="654">
        <v>0.2419220814265195</v>
      </c>
      <c r="H250" s="653">
        <v>0.25700000000000001</v>
      </c>
      <c r="I250" s="920">
        <v>0.41499999999999992</v>
      </c>
      <c r="J250" s="924">
        <v>6.2359999999999998</v>
      </c>
      <c r="K250" s="790" t="str">
        <f>IF($J250="","",IF(IFERROR(INDEX(Settings!$AK$14:$AK$36,MATCH((((ROUND($H250,6)*2)*1000000)+ROUND($I250,6)),Settings!$AI$14:$AI$36,0)),"Undefined")="Undefined","Undefined",IFERROR(INDEX(_xlfn.ANCHORARRAY(Settings!$BC$14),MATCH(IFERROR(INDEX(Settings!$AK$14:$AK$36,MATCH((((ROUND($H250,6)*2)*1000000)+ROUND($I250,6)),Settings!$AI$14:$AI$36,0)),"Undefined"),_xlfn.ANCHORARRAY(Settings!$BC$14),0)),"Inactive")))</f>
        <v>CPS-32193r1</v>
      </c>
      <c r="L250" s="940" t="s">
        <v>423</v>
      </c>
      <c r="M250" s="973">
        <f t="shared" si="1084"/>
        <v>-75.999989026959227</v>
      </c>
      <c r="N250" s="941"/>
      <c r="O250" s="942"/>
      <c r="Q250" s="162">
        <f t="shared" si="1076"/>
        <v>-3.3342933249960316</v>
      </c>
      <c r="R250" s="162">
        <f t="shared" si="1077"/>
        <v>3.6571216924399015</v>
      </c>
      <c r="S250" s="162">
        <f t="shared" si="1078"/>
        <v>-1.7777544182838394</v>
      </c>
      <c r="T250" s="162">
        <f t="shared" si="1079"/>
        <v>-0.65372534475586086</v>
      </c>
      <c r="U250" s="162">
        <f t="shared" si="1080"/>
        <v>0.71701944195544065</v>
      </c>
      <c r="V250" s="162">
        <f t="shared" si="1081"/>
        <v>0.2419220814265195</v>
      </c>
      <c r="W250" s="162">
        <f>IFERROR(IF(ISNUMBER(MATCH($Z250,Settings!$AK$28:$AK$36,0)),INDEX(Settings!$AO$14:$AO$36,MATCH($Z250,Settings!$AK$14:$AK$36,0))/2,INDEX(Settings!$AM$14:$AM$36,MATCH($Z250,Settings!$AK$14:$AK$36,0))/2),"")</f>
        <v>0.255</v>
      </c>
      <c r="X250" s="162">
        <f t="shared" si="1082"/>
        <v>0.41499999999999992</v>
      </c>
      <c r="Y250" s="75">
        <v>6.2359999999999998</v>
      </c>
      <c r="Z250" s="917" t="str">
        <f t="shared" si="1083"/>
        <v>CPS-32193r1</v>
      </c>
      <c r="AA250" s="82"/>
      <c r="AB250" s="75"/>
      <c r="AC250" s="75"/>
      <c r="AD250" s="166"/>
      <c r="AE250" s="75">
        <v>1.111</v>
      </c>
      <c r="AF250" s="82">
        <v>1</v>
      </c>
      <c r="AG250" s="82">
        <v>1</v>
      </c>
      <c r="AH250" s="82">
        <v>1</v>
      </c>
      <c r="AI250" s="82">
        <v>1.000000000003638</v>
      </c>
      <c r="AJ250" s="166">
        <v>1.11111</v>
      </c>
      <c r="AK250" s="82" t="str">
        <v>Base</v>
      </c>
      <c r="AL250" s="162">
        <v>-18</v>
      </c>
      <c r="AM250" s="162">
        <v>-2.5545423236824747</v>
      </c>
      <c r="AN250" s="162">
        <v>-9.885694229904568E-2</v>
      </c>
      <c r="AO250" s="162">
        <v>-5.4571267998021593</v>
      </c>
      <c r="AP250" s="162">
        <v>-15.23519930996278</v>
      </c>
      <c r="AQ250" s="162">
        <v>0</v>
      </c>
      <c r="AR250" s="710" t="str">
        <v>1613 Ripper.par</v>
      </c>
      <c r="AV250" s="82" t="str">
        <v>255,127,0</v>
      </c>
      <c r="AW250" s="947">
        <v>-5.4571267998021593</v>
      </c>
      <c r="AX250" s="947">
        <v>-5.4571267998021593</v>
      </c>
      <c r="AY250" s="947">
        <v>0</v>
      </c>
    </row>
    <row r="251" spans="2:51" x14ac:dyDescent="0.25">
      <c r="B251" s="650">
        <v>-3.3671178074450063</v>
      </c>
      <c r="C251" s="651">
        <v>3.6865252839574776</v>
      </c>
      <c r="D251" s="652">
        <v>-2.5328581171971742</v>
      </c>
      <c r="E251" s="653">
        <v>-0.67439605391200885</v>
      </c>
      <c r="F251" s="651">
        <v>0.73836980062016311</v>
      </c>
      <c r="G251" s="654">
        <v>2.2679489637689168E-7</v>
      </c>
      <c r="H251" s="653">
        <v>0.25700000000000001</v>
      </c>
      <c r="I251" s="920">
        <v>0.41499999999999992</v>
      </c>
      <c r="J251" s="924">
        <v>6.242</v>
      </c>
      <c r="K251" s="790" t="str">
        <f>IF($J251="","",IF(IFERROR(INDEX(Settings!$AK$14:$AK$36,MATCH((((ROUND($H251,6)*2)*1000000)+ROUND($I251,6)),Settings!$AI$14:$AI$36,0)),"Undefined")="Undefined","Undefined",IFERROR(INDEX(_xlfn.ANCHORARRAY(Settings!$BC$14),MATCH(IFERROR(INDEX(Settings!$AK$14:$AK$36,MATCH((((ROUND($H251,6)*2)*1000000)+ROUND($I251,6)),Settings!$AI$14:$AI$36,0)),"Undefined"),_xlfn.ANCHORARRAY(Settings!$BC$14),0)),"Inactive")))</f>
        <v>CPS-32193r1</v>
      </c>
      <c r="L251" s="940" t="s">
        <v>423</v>
      </c>
      <c r="M251" s="973">
        <f t="shared" si="1084"/>
        <v>-89.999987005609626</v>
      </c>
      <c r="N251" s="941"/>
      <c r="O251" s="942"/>
      <c r="Q251" s="162">
        <f t="shared" si="1076"/>
        <v>-3.3671178074450063</v>
      </c>
      <c r="R251" s="162">
        <f t="shared" si="1077"/>
        <v>3.6865252839574776</v>
      </c>
      <c r="S251" s="162">
        <f t="shared" si="1078"/>
        <v>-2.5328581171971742</v>
      </c>
      <c r="T251" s="162">
        <f t="shared" si="1079"/>
        <v>-0.67439605391200885</v>
      </c>
      <c r="U251" s="162">
        <f t="shared" si="1080"/>
        <v>0.73836980062016311</v>
      </c>
      <c r="V251" s="162">
        <f t="shared" si="1081"/>
        <v>2.2679489637689168E-7</v>
      </c>
      <c r="W251" s="162">
        <f>IFERROR(IF(ISNUMBER(MATCH($Z251,Settings!$AK$28:$AK$36,0)),INDEX(Settings!$AO$14:$AO$36,MATCH($Z251,Settings!$AK$14:$AK$36,0))/2,INDEX(Settings!$AM$14:$AM$36,MATCH($Z251,Settings!$AK$14:$AK$36,0))/2),"")</f>
        <v>0.255</v>
      </c>
      <c r="X251" s="162">
        <f t="shared" si="1082"/>
        <v>0.41499999999999992</v>
      </c>
      <c r="Y251" s="75">
        <v>6.242</v>
      </c>
      <c r="Z251" s="917" t="str">
        <f t="shared" si="1083"/>
        <v>CPS-32193r1</v>
      </c>
      <c r="AA251" s="82"/>
      <c r="AB251" s="75"/>
      <c r="AC251" s="75"/>
      <c r="AD251" s="166"/>
      <c r="AE251" s="75">
        <v>1.107</v>
      </c>
      <c r="AF251" s="82">
        <v>1</v>
      </c>
      <c r="AG251" s="82">
        <v>1</v>
      </c>
      <c r="AH251" s="82">
        <v>1</v>
      </c>
      <c r="AI251" s="82">
        <v>1.000000000003638</v>
      </c>
      <c r="AJ251" s="166">
        <v>1.10711</v>
      </c>
      <c r="AK251" s="82" t="str">
        <v>Base</v>
      </c>
      <c r="AL251" s="162">
        <v>-18</v>
      </c>
      <c r="AM251" s="162">
        <v>-1.8451111286626787</v>
      </c>
      <c r="AN251" s="162">
        <v>-0.27939199011948318</v>
      </c>
      <c r="AO251" s="162">
        <v>-12.188363844259069</v>
      </c>
      <c r="AP251" s="162">
        <v>-15.1154526663362</v>
      </c>
      <c r="AQ251" s="162">
        <v>0</v>
      </c>
      <c r="AR251" s="710" t="str">
        <v>1613 Ripper.par</v>
      </c>
      <c r="AV251" s="82" t="str">
        <v>255,127,0</v>
      </c>
      <c r="AW251" s="947">
        <v>-12.188363844259069</v>
      </c>
      <c r="AX251" s="947">
        <v>-12.188363844259069</v>
      </c>
      <c r="AY251" s="947">
        <v>0</v>
      </c>
    </row>
    <row r="252" spans="2:51" x14ac:dyDescent="0.25">
      <c r="B252" s="650">
        <v>-3.3858148758125473</v>
      </c>
      <c r="C252" s="651">
        <v>3.7074845017079396</v>
      </c>
      <c r="D252" s="652">
        <v>-3.2842455827189281</v>
      </c>
      <c r="E252" s="653">
        <v>-0.67434760161948892</v>
      </c>
      <c r="F252" s="651">
        <v>0.73841405199927757</v>
      </c>
      <c r="G252" s="654">
        <v>2.2679489684873658E-7</v>
      </c>
      <c r="H252" s="653">
        <v>0.25700000000000001</v>
      </c>
      <c r="I252" s="920">
        <v>0.41499999999999992</v>
      </c>
      <c r="J252" s="924">
        <v>6.2480000000000002</v>
      </c>
      <c r="K252" s="790" t="str">
        <f>IF($J252="","",IF(IFERROR(INDEX(Settings!$AK$14:$AK$36,MATCH((((ROUND($H252,6)*2)*1000000)+ROUND($I252,6)),Settings!$AI$14:$AI$36,0)),"Undefined")="Undefined","Undefined",IFERROR(INDEX(_xlfn.ANCHORARRAY(Settings!$BC$14),MATCH(IFERROR(INDEX(Settings!$AK$14:$AK$36,MATCH((((ROUND($H252,6)*2)*1000000)+ROUND($I252,6)),Settings!$AI$14:$AI$36,0)),"Undefined"),_xlfn.ANCHORARRAY(Settings!$BC$14),0)),"Inactive")))</f>
        <v>CPS-32193r1</v>
      </c>
      <c r="L252" s="940" t="s">
        <v>423</v>
      </c>
      <c r="M252" s="973">
        <f t="shared" si="1084"/>
        <v>-89.999987005609597</v>
      </c>
      <c r="N252" s="941"/>
      <c r="O252" s="942"/>
      <c r="Q252" s="162">
        <f t="shared" si="1076"/>
        <v>-3.3858148758125473</v>
      </c>
      <c r="R252" s="162">
        <f t="shared" si="1077"/>
        <v>3.7074845017079396</v>
      </c>
      <c r="S252" s="162">
        <f t="shared" si="1078"/>
        <v>-3.2842455827189281</v>
      </c>
      <c r="T252" s="162">
        <f t="shared" si="1079"/>
        <v>-0.67434760161948892</v>
      </c>
      <c r="U252" s="162">
        <f t="shared" si="1080"/>
        <v>0.73841405199927757</v>
      </c>
      <c r="V252" s="162">
        <f t="shared" si="1081"/>
        <v>2.2679489684873658E-7</v>
      </c>
      <c r="W252" s="162">
        <f>IFERROR(IF(ISNUMBER(MATCH($Z252,Settings!$AK$28:$AK$36,0)),INDEX(Settings!$AO$14:$AO$36,MATCH($Z252,Settings!$AK$14:$AK$36,0))/2,INDEX(Settings!$AM$14:$AM$36,MATCH($Z252,Settings!$AK$14:$AK$36,0))/2),"")</f>
        <v>0.255</v>
      </c>
      <c r="X252" s="162">
        <f t="shared" si="1082"/>
        <v>0.41499999999999992</v>
      </c>
      <c r="Y252" s="75">
        <v>6.2480000000000002</v>
      </c>
      <c r="Z252" s="917" t="str">
        <f t="shared" si="1083"/>
        <v>CPS-32193r1</v>
      </c>
      <c r="AA252" s="82"/>
      <c r="AB252" s="75"/>
      <c r="AC252" s="75"/>
      <c r="AD252" s="166"/>
      <c r="AE252" s="75">
        <v>1.1040000000000001</v>
      </c>
      <c r="AF252" s="82">
        <v>1</v>
      </c>
      <c r="AG252" s="82">
        <v>1</v>
      </c>
      <c r="AH252" s="82">
        <v>1</v>
      </c>
      <c r="AI252" s="82">
        <v>1.0000000000218279</v>
      </c>
      <c r="AJ252" s="166">
        <v>1.1041100000000001</v>
      </c>
      <c r="AK252" s="82" t="str">
        <v>Base</v>
      </c>
      <c r="AL252" s="162">
        <v>-18</v>
      </c>
      <c r="AM252" s="162">
        <v>-1.117872544258617</v>
      </c>
      <c r="AN252" s="162">
        <v>-0.47375107917732268</v>
      </c>
      <c r="AO252" s="162">
        <v>-13.592723484172373</v>
      </c>
      <c r="AP252" s="162">
        <v>-15.202531777354526</v>
      </c>
      <c r="AQ252" s="162">
        <v>0</v>
      </c>
      <c r="AR252" s="710" t="str">
        <v>1613 Ripper.par</v>
      </c>
      <c r="AV252" s="82" t="str">
        <v>255,127,0</v>
      </c>
      <c r="AW252" s="947">
        <v>-13.592723484172373</v>
      </c>
      <c r="AX252" s="947">
        <v>-13.592723484172373</v>
      </c>
      <c r="AY252" s="947">
        <v>0</v>
      </c>
    </row>
    <row r="253" spans="2:51" x14ac:dyDescent="0.25">
      <c r="B253" s="650">
        <v>4.9824844706461544</v>
      </c>
      <c r="C253" s="651">
        <v>1.2422691148147689</v>
      </c>
      <c r="D253" s="652">
        <v>-9.5000286520864154</v>
      </c>
      <c r="E253" s="653">
        <v>0.42889641180125504</v>
      </c>
      <c r="F253" s="651">
        <v>0.89643132942197401</v>
      </c>
      <c r="G253" s="654">
        <v>-0.11161872412261593</v>
      </c>
      <c r="H253" s="653">
        <v>0.26600000000000001</v>
      </c>
      <c r="I253" s="920">
        <v>0.52</v>
      </c>
      <c r="J253" s="924">
        <v>6.2539999999999996</v>
      </c>
      <c r="K253" s="790">
        <f>IF($J253="","",IF(IFERROR(INDEX(Settings!$AK$14:$AK$36,MATCH((((ROUND($H253,6)*2)*1000000)+ROUND($I253,6)),Settings!$AI$14:$AI$36,0)),"Undefined")="Undefined","Undefined",IFERROR(INDEX(_xlfn.ANCHORARRAY(Settings!$BC$14),MATCH(IFERROR(INDEX(Settings!$AK$14:$AK$36,MATCH((((ROUND($H253,6)*2)*1000000)+ROUND($I253,6)),Settings!$AI$14:$AI$36,0)),"Undefined"),_xlfn.ANCHORARRAY(Settings!$BC$14),0)),"Inactive")))</f>
        <v>1313</v>
      </c>
      <c r="L253" s="940" t="s">
        <v>424</v>
      </c>
      <c r="M253" s="973">
        <f t="shared" si="1084"/>
        <v>-100.03561890671624</v>
      </c>
      <c r="N253" s="941"/>
      <c r="O253" s="942"/>
      <c r="Q253" s="162">
        <f t="shared" si="1076"/>
        <v>4.9824844706461544</v>
      </c>
      <c r="R253" s="162">
        <f t="shared" si="1077"/>
        <v>1.2422691148147689</v>
      </c>
      <c r="S253" s="162">
        <f t="shared" si="1078"/>
        <v>-9.5000286520864154</v>
      </c>
      <c r="T253" s="162">
        <f t="shared" si="1079"/>
        <v>0.42889641180125504</v>
      </c>
      <c r="U253" s="162">
        <f t="shared" si="1080"/>
        <v>0.89643132942197401</v>
      </c>
      <c r="V253" s="162">
        <f t="shared" si="1081"/>
        <v>-0.11161872412261593</v>
      </c>
      <c r="W253" s="162">
        <f>IFERROR(IF(ISNUMBER(MATCH($Z253,Settings!$AK$28:$AK$36,0)),INDEX(Settings!$AO$14:$AO$36,MATCH($Z253,Settings!$AK$14:$AK$36,0))/2,INDEX(Settings!$AM$14:$AM$36,MATCH($Z253,Settings!$AK$14:$AK$36,0))/2),"")</f>
        <v>0.26450000000000001</v>
      </c>
      <c r="X253" s="162">
        <f t="shared" si="1082"/>
        <v>0.52</v>
      </c>
      <c r="Y253" s="75">
        <v>6.2539999999999996</v>
      </c>
      <c r="Z253" s="917">
        <f t="shared" si="1083"/>
        <v>1313</v>
      </c>
      <c r="AA253" s="82"/>
      <c r="AB253" s="75"/>
      <c r="AC253" s="75"/>
      <c r="AD253" s="166"/>
      <c r="AE253" s="75">
        <v>1.101</v>
      </c>
      <c r="AF253" s="82">
        <v>1</v>
      </c>
      <c r="AG253" s="82">
        <v>1</v>
      </c>
      <c r="AH253" s="82">
        <v>1</v>
      </c>
      <c r="AI253" s="82">
        <v>1.000000000003638</v>
      </c>
      <c r="AJ253" s="166">
        <v>1.10111</v>
      </c>
      <c r="AK253" s="82" t="str">
        <v>Base</v>
      </c>
      <c r="AL253" s="162">
        <v>-18</v>
      </c>
      <c r="AM253" s="162">
        <v>-0.34590084040938435</v>
      </c>
      <c r="AN253" s="162">
        <v>-0.67944053768758017</v>
      </c>
      <c r="AO253" s="162">
        <v>-18.141294048916745</v>
      </c>
      <c r="AP253" s="162">
        <v>-20.759298132405352</v>
      </c>
      <c r="AQ253" s="162">
        <v>0</v>
      </c>
      <c r="AR253" s="710" t="str">
        <v>1613.par</v>
      </c>
      <c r="AV253" s="82" t="str">
        <v>255,127,0</v>
      </c>
      <c r="AW253" s="947">
        <v>-18.141294048916745</v>
      </c>
      <c r="AX253" s="947">
        <v>-18.141294048916745</v>
      </c>
      <c r="AY253" s="947">
        <v>0</v>
      </c>
    </row>
    <row r="254" spans="2:51" x14ac:dyDescent="0.25">
      <c r="B254" s="650"/>
      <c r="C254" s="651"/>
      <c r="D254" s="652"/>
      <c r="E254" s="653"/>
      <c r="F254" s="651"/>
      <c r="G254" s="654"/>
      <c r="H254" s="653"/>
      <c r="I254" s="920"/>
      <c r="J254" s="924"/>
      <c r="K254" s="790" t="str">
        <f>IF($J254="","",IF(IFERROR(INDEX(Settings!$AK$14:$AK$36,MATCH((((ROUND($H254,6)*2)*1000000)+ROUND($I254,6)),Settings!$AI$14:$AI$36,0)),"Undefined")="Undefined","Undefined",IFERROR(INDEX(_xlfn.ANCHORARRAY(Settings!$BC$14),MATCH(IFERROR(INDEX(Settings!$AK$14:$AK$36,MATCH((((ROUND($H254,6)*2)*1000000)+ROUND($I254,6)),Settings!$AI$14:$AI$36,0)),"Undefined"),_xlfn.ANCHORARRAY(Settings!$BC$14),0)),"Inactive")))</f>
        <v/>
      </c>
      <c r="L254" s="943"/>
      <c r="M254" s="973"/>
      <c r="N254" s="941"/>
      <c r="O254" s="942"/>
      <c r="Q254" s="162" t="str">
        <f t="shared" si="1076"/>
        <v/>
      </c>
      <c r="R254" s="162" t="str">
        <f t="shared" si="1077"/>
        <v/>
      </c>
      <c r="S254" s="162" t="str">
        <f t="shared" si="1078"/>
        <v/>
      </c>
      <c r="T254" s="162" t="str">
        <f t="shared" si="1079"/>
        <v/>
      </c>
      <c r="U254" s="162" t="str">
        <f t="shared" si="1080"/>
        <v/>
      </c>
      <c r="V254" s="162" t="str">
        <f t="shared" si="1081"/>
        <v/>
      </c>
      <c r="W254" s="162" t="str">
        <f>IFERROR(IF(ISNUMBER(MATCH($Z254,Settings!$AK$28:$AK$36,0)),INDEX(Settings!$AO$14:$AO$36,MATCH($Z254,Settings!$AK$14:$AK$36,0))/2,INDEX(Settings!$AM$14:$AM$36,MATCH($Z254,Settings!$AK$14:$AK$36,0))/2),"")</f>
        <v/>
      </c>
      <c r="X254" s="162" t="str">
        <f t="shared" si="1082"/>
        <v/>
      </c>
      <c r="Y254" s="75"/>
      <c r="Z254" s="917" t="str">
        <f t="shared" si="1083"/>
        <v/>
      </c>
      <c r="AA254" s="82"/>
      <c r="AB254" s="75"/>
      <c r="AC254" s="75"/>
      <c r="AD254" s="166"/>
      <c r="AE254" s="75">
        <v>6.2539999999999996</v>
      </c>
      <c r="AF254" s="82">
        <v>6</v>
      </c>
      <c r="AG254" s="82">
        <v>2</v>
      </c>
      <c r="AH254" s="82">
        <v>2</v>
      </c>
      <c r="AI254" s="82">
        <v>0.99999999998544808</v>
      </c>
      <c r="AJ254" s="166">
        <v>6.2542099999999996</v>
      </c>
      <c r="AK254" s="82">
        <v>6.2541099999999998</v>
      </c>
      <c r="AL254" s="162">
        <v>0</v>
      </c>
      <c r="AM254" s="162">
        <v>0</v>
      </c>
      <c r="AN254" s="162">
        <v>0</v>
      </c>
      <c r="AO254" s="162">
        <v>0</v>
      </c>
      <c r="AP254" s="162">
        <v>0</v>
      </c>
      <c r="AQ254" s="162">
        <v>0</v>
      </c>
      <c r="AR254" s="710" t="str">
        <v>1313.par</v>
      </c>
      <c r="AV254" s="82" t="str">
        <v>188,121,255</v>
      </c>
      <c r="AW254" s="947">
        <v>100.03561890671624</v>
      </c>
      <c r="AX254" s="947">
        <v>100.03561890671624</v>
      </c>
      <c r="AY254" s="947">
        <v>0</v>
      </c>
    </row>
    <row r="255" spans="2:51" x14ac:dyDescent="0.25">
      <c r="B255" s="650"/>
      <c r="C255" s="651"/>
      <c r="D255" s="652"/>
      <c r="E255" s="653"/>
      <c r="F255" s="651"/>
      <c r="G255" s="654"/>
      <c r="H255" s="653"/>
      <c r="I255" s="920"/>
      <c r="J255" s="924"/>
      <c r="K255" s="790" t="str">
        <f>IF($J255="","",IF(IFERROR(INDEX(Settings!$AK$14:$AK$36,MATCH((((ROUND($H255,6)*2)*1000000)+ROUND($I255,6)),Settings!$AI$14:$AI$36,0)),"Undefined")="Undefined","Undefined",IFERROR(INDEX(_xlfn.ANCHORARRAY(Settings!$BC$14),MATCH(IFERROR(INDEX(Settings!$AK$14:$AK$36,MATCH((((ROUND($H255,6)*2)*1000000)+ROUND($I255,6)),Settings!$AI$14:$AI$36,0)),"Undefined"),_xlfn.ANCHORARRAY(Settings!$BC$14),0)),"Inactive")))</f>
        <v/>
      </c>
      <c r="L255" s="943"/>
      <c r="M255" s="973"/>
      <c r="N255" s="941"/>
      <c r="O255" s="942"/>
      <c r="Q255" s="162" t="str">
        <f t="shared" si="1076"/>
        <v/>
      </c>
      <c r="R255" s="162" t="str">
        <f t="shared" si="1077"/>
        <v/>
      </c>
      <c r="S255" s="162" t="str">
        <f t="shared" si="1078"/>
        <v/>
      </c>
      <c r="T255" s="162" t="str">
        <f t="shared" si="1079"/>
        <v/>
      </c>
      <c r="U255" s="162" t="str">
        <f t="shared" si="1080"/>
        <v/>
      </c>
      <c r="V255" s="162" t="str">
        <f t="shared" si="1081"/>
        <v/>
      </c>
      <c r="W255" s="162" t="str">
        <f>IFERROR(IF(ISNUMBER(MATCH($Z255,Settings!$AK$28:$AK$36,0)),INDEX(Settings!$AO$14:$AO$36,MATCH($Z255,Settings!$AK$14:$AK$36,0))/2,INDEX(Settings!$AM$14:$AM$36,MATCH($Z255,Settings!$AK$14:$AK$36,0))/2),"")</f>
        <v/>
      </c>
      <c r="X255" s="162" t="str">
        <f t="shared" si="1082"/>
        <v/>
      </c>
      <c r="Y255" s="75"/>
      <c r="Z255" s="917" t="str">
        <f t="shared" si="1083"/>
        <v/>
      </c>
      <c r="AA255" s="82"/>
      <c r="AB255" s="75"/>
      <c r="AC255" s="75"/>
      <c r="AD255" s="166"/>
      <c r="AE255" s="75">
        <v>6.2480000000000002</v>
      </c>
      <c r="AF255" s="82">
        <v>6</v>
      </c>
      <c r="AG255" s="82">
        <v>2</v>
      </c>
      <c r="AH255" s="82">
        <v>2</v>
      </c>
      <c r="AI255" s="82">
        <v>1.0000000000582077</v>
      </c>
      <c r="AJ255" s="166">
        <v>6.2482100000000003</v>
      </c>
      <c r="AK255" s="82">
        <v>6.2481100000000005</v>
      </c>
      <c r="AL255" s="162">
        <v>0</v>
      </c>
      <c r="AM255" s="162">
        <v>0</v>
      </c>
      <c r="AN255" s="162">
        <v>0</v>
      </c>
      <c r="AO255" s="162">
        <v>0</v>
      </c>
      <c r="AP255" s="162">
        <v>0</v>
      </c>
      <c r="AQ255" s="162">
        <v>0</v>
      </c>
      <c r="AR255" s="710" t="str">
        <v>32193r1.par</v>
      </c>
      <c r="AV255" s="82" t="str">
        <v>188,121,255</v>
      </c>
      <c r="AW255" s="947">
        <v>89.999987005609597</v>
      </c>
      <c r="AX255" s="947">
        <v>89.999987005609597</v>
      </c>
      <c r="AY255" s="947">
        <v>0</v>
      </c>
    </row>
    <row r="256" spans="2:51" x14ac:dyDescent="0.25">
      <c r="B256" s="650"/>
      <c r="C256" s="651"/>
      <c r="D256" s="652"/>
      <c r="E256" s="653"/>
      <c r="F256" s="651"/>
      <c r="G256" s="654"/>
      <c r="H256" s="653"/>
      <c r="I256" s="920"/>
      <c r="J256" s="924"/>
      <c r="K256" s="790" t="str">
        <f>IF($J256="","",IF(IFERROR(INDEX(Settings!$AK$14:$AK$36,MATCH((((ROUND($H256,6)*2)*1000000)+ROUND($I256,6)),Settings!$AI$14:$AI$36,0)),"Undefined")="Undefined","Undefined",IFERROR(INDEX(_xlfn.ANCHORARRAY(Settings!$BC$14),MATCH(IFERROR(INDEX(Settings!$AK$14:$AK$36,MATCH((((ROUND($H256,6)*2)*1000000)+ROUND($I256,6)),Settings!$AI$14:$AI$36,0)),"Undefined"),_xlfn.ANCHORARRAY(Settings!$BC$14),0)),"Inactive")))</f>
        <v/>
      </c>
      <c r="L256" s="943"/>
      <c r="M256" s="973"/>
      <c r="N256" s="941"/>
      <c r="O256" s="942"/>
      <c r="Q256" s="162" t="str">
        <f t="shared" si="1076"/>
        <v/>
      </c>
      <c r="R256" s="162" t="str">
        <f t="shared" si="1077"/>
        <v/>
      </c>
      <c r="S256" s="162" t="str">
        <f t="shared" si="1078"/>
        <v/>
      </c>
      <c r="T256" s="162" t="str">
        <f t="shared" si="1079"/>
        <v/>
      </c>
      <c r="U256" s="162" t="str">
        <f t="shared" si="1080"/>
        <v/>
      </c>
      <c r="V256" s="162" t="str">
        <f t="shared" si="1081"/>
        <v/>
      </c>
      <c r="W256" s="162" t="str">
        <f>IFERROR(IF(ISNUMBER(MATCH($Z256,Settings!$AK$28:$AK$36,0)),INDEX(Settings!$AO$14:$AO$36,MATCH($Z256,Settings!$AK$14:$AK$36,0))/2,INDEX(Settings!$AM$14:$AM$36,MATCH($Z256,Settings!$AK$14:$AK$36,0))/2),"")</f>
        <v/>
      </c>
      <c r="X256" s="162" t="str">
        <f t="shared" si="1082"/>
        <v/>
      </c>
      <c r="Y256" s="75"/>
      <c r="Z256" s="917" t="str">
        <f t="shared" si="1083"/>
        <v/>
      </c>
      <c r="AA256" s="82"/>
      <c r="AB256" s="75"/>
      <c r="AC256" s="75"/>
      <c r="AD256" s="166"/>
      <c r="AE256" s="75">
        <v>6.242</v>
      </c>
      <c r="AF256" s="82">
        <v>6</v>
      </c>
      <c r="AG256" s="82">
        <v>2</v>
      </c>
      <c r="AH256" s="82">
        <v>2</v>
      </c>
      <c r="AI256" s="82">
        <v>0.99999999998544808</v>
      </c>
      <c r="AJ256" s="166">
        <v>6.24221</v>
      </c>
      <c r="AK256" s="82">
        <v>6.2421100000000003</v>
      </c>
      <c r="AL256" s="162">
        <v>0</v>
      </c>
      <c r="AM256" s="162">
        <v>0</v>
      </c>
      <c r="AN256" s="162">
        <v>0</v>
      </c>
      <c r="AO256" s="162">
        <v>0</v>
      </c>
      <c r="AP256" s="162">
        <v>0</v>
      </c>
      <c r="AQ256" s="162">
        <v>0</v>
      </c>
      <c r="AR256" s="710" t="str">
        <v>32193r1.par</v>
      </c>
      <c r="AV256" s="82" t="str">
        <v>188,121,255</v>
      </c>
      <c r="AW256" s="947">
        <v>89.999987005609626</v>
      </c>
      <c r="AX256" s="947">
        <v>89.999987005609626</v>
      </c>
      <c r="AY256" s="947">
        <v>0</v>
      </c>
    </row>
    <row r="257" spans="2:51" x14ac:dyDescent="0.25">
      <c r="B257" s="650"/>
      <c r="C257" s="651"/>
      <c r="D257" s="652"/>
      <c r="E257" s="653"/>
      <c r="F257" s="651"/>
      <c r="G257" s="654"/>
      <c r="H257" s="653"/>
      <c r="I257" s="920"/>
      <c r="J257" s="924"/>
      <c r="K257" s="790" t="str">
        <f>IF($J257="","",IF(IFERROR(INDEX(Settings!$AK$14:$AK$36,MATCH((((ROUND($H257,6)*2)*1000000)+ROUND($I257,6)),Settings!$AI$14:$AI$36,0)),"Undefined")="Undefined","Undefined",IFERROR(INDEX(_xlfn.ANCHORARRAY(Settings!$BC$14),MATCH(IFERROR(INDEX(Settings!$AK$14:$AK$36,MATCH((((ROUND($H257,6)*2)*1000000)+ROUND($I257,6)),Settings!$AI$14:$AI$36,0)),"Undefined"),_xlfn.ANCHORARRAY(Settings!$BC$14),0)),"Inactive")))</f>
        <v/>
      </c>
      <c r="L257" s="943"/>
      <c r="M257" s="973"/>
      <c r="N257" s="941"/>
      <c r="O257" s="942"/>
      <c r="Q257" s="162" t="str">
        <f t="shared" si="1076"/>
        <v/>
      </c>
      <c r="R257" s="162" t="str">
        <f t="shared" si="1077"/>
        <v/>
      </c>
      <c r="S257" s="162" t="str">
        <f t="shared" si="1078"/>
        <v/>
      </c>
      <c r="T257" s="162" t="str">
        <f t="shared" si="1079"/>
        <v/>
      </c>
      <c r="U257" s="162" t="str">
        <f t="shared" si="1080"/>
        <v/>
      </c>
      <c r="V257" s="162" t="str">
        <f t="shared" si="1081"/>
        <v/>
      </c>
      <c r="W257" s="162" t="str">
        <f>IFERROR(IF(ISNUMBER(MATCH($Z257,Settings!$AK$28:$AK$36,0)),INDEX(Settings!$AO$14:$AO$36,MATCH($Z257,Settings!$AK$14:$AK$36,0))/2,INDEX(Settings!$AM$14:$AM$36,MATCH($Z257,Settings!$AK$14:$AK$36,0))/2),"")</f>
        <v/>
      </c>
      <c r="X257" s="162" t="str">
        <f t="shared" si="1082"/>
        <v/>
      </c>
      <c r="Y257" s="75"/>
      <c r="Z257" s="917" t="str">
        <f t="shared" si="1083"/>
        <v/>
      </c>
      <c r="AA257" s="82"/>
      <c r="AB257" s="75"/>
      <c r="AC257" s="75"/>
      <c r="AD257" s="166"/>
      <c r="AE257" s="75">
        <v>6.2359999999999998</v>
      </c>
      <c r="AF257" s="82">
        <v>6</v>
      </c>
      <c r="AG257" s="82">
        <v>2</v>
      </c>
      <c r="AH257" s="82">
        <v>2</v>
      </c>
      <c r="AI257" s="82">
        <v>0.99999999998544808</v>
      </c>
      <c r="AJ257" s="166">
        <v>6.2362099999999998</v>
      </c>
      <c r="AK257" s="82">
        <v>6.23611</v>
      </c>
      <c r="AL257" s="162">
        <v>0</v>
      </c>
      <c r="AM257" s="162">
        <v>0</v>
      </c>
      <c r="AN257" s="162">
        <v>0</v>
      </c>
      <c r="AO257" s="162">
        <v>0</v>
      </c>
      <c r="AP257" s="162">
        <v>0</v>
      </c>
      <c r="AQ257" s="162">
        <v>0</v>
      </c>
      <c r="AR257" s="710" t="str">
        <v>32193r1.par</v>
      </c>
      <c r="AV257" s="82" t="str">
        <v>188,121,255</v>
      </c>
      <c r="AW257" s="947">
        <v>75.999989026959227</v>
      </c>
      <c r="AX257" s="947">
        <v>75.999989026959227</v>
      </c>
      <c r="AY257" s="947">
        <v>0</v>
      </c>
    </row>
    <row r="258" spans="2:51" x14ac:dyDescent="0.25">
      <c r="B258" s="650"/>
      <c r="C258" s="651"/>
      <c r="D258" s="652"/>
      <c r="E258" s="653"/>
      <c r="F258" s="651"/>
      <c r="G258" s="654"/>
      <c r="H258" s="653"/>
      <c r="I258" s="920"/>
      <c r="J258" s="924"/>
      <c r="K258" s="790" t="str">
        <f>IF($J258="","",IF(IFERROR(INDEX(Settings!$AK$14:$AK$36,MATCH((((ROUND($H258,6)*2)*1000000)+ROUND($I258,6)),Settings!$AI$14:$AI$36,0)),"Undefined")="Undefined","Undefined",IFERROR(INDEX(_xlfn.ANCHORARRAY(Settings!$BC$14),MATCH(IFERROR(INDEX(Settings!$AK$14:$AK$36,MATCH((((ROUND($H258,6)*2)*1000000)+ROUND($I258,6)),Settings!$AI$14:$AI$36,0)),"Undefined"),_xlfn.ANCHORARRAY(Settings!$BC$14),0)),"Inactive")))</f>
        <v/>
      </c>
      <c r="L258" s="943"/>
      <c r="M258" s="973"/>
      <c r="N258" s="941"/>
      <c r="O258" s="942"/>
      <c r="Q258" s="162" t="str">
        <f t="shared" si="1076"/>
        <v/>
      </c>
      <c r="R258" s="162" t="str">
        <f t="shared" si="1077"/>
        <v/>
      </c>
      <c r="S258" s="162" t="str">
        <f t="shared" si="1078"/>
        <v/>
      </c>
      <c r="T258" s="162" t="str">
        <f t="shared" si="1079"/>
        <v/>
      </c>
      <c r="U258" s="162" t="str">
        <f t="shared" si="1080"/>
        <v/>
      </c>
      <c r="V258" s="162" t="str">
        <f t="shared" si="1081"/>
        <v/>
      </c>
      <c r="W258" s="162" t="str">
        <f>IFERROR(IF(ISNUMBER(MATCH($Z258,Settings!$AK$28:$AK$36,0)),INDEX(Settings!$AO$14:$AO$36,MATCH($Z258,Settings!$AK$14:$AK$36,0))/2,INDEX(Settings!$AM$14:$AM$36,MATCH($Z258,Settings!$AK$14:$AK$36,0))/2),"")</f>
        <v/>
      </c>
      <c r="X258" s="162" t="str">
        <f t="shared" si="1082"/>
        <v/>
      </c>
      <c r="Y258" s="75"/>
      <c r="Z258" s="917" t="str">
        <f t="shared" si="1083"/>
        <v/>
      </c>
      <c r="AA258" s="82"/>
      <c r="AB258" s="75"/>
      <c r="AC258" s="75"/>
      <c r="AD258" s="166"/>
      <c r="AE258" s="75">
        <v>6.23</v>
      </c>
      <c r="AF258" s="82">
        <v>6</v>
      </c>
      <c r="AG258" s="82">
        <v>2</v>
      </c>
      <c r="AH258" s="82">
        <v>2</v>
      </c>
      <c r="AI258" s="82">
        <v>1.0000000000582077</v>
      </c>
      <c r="AJ258" s="166">
        <v>6.2302100000000005</v>
      </c>
      <c r="AK258" s="82">
        <v>6.2301100000000007</v>
      </c>
      <c r="AL258" s="162">
        <v>0</v>
      </c>
      <c r="AM258" s="162">
        <v>0</v>
      </c>
      <c r="AN258" s="162">
        <v>0</v>
      </c>
      <c r="AO258" s="162">
        <v>0</v>
      </c>
      <c r="AP258" s="162">
        <v>0</v>
      </c>
      <c r="AQ258" s="162">
        <v>0</v>
      </c>
      <c r="AR258" s="710" t="str">
        <v>32193r1.par</v>
      </c>
      <c r="AV258" s="82" t="str">
        <v>188,121,255</v>
      </c>
      <c r="AW258" s="947">
        <v>54.999992058983658</v>
      </c>
      <c r="AX258" s="947">
        <v>54.999992058983658</v>
      </c>
      <c r="AY258" s="947">
        <v>0</v>
      </c>
    </row>
    <row r="259" spans="2:51" x14ac:dyDescent="0.25">
      <c r="B259" s="650"/>
      <c r="C259" s="651"/>
      <c r="D259" s="652"/>
      <c r="E259" s="653"/>
      <c r="F259" s="651"/>
      <c r="G259" s="654"/>
      <c r="H259" s="653"/>
      <c r="I259" s="920"/>
      <c r="J259" s="924"/>
      <c r="K259" s="790" t="str">
        <f>IF($J259="","",IF(IFERROR(INDEX(Settings!$AK$14:$AK$36,MATCH((((ROUND($H259,6)*2)*1000000)+ROUND($I259,6)),Settings!$AI$14:$AI$36,0)),"Undefined")="Undefined","Undefined",IFERROR(INDEX(_xlfn.ANCHORARRAY(Settings!$BC$14),MATCH(IFERROR(INDEX(Settings!$AK$14:$AK$36,MATCH((((ROUND($H259,6)*2)*1000000)+ROUND($I259,6)),Settings!$AI$14:$AI$36,0)),"Undefined"),_xlfn.ANCHORARRAY(Settings!$BC$14),0)),"Inactive")))</f>
        <v/>
      </c>
      <c r="L259" s="943"/>
      <c r="M259" s="973"/>
      <c r="N259" s="941"/>
      <c r="O259" s="942"/>
      <c r="Q259" s="162" t="str">
        <f t="shared" si="1076"/>
        <v/>
      </c>
      <c r="R259" s="162" t="str">
        <f t="shared" si="1077"/>
        <v/>
      </c>
      <c r="S259" s="162" t="str">
        <f t="shared" si="1078"/>
        <v/>
      </c>
      <c r="T259" s="162" t="str">
        <f t="shared" si="1079"/>
        <v/>
      </c>
      <c r="U259" s="162" t="str">
        <f t="shared" si="1080"/>
        <v/>
      </c>
      <c r="V259" s="162" t="str">
        <f t="shared" si="1081"/>
        <v/>
      </c>
      <c r="W259" s="162" t="str">
        <f>IFERROR(IF(ISNUMBER(MATCH($Z259,Settings!$AK$28:$AK$36,0)),INDEX(Settings!$AO$14:$AO$36,MATCH($Z259,Settings!$AK$14:$AK$36,0))/2,INDEX(Settings!$AM$14:$AM$36,MATCH($Z259,Settings!$AK$14:$AK$36,0))/2),"")</f>
        <v/>
      </c>
      <c r="X259" s="162" t="str">
        <f t="shared" si="1082"/>
        <v/>
      </c>
      <c r="Y259" s="75"/>
      <c r="Z259" s="917" t="str">
        <f t="shared" si="1083"/>
        <v/>
      </c>
      <c r="AA259" s="82"/>
      <c r="AB259" s="75"/>
      <c r="AC259" s="75"/>
      <c r="AD259" s="166"/>
      <c r="AE259" s="75">
        <v>6.2240000000000002</v>
      </c>
      <c r="AF259" s="82">
        <v>6</v>
      </c>
      <c r="AG259" s="82">
        <v>2</v>
      </c>
      <c r="AH259" s="82">
        <v>2</v>
      </c>
      <c r="AI259" s="82">
        <v>1.0000000000582077</v>
      </c>
      <c r="AJ259" s="166">
        <v>6.2242100000000002</v>
      </c>
      <c r="AK259" s="82">
        <v>6.2241100000000005</v>
      </c>
      <c r="AL259" s="162">
        <v>0</v>
      </c>
      <c r="AM259" s="162">
        <v>0</v>
      </c>
      <c r="AN259" s="162">
        <v>0</v>
      </c>
      <c r="AO259" s="162">
        <v>0</v>
      </c>
      <c r="AP259" s="162">
        <v>0</v>
      </c>
      <c r="AQ259" s="162">
        <v>0</v>
      </c>
      <c r="AR259" s="710" t="str">
        <v>32193r1.par</v>
      </c>
      <c r="AV259" s="82" t="str">
        <v>188,121,255</v>
      </c>
      <c r="AW259" s="947">
        <v>33.999995091008067</v>
      </c>
      <c r="AX259" s="947">
        <v>33.999995091008067</v>
      </c>
      <c r="AY259" s="947">
        <v>0</v>
      </c>
    </row>
    <row r="260" spans="2:51" x14ac:dyDescent="0.25">
      <c r="B260" s="650"/>
      <c r="C260" s="651"/>
      <c r="D260" s="652"/>
      <c r="E260" s="653"/>
      <c r="F260" s="651"/>
      <c r="G260" s="654"/>
      <c r="H260" s="653"/>
      <c r="I260" s="920"/>
      <c r="J260" s="924"/>
      <c r="K260" s="790" t="str">
        <f>IF($J260="","",IF(IFERROR(INDEX(Settings!$AK$14:$AK$36,MATCH((((ROUND($H260,6)*2)*1000000)+ROUND($I260,6)),Settings!$AI$14:$AI$36,0)),"Undefined")="Undefined","Undefined",IFERROR(INDEX(_xlfn.ANCHORARRAY(Settings!$BC$14),MATCH(IFERROR(INDEX(Settings!$AK$14:$AK$36,MATCH((((ROUND($H260,6)*2)*1000000)+ROUND($I260,6)),Settings!$AI$14:$AI$36,0)),"Undefined"),_xlfn.ANCHORARRAY(Settings!$BC$14),0)),"Inactive")))</f>
        <v/>
      </c>
      <c r="L260" s="943"/>
      <c r="M260" s="973"/>
      <c r="N260" s="941"/>
      <c r="O260" s="942"/>
      <c r="Q260" s="162" t="str">
        <f t="shared" si="1076"/>
        <v/>
      </c>
      <c r="R260" s="162" t="str">
        <f t="shared" si="1077"/>
        <v/>
      </c>
      <c r="S260" s="162" t="str">
        <f t="shared" si="1078"/>
        <v/>
      </c>
      <c r="T260" s="162" t="str">
        <f t="shared" si="1079"/>
        <v/>
      </c>
      <c r="U260" s="162" t="str">
        <f t="shared" si="1080"/>
        <v/>
      </c>
      <c r="V260" s="162" t="str">
        <f t="shared" si="1081"/>
        <v/>
      </c>
      <c r="W260" s="162" t="str">
        <f>IFERROR(IF(ISNUMBER(MATCH($Z260,Settings!$AK$28:$AK$36,0)),INDEX(Settings!$AO$14:$AO$36,MATCH($Z260,Settings!$AK$14:$AK$36,0))/2,INDEX(Settings!$AM$14:$AM$36,MATCH($Z260,Settings!$AK$14:$AK$36,0))/2),"")</f>
        <v/>
      </c>
      <c r="X260" s="162" t="str">
        <f t="shared" si="1082"/>
        <v/>
      </c>
      <c r="Y260" s="75"/>
      <c r="Z260" s="917" t="str">
        <f t="shared" si="1083"/>
        <v/>
      </c>
      <c r="AA260" s="82"/>
      <c r="AB260" s="75"/>
      <c r="AC260" s="75"/>
      <c r="AD260" s="166"/>
      <c r="AE260" s="75">
        <v>6.218</v>
      </c>
      <c r="AF260" s="82">
        <v>6</v>
      </c>
      <c r="AG260" s="82">
        <v>2</v>
      </c>
      <c r="AH260" s="82">
        <v>2</v>
      </c>
      <c r="AI260" s="82">
        <v>0.99999999998544808</v>
      </c>
      <c r="AJ260" s="166">
        <v>6.21821</v>
      </c>
      <c r="AK260" s="82">
        <v>6.2181100000000002</v>
      </c>
      <c r="AL260" s="162">
        <v>0</v>
      </c>
      <c r="AM260" s="162">
        <v>0</v>
      </c>
      <c r="AN260" s="162">
        <v>0</v>
      </c>
      <c r="AO260" s="162">
        <v>0</v>
      </c>
      <c r="AP260" s="162">
        <v>0</v>
      </c>
      <c r="AQ260" s="162">
        <v>0</v>
      </c>
      <c r="AR260" s="710" t="str">
        <v>32193r1.par</v>
      </c>
      <c r="AV260" s="82" t="str">
        <v>188,121,255</v>
      </c>
      <c r="AW260" s="947">
        <v>12.999998123032499</v>
      </c>
      <c r="AX260" s="947">
        <v>12.999998123032499</v>
      </c>
      <c r="AY260" s="947">
        <v>0</v>
      </c>
    </row>
    <row r="261" spans="2:51" x14ac:dyDescent="0.25">
      <c r="B261" s="650"/>
      <c r="C261" s="651"/>
      <c r="D261" s="652"/>
      <c r="E261" s="653"/>
      <c r="F261" s="651"/>
      <c r="G261" s="654"/>
      <c r="H261" s="653"/>
      <c r="I261" s="920"/>
      <c r="J261" s="924"/>
      <c r="K261" s="790" t="str">
        <f>IF($J261="","",IF(IFERROR(INDEX(Settings!$AK$14:$AK$36,MATCH((((ROUND($H261,6)*2)*1000000)+ROUND($I261,6)),Settings!$AI$14:$AI$36,0)),"Undefined")="Undefined","Undefined",IFERROR(INDEX(_xlfn.ANCHORARRAY(Settings!$BC$14),MATCH(IFERROR(INDEX(Settings!$AK$14:$AK$36,MATCH((((ROUND($H261,6)*2)*1000000)+ROUND($I261,6)),Settings!$AI$14:$AI$36,0)),"Undefined"),_xlfn.ANCHORARRAY(Settings!$BC$14),0)),"Inactive")))</f>
        <v/>
      </c>
      <c r="L261" s="943"/>
      <c r="M261" s="973"/>
      <c r="N261" s="941"/>
      <c r="O261" s="942"/>
      <c r="Q261" s="162" t="str">
        <f t="shared" si="1076"/>
        <v/>
      </c>
      <c r="R261" s="162" t="str">
        <f t="shared" si="1077"/>
        <v/>
      </c>
      <c r="S261" s="162" t="str">
        <f t="shared" si="1078"/>
        <v/>
      </c>
      <c r="T261" s="162" t="str">
        <f t="shared" si="1079"/>
        <v/>
      </c>
      <c r="U261" s="162" t="str">
        <f t="shared" si="1080"/>
        <v/>
      </c>
      <c r="V261" s="162" t="str">
        <f t="shared" si="1081"/>
        <v/>
      </c>
      <c r="W261" s="162" t="str">
        <f>IFERROR(IF(ISNUMBER(MATCH($Z261,Settings!$AK$28:$AK$36,0)),INDEX(Settings!$AO$14:$AO$36,MATCH($Z261,Settings!$AK$14:$AK$36,0))/2,INDEX(Settings!$AM$14:$AM$36,MATCH($Z261,Settings!$AK$14:$AK$36,0))/2),"")</f>
        <v/>
      </c>
      <c r="X261" s="162" t="str">
        <f t="shared" si="1082"/>
        <v/>
      </c>
      <c r="Y261" s="75"/>
      <c r="Z261" s="917" t="str">
        <f t="shared" si="1083"/>
        <v/>
      </c>
      <c r="AA261" s="82"/>
      <c r="AB261" s="75"/>
      <c r="AC261" s="75"/>
      <c r="AD261" s="166"/>
      <c r="AE261" s="75">
        <v>6.1479999999999997</v>
      </c>
      <c r="AF261" s="82">
        <v>6</v>
      </c>
      <c r="AG261" s="82">
        <v>1</v>
      </c>
      <c r="AH261" s="82">
        <v>2</v>
      </c>
      <c r="AI261" s="82">
        <v>0.99999999998544808</v>
      </c>
      <c r="AJ261" s="166">
        <v>6.1482099999999997</v>
      </c>
      <c r="AK261" s="82">
        <v>6.14811</v>
      </c>
      <c r="AL261" s="162">
        <v>0</v>
      </c>
      <c r="AM261" s="162">
        <v>0</v>
      </c>
      <c r="AN261" s="162">
        <v>0</v>
      </c>
      <c r="AO261" s="162">
        <v>0</v>
      </c>
      <c r="AP261" s="162">
        <v>0</v>
      </c>
      <c r="AQ261" s="162">
        <v>0</v>
      </c>
      <c r="AR261" s="710" t="str">
        <v>1613.par</v>
      </c>
      <c r="AV261" s="82" t="str">
        <v>127,0,255</v>
      </c>
      <c r="AW261" s="947">
        <v>84.970117416838406</v>
      </c>
      <c r="AX261" s="947">
        <v>84.970117416838406</v>
      </c>
      <c r="AY261" s="947">
        <v>0</v>
      </c>
    </row>
    <row r="262" spans="2:51" x14ac:dyDescent="0.25">
      <c r="B262" s="650"/>
      <c r="C262" s="651"/>
      <c r="D262" s="652"/>
      <c r="E262" s="653"/>
      <c r="F262" s="651"/>
      <c r="G262" s="654"/>
      <c r="H262" s="653"/>
      <c r="I262" s="920"/>
      <c r="J262" s="924"/>
      <c r="K262" s="790" t="str">
        <f>IF($J262="","",IF(IFERROR(INDEX(Settings!$AK$14:$AK$36,MATCH((((ROUND($H262,6)*2)*1000000)+ROUND($I262,6)),Settings!$AI$14:$AI$36,0)),"Undefined")="Undefined","Undefined",IFERROR(INDEX(_xlfn.ANCHORARRAY(Settings!$BC$14),MATCH(IFERROR(INDEX(Settings!$AK$14:$AK$36,MATCH((((ROUND($H262,6)*2)*1000000)+ROUND($I262,6)),Settings!$AI$14:$AI$36,0)),"Undefined"),_xlfn.ANCHORARRAY(Settings!$BC$14),0)),"Inactive")))</f>
        <v/>
      </c>
      <c r="L262" s="943"/>
      <c r="M262" s="973"/>
      <c r="N262" s="941"/>
      <c r="O262" s="942"/>
      <c r="Q262" s="162" t="str">
        <f t="shared" si="1076"/>
        <v/>
      </c>
      <c r="R262" s="162" t="str">
        <f t="shared" si="1077"/>
        <v/>
      </c>
      <c r="S262" s="162" t="str">
        <f t="shared" si="1078"/>
        <v/>
      </c>
      <c r="T262" s="162" t="str">
        <f t="shared" si="1079"/>
        <v/>
      </c>
      <c r="U262" s="162" t="str">
        <f t="shared" si="1080"/>
        <v/>
      </c>
      <c r="V262" s="162" t="str">
        <f t="shared" si="1081"/>
        <v/>
      </c>
      <c r="W262" s="162" t="str">
        <f>IFERROR(IF(ISNUMBER(MATCH($Z262,Settings!$AK$28:$AK$36,0)),INDEX(Settings!$AO$14:$AO$36,MATCH($Z262,Settings!$AK$14:$AK$36,0))/2,INDEX(Settings!$AM$14:$AM$36,MATCH($Z262,Settings!$AK$14:$AK$36,0))/2),"")</f>
        <v/>
      </c>
      <c r="X262" s="162" t="str">
        <f t="shared" si="1082"/>
        <v/>
      </c>
      <c r="Y262" s="75"/>
      <c r="Z262" s="917" t="str">
        <f t="shared" si="1083"/>
        <v/>
      </c>
      <c r="AA262" s="82"/>
      <c r="AB262" s="75"/>
      <c r="AC262" s="75"/>
      <c r="AD262" s="166"/>
      <c r="AE262" s="75">
        <v>6.1420000000000003</v>
      </c>
      <c r="AF262" s="82">
        <v>6</v>
      </c>
      <c r="AG262" s="82">
        <v>1</v>
      </c>
      <c r="AH262" s="82">
        <v>2</v>
      </c>
      <c r="AI262" s="82">
        <v>1.0000000000582077</v>
      </c>
      <c r="AJ262" s="166">
        <v>6.1422100000000004</v>
      </c>
      <c r="AK262" s="82">
        <v>6.1421100000000006</v>
      </c>
      <c r="AL262" s="162">
        <v>0</v>
      </c>
      <c r="AM262" s="162">
        <v>0</v>
      </c>
      <c r="AN262" s="162">
        <v>0</v>
      </c>
      <c r="AO262" s="162">
        <v>0</v>
      </c>
      <c r="AP262" s="162">
        <v>0</v>
      </c>
      <c r="AQ262" s="162">
        <v>0</v>
      </c>
      <c r="AR262" s="710" t="str">
        <v>1613.par</v>
      </c>
      <c r="AV262" s="82" t="str">
        <v>127,0,255</v>
      </c>
      <c r="AW262" s="947">
        <v>84.96994937215598</v>
      </c>
      <c r="AX262" s="947">
        <v>84.96994937215598</v>
      </c>
      <c r="AY262" s="947">
        <v>0</v>
      </c>
    </row>
    <row r="263" spans="2:51" x14ac:dyDescent="0.25">
      <c r="B263" s="650"/>
      <c r="C263" s="651"/>
      <c r="D263" s="652"/>
      <c r="E263" s="653"/>
      <c r="F263" s="651"/>
      <c r="G263" s="654"/>
      <c r="H263" s="653"/>
      <c r="I263" s="920"/>
      <c r="J263" s="924"/>
      <c r="K263" s="790" t="str">
        <f>IF($J263="","",IF(IFERROR(INDEX(Settings!$AK$14:$AK$36,MATCH((((ROUND($H263,6)*2)*1000000)+ROUND($I263,6)),Settings!$AI$14:$AI$36,0)),"Undefined")="Undefined","Undefined",IFERROR(INDEX(_xlfn.ANCHORARRAY(Settings!$BC$14),MATCH(IFERROR(INDEX(Settings!$AK$14:$AK$36,MATCH((((ROUND($H263,6)*2)*1000000)+ROUND($I263,6)),Settings!$AI$14:$AI$36,0)),"Undefined"),_xlfn.ANCHORARRAY(Settings!$BC$14),0)),"Inactive")))</f>
        <v/>
      </c>
      <c r="L263" s="943"/>
      <c r="M263" s="973"/>
      <c r="N263" s="941"/>
      <c r="O263" s="942"/>
      <c r="Q263" s="162" t="str">
        <f t="shared" si="1076"/>
        <v/>
      </c>
      <c r="R263" s="162" t="str">
        <f t="shared" si="1077"/>
        <v/>
      </c>
      <c r="S263" s="162" t="str">
        <f t="shared" si="1078"/>
        <v/>
      </c>
      <c r="T263" s="162" t="str">
        <f t="shared" si="1079"/>
        <v/>
      </c>
      <c r="U263" s="162" t="str">
        <f t="shared" si="1080"/>
        <v/>
      </c>
      <c r="V263" s="162" t="str">
        <f t="shared" si="1081"/>
        <v/>
      </c>
      <c r="W263" s="162" t="str">
        <f>IFERROR(IF(ISNUMBER(MATCH($Z263,Settings!$AK$28:$AK$36,0)),INDEX(Settings!$AO$14:$AO$36,MATCH($Z263,Settings!$AK$14:$AK$36,0))/2,INDEX(Settings!$AM$14:$AM$36,MATCH($Z263,Settings!$AK$14:$AK$36,0))/2),"")</f>
        <v/>
      </c>
      <c r="X263" s="162" t="str">
        <f t="shared" si="1082"/>
        <v/>
      </c>
      <c r="Y263" s="75"/>
      <c r="Z263" s="917" t="str">
        <f t="shared" si="1083"/>
        <v/>
      </c>
      <c r="AA263" s="82"/>
      <c r="AB263" s="75"/>
      <c r="AC263" s="75"/>
      <c r="AD263" s="166"/>
      <c r="AE263" s="75">
        <v>6.1360000000000001</v>
      </c>
      <c r="AF263" s="82">
        <v>6</v>
      </c>
      <c r="AG263" s="82">
        <v>1</v>
      </c>
      <c r="AH263" s="82">
        <v>2</v>
      </c>
      <c r="AI263" s="82">
        <v>0.99999999998544808</v>
      </c>
      <c r="AJ263" s="166">
        <v>6.1362100000000002</v>
      </c>
      <c r="AK263" s="82">
        <v>6.1361100000000004</v>
      </c>
      <c r="AL263" s="162">
        <v>0</v>
      </c>
      <c r="AM263" s="162">
        <v>0</v>
      </c>
      <c r="AN263" s="162">
        <v>0</v>
      </c>
      <c r="AO263" s="162">
        <v>0</v>
      </c>
      <c r="AP263" s="162">
        <v>0</v>
      </c>
      <c r="AQ263" s="162">
        <v>0</v>
      </c>
      <c r="AR263" s="710" t="str">
        <v>1613.par</v>
      </c>
      <c r="AV263" s="82" t="str">
        <v>127,0,255</v>
      </c>
      <c r="AW263" s="947">
        <v>72.623499997444313</v>
      </c>
      <c r="AX263" s="947">
        <v>72.623499997444313</v>
      </c>
      <c r="AY263" s="947">
        <v>0</v>
      </c>
    </row>
    <row r="264" spans="2:51" x14ac:dyDescent="0.25">
      <c r="B264" s="650"/>
      <c r="C264" s="651"/>
      <c r="D264" s="652"/>
      <c r="E264" s="653"/>
      <c r="F264" s="651"/>
      <c r="G264" s="654"/>
      <c r="H264" s="653"/>
      <c r="I264" s="920"/>
      <c r="J264" s="924"/>
      <c r="K264" s="790" t="str">
        <f>IF($J264="","",IF(IFERROR(INDEX(Settings!$AK$14:$AK$36,MATCH((((ROUND($H264,6)*2)*1000000)+ROUND($I264,6)),Settings!$AI$14:$AI$36,0)),"Undefined")="Undefined","Undefined",IFERROR(INDEX(_xlfn.ANCHORARRAY(Settings!$BC$14),MATCH(IFERROR(INDEX(Settings!$AK$14:$AK$36,MATCH((((ROUND($H264,6)*2)*1000000)+ROUND($I264,6)),Settings!$AI$14:$AI$36,0)),"Undefined"),_xlfn.ANCHORARRAY(Settings!$BC$14),0)),"Inactive")))</f>
        <v/>
      </c>
      <c r="L264" s="943"/>
      <c r="M264" s="973"/>
      <c r="N264" s="941"/>
      <c r="O264" s="942"/>
      <c r="Q264" s="162" t="str">
        <f t="shared" si="1076"/>
        <v/>
      </c>
      <c r="R264" s="162" t="str">
        <f t="shared" si="1077"/>
        <v/>
      </c>
      <c r="S264" s="162" t="str">
        <f t="shared" si="1078"/>
        <v/>
      </c>
      <c r="T264" s="162" t="str">
        <f t="shared" si="1079"/>
        <v/>
      </c>
      <c r="U264" s="162" t="str">
        <f t="shared" si="1080"/>
        <v/>
      </c>
      <c r="V264" s="162" t="str">
        <f t="shared" si="1081"/>
        <v/>
      </c>
      <c r="W264" s="162" t="str">
        <f>IFERROR(IF(ISNUMBER(MATCH($Z264,Settings!$AK$28:$AK$36,0)),INDEX(Settings!$AO$14:$AO$36,MATCH($Z264,Settings!$AK$14:$AK$36,0))/2,INDEX(Settings!$AM$14:$AM$36,MATCH($Z264,Settings!$AK$14:$AK$36,0))/2),"")</f>
        <v/>
      </c>
      <c r="X264" s="162" t="str">
        <f t="shared" si="1082"/>
        <v/>
      </c>
      <c r="Y264" s="75"/>
      <c r="Z264" s="917" t="str">
        <f t="shared" si="1083"/>
        <v/>
      </c>
      <c r="AA264" s="82"/>
      <c r="AB264" s="75"/>
      <c r="AC264" s="75"/>
      <c r="AD264" s="166"/>
      <c r="AE264" s="75">
        <v>6.13</v>
      </c>
      <c r="AF264" s="82">
        <v>6</v>
      </c>
      <c r="AG264" s="82">
        <v>1</v>
      </c>
      <c r="AH264" s="82">
        <v>2</v>
      </c>
      <c r="AI264" s="82">
        <v>0.99999999998544808</v>
      </c>
      <c r="AJ264" s="166">
        <v>6.1302099999999999</v>
      </c>
      <c r="AK264" s="82">
        <v>6.1301100000000002</v>
      </c>
      <c r="AL264" s="162">
        <v>0</v>
      </c>
      <c r="AM264" s="162">
        <v>0</v>
      </c>
      <c r="AN264" s="162">
        <v>0</v>
      </c>
      <c r="AO264" s="162">
        <v>0</v>
      </c>
      <c r="AP264" s="162">
        <v>0</v>
      </c>
      <c r="AQ264" s="162">
        <v>0</v>
      </c>
      <c r="AR264" s="710" t="str">
        <v>1613.par</v>
      </c>
      <c r="AV264" s="82" t="str">
        <v>127,0,255</v>
      </c>
      <c r="AW264" s="947">
        <v>54.048010045486649</v>
      </c>
      <c r="AX264" s="947">
        <v>54.048010045486649</v>
      </c>
      <c r="AY264" s="947">
        <v>0</v>
      </c>
    </row>
    <row r="265" spans="2:51" x14ac:dyDescent="0.25">
      <c r="B265" s="650"/>
      <c r="C265" s="651"/>
      <c r="D265" s="652"/>
      <c r="E265" s="653"/>
      <c r="F265" s="651"/>
      <c r="G265" s="654"/>
      <c r="H265" s="653"/>
      <c r="I265" s="920"/>
      <c r="J265" s="924"/>
      <c r="K265" s="790" t="str">
        <f>IF($J265="","",IF(IFERROR(INDEX(Settings!$AK$14:$AK$36,MATCH((((ROUND($H265,6)*2)*1000000)+ROUND($I265,6)),Settings!$AI$14:$AI$36,0)),"Undefined")="Undefined","Undefined",IFERROR(INDEX(_xlfn.ANCHORARRAY(Settings!$BC$14),MATCH(IFERROR(INDEX(Settings!$AK$14:$AK$36,MATCH((((ROUND($H265,6)*2)*1000000)+ROUND($I265,6)),Settings!$AI$14:$AI$36,0)),"Undefined"),_xlfn.ANCHORARRAY(Settings!$BC$14),0)),"Inactive")))</f>
        <v/>
      </c>
      <c r="L265" s="943"/>
      <c r="M265" s="973"/>
      <c r="N265" s="941"/>
      <c r="O265" s="942"/>
      <c r="Q265" s="162" t="str">
        <f t="shared" si="1076"/>
        <v/>
      </c>
      <c r="R265" s="162" t="str">
        <f t="shared" si="1077"/>
        <v/>
      </c>
      <c r="S265" s="162" t="str">
        <f t="shared" si="1078"/>
        <v/>
      </c>
      <c r="T265" s="162" t="str">
        <f t="shared" si="1079"/>
        <v/>
      </c>
      <c r="U265" s="162" t="str">
        <f t="shared" si="1080"/>
        <v/>
      </c>
      <c r="V265" s="162" t="str">
        <f t="shared" si="1081"/>
        <v/>
      </c>
      <c r="W265" s="162" t="str">
        <f>IFERROR(IF(ISNUMBER(MATCH($Z265,Settings!$AK$28:$AK$36,0)),INDEX(Settings!$AO$14:$AO$36,MATCH($Z265,Settings!$AK$14:$AK$36,0))/2,INDEX(Settings!$AM$14:$AM$36,MATCH($Z265,Settings!$AK$14:$AK$36,0))/2),"")</f>
        <v/>
      </c>
      <c r="X265" s="162" t="str">
        <f t="shared" si="1082"/>
        <v/>
      </c>
      <c r="Y265" s="75"/>
      <c r="Z265" s="917" t="str">
        <f t="shared" si="1083"/>
        <v/>
      </c>
      <c r="AA265" s="82"/>
      <c r="AB265" s="75"/>
      <c r="AC265" s="75"/>
      <c r="AD265" s="166"/>
      <c r="AE265" s="75">
        <v>6.1239999999999997</v>
      </c>
      <c r="AF265" s="82">
        <v>6</v>
      </c>
      <c r="AG265" s="82">
        <v>1</v>
      </c>
      <c r="AH265" s="82">
        <v>2</v>
      </c>
      <c r="AI265" s="82">
        <v>0.99999999998544808</v>
      </c>
      <c r="AJ265" s="166">
        <v>6.1242099999999997</v>
      </c>
      <c r="AK265" s="82">
        <v>6.1241099999999999</v>
      </c>
      <c r="AL265" s="162">
        <v>0</v>
      </c>
      <c r="AM265" s="162">
        <v>0</v>
      </c>
      <c r="AN265" s="162">
        <v>0</v>
      </c>
      <c r="AO265" s="162">
        <v>0</v>
      </c>
      <c r="AP265" s="162">
        <v>0</v>
      </c>
      <c r="AQ265" s="162">
        <v>0</v>
      </c>
      <c r="AR265" s="710" t="str">
        <v>1613.par</v>
      </c>
      <c r="AV265" s="82" t="str">
        <v>127,0,255</v>
      </c>
      <c r="AW265" s="947">
        <v>35.360276952469491</v>
      </c>
      <c r="AX265" s="947">
        <v>35.360276952469491</v>
      </c>
      <c r="AY265" s="947">
        <v>0</v>
      </c>
    </row>
    <row r="266" spans="2:51" x14ac:dyDescent="0.25">
      <c r="B266" s="650"/>
      <c r="C266" s="651"/>
      <c r="D266" s="652"/>
      <c r="E266" s="653"/>
      <c r="F266" s="651"/>
      <c r="G266" s="654"/>
      <c r="H266" s="653"/>
      <c r="I266" s="920"/>
      <c r="J266" s="924"/>
      <c r="K266" s="790" t="str">
        <f>IF($J266="","",IF(IFERROR(INDEX(Settings!$AK$14:$AK$36,MATCH((((ROUND($H266,6)*2)*1000000)+ROUND($I266,6)),Settings!$AI$14:$AI$36,0)),"Undefined")="Undefined","Undefined",IFERROR(INDEX(_xlfn.ANCHORARRAY(Settings!$BC$14),MATCH(IFERROR(INDEX(Settings!$AK$14:$AK$36,MATCH((((ROUND($H266,6)*2)*1000000)+ROUND($I266,6)),Settings!$AI$14:$AI$36,0)),"Undefined"),_xlfn.ANCHORARRAY(Settings!$BC$14),0)),"Inactive")))</f>
        <v/>
      </c>
      <c r="L266" s="943"/>
      <c r="M266" s="973"/>
      <c r="N266" s="941"/>
      <c r="O266" s="942"/>
      <c r="Q266" s="162" t="str">
        <f t="shared" si="1076"/>
        <v/>
      </c>
      <c r="R266" s="162" t="str">
        <f t="shared" si="1077"/>
        <v/>
      </c>
      <c r="S266" s="162" t="str">
        <f t="shared" si="1078"/>
        <v/>
      </c>
      <c r="T266" s="162" t="str">
        <f t="shared" si="1079"/>
        <v/>
      </c>
      <c r="U266" s="162" t="str">
        <f t="shared" si="1080"/>
        <v/>
      </c>
      <c r="V266" s="162" t="str">
        <f t="shared" si="1081"/>
        <v/>
      </c>
      <c r="W266" s="162" t="str">
        <f>IFERROR(IF(ISNUMBER(MATCH($Z266,Settings!$AK$28:$AK$36,0)),INDEX(Settings!$AO$14:$AO$36,MATCH($Z266,Settings!$AK$14:$AK$36,0))/2,INDEX(Settings!$AM$14:$AM$36,MATCH($Z266,Settings!$AK$14:$AK$36,0))/2),"")</f>
        <v/>
      </c>
      <c r="X266" s="162" t="str">
        <f t="shared" si="1082"/>
        <v/>
      </c>
      <c r="Y266" s="75"/>
      <c r="Z266" s="917" t="str">
        <f t="shared" si="1083"/>
        <v/>
      </c>
      <c r="AA266" s="82"/>
      <c r="AB266" s="75"/>
      <c r="AC266" s="75"/>
      <c r="AD266" s="166"/>
      <c r="AE266" s="75">
        <v>6.1180000000000003</v>
      </c>
      <c r="AF266" s="82">
        <v>6</v>
      </c>
      <c r="AG266" s="82">
        <v>1</v>
      </c>
      <c r="AH266" s="82">
        <v>2</v>
      </c>
      <c r="AI266" s="82">
        <v>1.0000000000582077</v>
      </c>
      <c r="AJ266" s="166">
        <v>6.1182100000000004</v>
      </c>
      <c r="AK266" s="82">
        <v>6.1181100000000006</v>
      </c>
      <c r="AL266" s="162">
        <v>0</v>
      </c>
      <c r="AM266" s="162">
        <v>0</v>
      </c>
      <c r="AN266" s="162">
        <v>0</v>
      </c>
      <c r="AO266" s="162">
        <v>0</v>
      </c>
      <c r="AP266" s="162">
        <v>0</v>
      </c>
      <c r="AQ266" s="162">
        <v>0</v>
      </c>
      <c r="AR266" s="710" t="str">
        <v>1613 Ripper.par</v>
      </c>
      <c r="AV266" s="82" t="str">
        <v>127,0,255</v>
      </c>
      <c r="AW266" s="947">
        <v>16.504059297615232</v>
      </c>
      <c r="AX266" s="947">
        <v>16.504059297615232</v>
      </c>
      <c r="AY266" s="947">
        <v>0</v>
      </c>
    </row>
    <row r="267" spans="2:51" x14ac:dyDescent="0.25">
      <c r="B267" s="650"/>
      <c r="C267" s="651"/>
      <c r="D267" s="652"/>
      <c r="E267" s="653"/>
      <c r="F267" s="651"/>
      <c r="G267" s="654"/>
      <c r="H267" s="653"/>
      <c r="I267" s="920"/>
      <c r="J267" s="924"/>
      <c r="K267" s="790" t="str">
        <f>IF($J267="","",IF(IFERROR(INDEX(Settings!$AK$14:$AK$36,MATCH((((ROUND($H267,6)*2)*1000000)+ROUND($I267,6)),Settings!$AI$14:$AI$36,0)),"Undefined")="Undefined","Undefined",IFERROR(INDEX(_xlfn.ANCHORARRAY(Settings!$BC$14),MATCH(IFERROR(INDEX(Settings!$AK$14:$AK$36,MATCH((((ROUND($H267,6)*2)*1000000)+ROUND($I267,6)),Settings!$AI$14:$AI$36,0)),"Undefined"),_xlfn.ANCHORARRAY(Settings!$BC$14),0)),"Inactive")))</f>
        <v/>
      </c>
      <c r="L267" s="943"/>
      <c r="M267" s="973"/>
      <c r="N267" s="941"/>
      <c r="O267" s="942"/>
      <c r="Q267" s="162" t="str">
        <f t="shared" si="1076"/>
        <v/>
      </c>
      <c r="R267" s="162" t="str">
        <f t="shared" si="1077"/>
        <v/>
      </c>
      <c r="S267" s="162" t="str">
        <f t="shared" si="1078"/>
        <v/>
      </c>
      <c r="T267" s="162" t="str">
        <f t="shared" si="1079"/>
        <v/>
      </c>
      <c r="U267" s="162" t="str">
        <f t="shared" si="1080"/>
        <v/>
      </c>
      <c r="V267" s="162" t="str">
        <f t="shared" si="1081"/>
        <v/>
      </c>
      <c r="W267" s="162" t="str">
        <f>IFERROR(IF(ISNUMBER(MATCH($Z267,Settings!$AK$28:$AK$36,0)),INDEX(Settings!$AO$14:$AO$36,MATCH($Z267,Settings!$AK$14:$AK$36,0))/2,INDEX(Settings!$AM$14:$AM$36,MATCH($Z267,Settings!$AK$14:$AK$36,0))/2),"")</f>
        <v/>
      </c>
      <c r="X267" s="162" t="str">
        <f t="shared" si="1082"/>
        <v/>
      </c>
      <c r="Y267" s="75"/>
      <c r="Z267" s="917" t="str">
        <f t="shared" si="1083"/>
        <v/>
      </c>
      <c r="AA267" s="82"/>
      <c r="AB267" s="75"/>
      <c r="AC267" s="75"/>
      <c r="AD267" s="166"/>
      <c r="AE267" s="75">
        <v>6.1120000000000001</v>
      </c>
      <c r="AF267" s="82">
        <v>6</v>
      </c>
      <c r="AG267" s="82">
        <v>1</v>
      </c>
      <c r="AH267" s="82">
        <v>2</v>
      </c>
      <c r="AI267" s="82">
        <v>0.99999999998544808</v>
      </c>
      <c r="AJ267" s="166">
        <v>6.1122100000000001</v>
      </c>
      <c r="AK267" s="82">
        <v>6.1121100000000004</v>
      </c>
      <c r="AL267" s="162">
        <v>0</v>
      </c>
      <c r="AM267" s="162">
        <v>0</v>
      </c>
      <c r="AN267" s="162">
        <v>0</v>
      </c>
      <c r="AO267" s="162">
        <v>0</v>
      </c>
      <c r="AP267" s="162">
        <v>0</v>
      </c>
      <c r="AQ267" s="162">
        <v>0</v>
      </c>
      <c r="AR267" s="710" t="str">
        <v>1613 Ripper.par</v>
      </c>
      <c r="AV267" s="82" t="str">
        <v>127,0,255</v>
      </c>
      <c r="AW267" s="947">
        <v>-2.3119637600075813</v>
      </c>
      <c r="AX267" s="947">
        <v>-2.3119637600075813</v>
      </c>
      <c r="AY267" s="947">
        <v>0</v>
      </c>
    </row>
    <row r="268" spans="2:51" x14ac:dyDescent="0.25">
      <c r="B268" s="650"/>
      <c r="C268" s="651"/>
      <c r="D268" s="652"/>
      <c r="E268" s="653"/>
      <c r="F268" s="651"/>
      <c r="G268" s="654"/>
      <c r="H268" s="653"/>
      <c r="I268" s="920"/>
      <c r="J268" s="924"/>
      <c r="K268" s="790" t="str">
        <f>IF($J268="","",IF(IFERROR(INDEX(Settings!$AK$14:$AK$36,MATCH((((ROUND($H268,6)*2)*1000000)+ROUND($I268,6)),Settings!$AI$14:$AI$36,0)),"Undefined")="Undefined","Undefined",IFERROR(INDEX(_xlfn.ANCHORARRAY(Settings!$BC$14),MATCH(IFERROR(INDEX(Settings!$AK$14:$AK$36,MATCH((((ROUND($H268,6)*2)*1000000)+ROUND($I268,6)),Settings!$AI$14:$AI$36,0)),"Undefined"),_xlfn.ANCHORARRAY(Settings!$BC$14),0)),"Inactive")))</f>
        <v/>
      </c>
      <c r="L268" s="943"/>
      <c r="M268" s="973"/>
      <c r="N268" s="941"/>
      <c r="O268" s="942"/>
      <c r="Q268" s="162" t="str">
        <f t="shared" si="1076"/>
        <v/>
      </c>
      <c r="R268" s="162" t="str">
        <f t="shared" si="1077"/>
        <v/>
      </c>
      <c r="S268" s="162" t="str">
        <f t="shared" si="1078"/>
        <v/>
      </c>
      <c r="T268" s="162" t="str">
        <f t="shared" si="1079"/>
        <v/>
      </c>
      <c r="U268" s="162" t="str">
        <f t="shared" si="1080"/>
        <v/>
      </c>
      <c r="V268" s="162" t="str">
        <f t="shared" si="1081"/>
        <v/>
      </c>
      <c r="W268" s="162" t="str">
        <f>IFERROR(IF(ISNUMBER(MATCH($Z268,Settings!$AK$28:$AK$36,0)),INDEX(Settings!$AO$14:$AO$36,MATCH($Z268,Settings!$AK$14:$AK$36,0))/2,INDEX(Settings!$AM$14:$AM$36,MATCH($Z268,Settings!$AK$14:$AK$36,0))/2),"")</f>
        <v/>
      </c>
      <c r="X268" s="162" t="str">
        <f t="shared" si="1082"/>
        <v/>
      </c>
      <c r="Y268" s="75"/>
      <c r="Z268" s="917" t="str">
        <f t="shared" si="1083"/>
        <v/>
      </c>
      <c r="AA268" s="82"/>
      <c r="AB268" s="75"/>
      <c r="AC268" s="75"/>
      <c r="AD268" s="166"/>
      <c r="AE268" s="75">
        <v>5.2549999999999999</v>
      </c>
      <c r="AF268" s="82">
        <v>5</v>
      </c>
      <c r="AG268" s="82">
        <v>2</v>
      </c>
      <c r="AH268" s="82">
        <v>2</v>
      </c>
      <c r="AI268" s="82">
        <v>0.99999999998544808</v>
      </c>
      <c r="AJ268" s="166">
        <v>5.2552099999999999</v>
      </c>
      <c r="AK268" s="82">
        <v>5.2551100000000002</v>
      </c>
      <c r="AL268" s="162">
        <v>0</v>
      </c>
      <c r="AM268" s="162">
        <v>0</v>
      </c>
      <c r="AN268" s="162">
        <v>0</v>
      </c>
      <c r="AO268" s="162">
        <v>0</v>
      </c>
      <c r="AP268" s="162">
        <v>0</v>
      </c>
      <c r="AQ268" s="162">
        <v>0</v>
      </c>
      <c r="AR268" s="710" t="str">
        <v>1313.par</v>
      </c>
      <c r="AV268" s="82" t="str">
        <v>121,188,255</v>
      </c>
      <c r="AW268" s="947">
        <v>100.03561890671617</v>
      </c>
      <c r="AX268" s="947">
        <v>100.03561890671617</v>
      </c>
      <c r="AY268" s="947">
        <v>0</v>
      </c>
    </row>
    <row r="269" spans="2:51" x14ac:dyDescent="0.25">
      <c r="B269" s="650"/>
      <c r="C269" s="651"/>
      <c r="D269" s="652"/>
      <c r="E269" s="653"/>
      <c r="F269" s="651"/>
      <c r="G269" s="654"/>
      <c r="H269" s="653"/>
      <c r="I269" s="920"/>
      <c r="J269" s="924"/>
      <c r="K269" s="790" t="str">
        <f>IF($J269="","",IF(IFERROR(INDEX(Settings!$AK$14:$AK$36,MATCH((((ROUND($H269,6)*2)*1000000)+ROUND($I269,6)),Settings!$AI$14:$AI$36,0)),"Undefined")="Undefined","Undefined",IFERROR(INDEX(_xlfn.ANCHORARRAY(Settings!$BC$14),MATCH(IFERROR(INDEX(Settings!$AK$14:$AK$36,MATCH((((ROUND($H269,6)*2)*1000000)+ROUND($I269,6)),Settings!$AI$14:$AI$36,0)),"Undefined"),_xlfn.ANCHORARRAY(Settings!$BC$14),0)),"Inactive")))</f>
        <v/>
      </c>
      <c r="L269" s="943"/>
      <c r="M269" s="973"/>
      <c r="N269" s="941"/>
      <c r="O269" s="942"/>
      <c r="Q269" s="162" t="str">
        <f t="shared" si="1076"/>
        <v/>
      </c>
      <c r="R269" s="162" t="str">
        <f t="shared" si="1077"/>
        <v/>
      </c>
      <c r="S269" s="162" t="str">
        <f t="shared" si="1078"/>
        <v/>
      </c>
      <c r="T269" s="162" t="str">
        <f t="shared" si="1079"/>
        <v/>
      </c>
      <c r="U269" s="162" t="str">
        <f t="shared" si="1080"/>
        <v/>
      </c>
      <c r="V269" s="162" t="str">
        <f t="shared" si="1081"/>
        <v/>
      </c>
      <c r="W269" s="162" t="str">
        <f>IFERROR(IF(ISNUMBER(MATCH($Z269,Settings!$AK$28:$AK$36,0)),INDEX(Settings!$AO$14:$AO$36,MATCH($Z269,Settings!$AK$14:$AK$36,0))/2,INDEX(Settings!$AM$14:$AM$36,MATCH($Z269,Settings!$AK$14:$AK$36,0))/2),"")</f>
        <v/>
      </c>
      <c r="X269" s="162" t="str">
        <f t="shared" si="1082"/>
        <v/>
      </c>
      <c r="Y269" s="75"/>
      <c r="Z269" s="917" t="str">
        <f t="shared" si="1083"/>
        <v/>
      </c>
      <c r="AA269" s="82"/>
      <c r="AB269" s="75"/>
      <c r="AC269" s="75"/>
      <c r="AD269" s="166"/>
      <c r="AE269" s="75">
        <v>5.2489999999999997</v>
      </c>
      <c r="AF269" s="82">
        <v>5</v>
      </c>
      <c r="AG269" s="82">
        <v>2</v>
      </c>
      <c r="AH269" s="82">
        <v>2</v>
      </c>
      <c r="AI269" s="82">
        <v>0.99999999998544808</v>
      </c>
      <c r="AJ269" s="166">
        <v>5.2492099999999997</v>
      </c>
      <c r="AK269" s="82">
        <v>5.2491099999999999</v>
      </c>
      <c r="AL269" s="162">
        <v>0</v>
      </c>
      <c r="AM269" s="162">
        <v>0</v>
      </c>
      <c r="AN269" s="162">
        <v>0</v>
      </c>
      <c r="AO269" s="162">
        <v>0</v>
      </c>
      <c r="AP269" s="162">
        <v>0</v>
      </c>
      <c r="AQ269" s="162">
        <v>0</v>
      </c>
      <c r="AR269" s="710" t="str">
        <v>32193r1.par</v>
      </c>
      <c r="AV269" s="82" t="str">
        <v>121,188,255</v>
      </c>
      <c r="AW269" s="947">
        <v>89.999987005609597</v>
      </c>
      <c r="AX269" s="947">
        <v>89.999987005609597</v>
      </c>
      <c r="AY269" s="947">
        <v>0</v>
      </c>
    </row>
    <row r="270" spans="2:51" x14ac:dyDescent="0.25">
      <c r="B270" s="650"/>
      <c r="C270" s="651"/>
      <c r="D270" s="652"/>
      <c r="E270" s="653"/>
      <c r="F270" s="651"/>
      <c r="G270" s="654"/>
      <c r="H270" s="653"/>
      <c r="I270" s="920"/>
      <c r="J270" s="924"/>
      <c r="K270" s="790" t="str">
        <f>IF($J270="","",IF(IFERROR(INDEX(Settings!$AK$14:$AK$36,MATCH((((ROUND($H270,6)*2)*1000000)+ROUND($I270,6)),Settings!$AI$14:$AI$36,0)),"Undefined")="Undefined","Undefined",IFERROR(INDEX(_xlfn.ANCHORARRAY(Settings!$BC$14),MATCH(IFERROR(INDEX(Settings!$AK$14:$AK$36,MATCH((((ROUND($H270,6)*2)*1000000)+ROUND($I270,6)),Settings!$AI$14:$AI$36,0)),"Undefined"),_xlfn.ANCHORARRAY(Settings!$BC$14),0)),"Inactive")))</f>
        <v/>
      </c>
      <c r="L270" s="943"/>
      <c r="M270" s="973"/>
      <c r="N270" s="941"/>
      <c r="O270" s="942"/>
      <c r="Q270" s="162" t="str">
        <f t="shared" si="1076"/>
        <v/>
      </c>
      <c r="R270" s="162" t="str">
        <f t="shared" si="1077"/>
        <v/>
      </c>
      <c r="S270" s="162" t="str">
        <f t="shared" si="1078"/>
        <v/>
      </c>
      <c r="T270" s="162" t="str">
        <f t="shared" si="1079"/>
        <v/>
      </c>
      <c r="U270" s="162" t="str">
        <f t="shared" si="1080"/>
        <v/>
      </c>
      <c r="V270" s="162" t="str">
        <f t="shared" si="1081"/>
        <v/>
      </c>
      <c r="W270" s="162" t="str">
        <f>IFERROR(IF(ISNUMBER(MATCH($Z270,Settings!$AK$28:$AK$36,0)),INDEX(Settings!$AO$14:$AO$36,MATCH($Z270,Settings!$AK$14:$AK$36,0))/2,INDEX(Settings!$AM$14:$AM$36,MATCH($Z270,Settings!$AK$14:$AK$36,0))/2),"")</f>
        <v/>
      </c>
      <c r="X270" s="162" t="str">
        <f t="shared" si="1082"/>
        <v/>
      </c>
      <c r="Y270" s="75"/>
      <c r="Z270" s="917" t="str">
        <f t="shared" si="1083"/>
        <v/>
      </c>
      <c r="AA270" s="82"/>
      <c r="AB270" s="75"/>
      <c r="AC270" s="75"/>
      <c r="AD270" s="166"/>
      <c r="AE270" s="75">
        <v>5.2430000000000003</v>
      </c>
      <c r="AF270" s="82">
        <v>5</v>
      </c>
      <c r="AG270" s="82">
        <v>2</v>
      </c>
      <c r="AH270" s="82">
        <v>2</v>
      </c>
      <c r="AI270" s="82">
        <v>1.0000000000582077</v>
      </c>
      <c r="AJ270" s="166">
        <v>5.2432100000000004</v>
      </c>
      <c r="AK270" s="82">
        <v>5.2431100000000006</v>
      </c>
      <c r="AL270" s="162">
        <v>0</v>
      </c>
      <c r="AM270" s="162">
        <v>0</v>
      </c>
      <c r="AN270" s="162">
        <v>0</v>
      </c>
      <c r="AO270" s="162">
        <v>0</v>
      </c>
      <c r="AP270" s="162">
        <v>0</v>
      </c>
      <c r="AQ270" s="162">
        <v>0</v>
      </c>
      <c r="AR270" s="710" t="str">
        <v>32193r1.par</v>
      </c>
      <c r="AV270" s="82" t="str">
        <v>121,188,255</v>
      </c>
      <c r="AW270" s="947">
        <v>89.999987005609597</v>
      </c>
      <c r="AX270" s="947">
        <v>89.999987005609597</v>
      </c>
      <c r="AY270" s="947">
        <v>0</v>
      </c>
    </row>
    <row r="271" spans="2:51" x14ac:dyDescent="0.25">
      <c r="B271" s="650"/>
      <c r="C271" s="651"/>
      <c r="D271" s="652"/>
      <c r="E271" s="653"/>
      <c r="F271" s="651"/>
      <c r="G271" s="654"/>
      <c r="H271" s="653"/>
      <c r="I271" s="920"/>
      <c r="J271" s="924"/>
      <c r="K271" s="790" t="str">
        <f>IF($J271="","",IF(IFERROR(INDEX(Settings!$AK$14:$AK$36,MATCH((((ROUND($H271,6)*2)*1000000)+ROUND($I271,6)),Settings!$AI$14:$AI$36,0)),"Undefined")="Undefined","Undefined",IFERROR(INDEX(_xlfn.ANCHORARRAY(Settings!$BC$14),MATCH(IFERROR(INDEX(Settings!$AK$14:$AK$36,MATCH((((ROUND($H271,6)*2)*1000000)+ROUND($I271,6)),Settings!$AI$14:$AI$36,0)),"Undefined"),_xlfn.ANCHORARRAY(Settings!$BC$14),0)),"Inactive")))</f>
        <v/>
      </c>
      <c r="L271" s="943"/>
      <c r="M271" s="973"/>
      <c r="N271" s="941"/>
      <c r="O271" s="942"/>
      <c r="Q271" s="162" t="str">
        <f t="shared" si="1076"/>
        <v/>
      </c>
      <c r="R271" s="162" t="str">
        <f t="shared" si="1077"/>
        <v/>
      </c>
      <c r="S271" s="162" t="str">
        <f t="shared" si="1078"/>
        <v/>
      </c>
      <c r="T271" s="162" t="str">
        <f t="shared" si="1079"/>
        <v/>
      </c>
      <c r="U271" s="162" t="str">
        <f t="shared" si="1080"/>
        <v/>
      </c>
      <c r="V271" s="162" t="str">
        <f t="shared" si="1081"/>
        <v/>
      </c>
      <c r="W271" s="162" t="str">
        <f>IFERROR(IF(ISNUMBER(MATCH($Z271,Settings!$AK$28:$AK$36,0)),INDEX(Settings!$AO$14:$AO$36,MATCH($Z271,Settings!$AK$14:$AK$36,0))/2,INDEX(Settings!$AM$14:$AM$36,MATCH($Z271,Settings!$AK$14:$AK$36,0))/2),"")</f>
        <v/>
      </c>
      <c r="X271" s="162" t="str">
        <f t="shared" si="1082"/>
        <v/>
      </c>
      <c r="Y271" s="75"/>
      <c r="Z271" s="917" t="str">
        <f t="shared" si="1083"/>
        <v/>
      </c>
      <c r="AA271" s="82"/>
      <c r="AB271" s="75"/>
      <c r="AC271" s="75"/>
      <c r="AD271" s="166"/>
      <c r="AE271" s="75">
        <v>5.2370000000000001</v>
      </c>
      <c r="AF271" s="82">
        <v>5</v>
      </c>
      <c r="AG271" s="82">
        <v>2</v>
      </c>
      <c r="AH271" s="82">
        <v>2</v>
      </c>
      <c r="AI271" s="82">
        <v>0.99999999998544808</v>
      </c>
      <c r="AJ271" s="166">
        <v>5.2372100000000001</v>
      </c>
      <c r="AK271" s="82">
        <v>5.2371100000000004</v>
      </c>
      <c r="AL271" s="162">
        <v>0</v>
      </c>
      <c r="AM271" s="162">
        <v>0</v>
      </c>
      <c r="AN271" s="162">
        <v>0</v>
      </c>
      <c r="AO271" s="162">
        <v>0</v>
      </c>
      <c r="AP271" s="162">
        <v>0</v>
      </c>
      <c r="AQ271" s="162">
        <v>0</v>
      </c>
      <c r="AR271" s="710" t="str">
        <v>1313.par</v>
      </c>
      <c r="AV271" s="82" t="str">
        <v>121,188,255</v>
      </c>
      <c r="AW271" s="947">
        <v>75.733702256223253</v>
      </c>
      <c r="AX271" s="947">
        <v>75.733702256223253</v>
      </c>
      <c r="AY271" s="947">
        <v>0</v>
      </c>
    </row>
    <row r="272" spans="2:51" x14ac:dyDescent="0.25">
      <c r="B272" s="650"/>
      <c r="C272" s="651"/>
      <c r="D272" s="652"/>
      <c r="E272" s="653"/>
      <c r="F272" s="651"/>
      <c r="G272" s="654"/>
      <c r="H272" s="653"/>
      <c r="I272" s="920"/>
      <c r="J272" s="924"/>
      <c r="K272" s="790" t="str">
        <f>IF($J272="","",IF(IFERROR(INDEX(Settings!$AK$14:$AK$36,MATCH((((ROUND($H272,6)*2)*1000000)+ROUND($I272,6)),Settings!$AI$14:$AI$36,0)),"Undefined")="Undefined","Undefined",IFERROR(INDEX(_xlfn.ANCHORARRAY(Settings!$BC$14),MATCH(IFERROR(INDEX(Settings!$AK$14:$AK$36,MATCH((((ROUND($H272,6)*2)*1000000)+ROUND($I272,6)),Settings!$AI$14:$AI$36,0)),"Undefined"),_xlfn.ANCHORARRAY(Settings!$BC$14),0)),"Inactive")))</f>
        <v/>
      </c>
      <c r="L272" s="943"/>
      <c r="M272" s="973"/>
      <c r="N272" s="941"/>
      <c r="O272" s="942"/>
      <c r="Q272" s="162" t="str">
        <f t="shared" si="1076"/>
        <v/>
      </c>
      <c r="R272" s="162" t="str">
        <f t="shared" si="1077"/>
        <v/>
      </c>
      <c r="S272" s="162" t="str">
        <f t="shared" si="1078"/>
        <v/>
      </c>
      <c r="T272" s="162" t="str">
        <f t="shared" si="1079"/>
        <v/>
      </c>
      <c r="U272" s="162" t="str">
        <f t="shared" si="1080"/>
        <v/>
      </c>
      <c r="V272" s="162" t="str">
        <f t="shared" si="1081"/>
        <v/>
      </c>
      <c r="W272" s="162" t="str">
        <f>IFERROR(IF(ISNUMBER(MATCH($Z272,Settings!$AK$28:$AK$36,0)),INDEX(Settings!$AO$14:$AO$36,MATCH($Z272,Settings!$AK$14:$AK$36,0))/2,INDEX(Settings!$AM$14:$AM$36,MATCH($Z272,Settings!$AK$14:$AK$36,0))/2),"")</f>
        <v/>
      </c>
      <c r="X272" s="162" t="str">
        <f t="shared" si="1082"/>
        <v/>
      </c>
      <c r="Y272" s="75"/>
      <c r="Z272" s="917" t="str">
        <f t="shared" si="1083"/>
        <v/>
      </c>
      <c r="AA272" s="82"/>
      <c r="AB272" s="75"/>
      <c r="AC272" s="75"/>
      <c r="AD272" s="166"/>
      <c r="AE272" s="75">
        <v>5.2309999999999999</v>
      </c>
      <c r="AF272" s="82">
        <v>5</v>
      </c>
      <c r="AG272" s="82">
        <v>2</v>
      </c>
      <c r="AH272" s="82">
        <v>2</v>
      </c>
      <c r="AI272" s="82">
        <v>0.99999999998544808</v>
      </c>
      <c r="AJ272" s="166">
        <v>5.2312099999999999</v>
      </c>
      <c r="AK272" s="82">
        <v>5.2311100000000001</v>
      </c>
      <c r="AL272" s="162">
        <v>0</v>
      </c>
      <c r="AM272" s="162">
        <v>0</v>
      </c>
      <c r="AN272" s="162">
        <v>0</v>
      </c>
      <c r="AO272" s="162">
        <v>0</v>
      </c>
      <c r="AP272" s="162">
        <v>0</v>
      </c>
      <c r="AQ272" s="162">
        <v>0</v>
      </c>
      <c r="AR272" s="710" t="str">
        <v>1313.par</v>
      </c>
      <c r="AV272" s="82" t="str">
        <v>121,188,255</v>
      </c>
      <c r="AW272" s="947">
        <v>57.213428741154814</v>
      </c>
      <c r="AX272" s="947">
        <v>57.213428741154814</v>
      </c>
      <c r="AY272" s="947">
        <v>0</v>
      </c>
    </row>
    <row r="273" spans="2:51" x14ac:dyDescent="0.25">
      <c r="B273" s="650"/>
      <c r="C273" s="651"/>
      <c r="D273" s="652"/>
      <c r="E273" s="653"/>
      <c r="F273" s="651"/>
      <c r="G273" s="654"/>
      <c r="H273" s="653"/>
      <c r="I273" s="920"/>
      <c r="J273" s="924"/>
      <c r="K273" s="790" t="str">
        <f>IF($J273="","",IF(IFERROR(INDEX(Settings!$AK$14:$AK$36,MATCH((((ROUND($H273,6)*2)*1000000)+ROUND($I273,6)),Settings!$AI$14:$AI$36,0)),"Undefined")="Undefined","Undefined",IFERROR(INDEX(_xlfn.ANCHORARRAY(Settings!$BC$14),MATCH(IFERROR(INDEX(Settings!$AK$14:$AK$36,MATCH((((ROUND($H273,6)*2)*1000000)+ROUND($I273,6)),Settings!$AI$14:$AI$36,0)),"Undefined"),_xlfn.ANCHORARRAY(Settings!$BC$14),0)),"Inactive")))</f>
        <v/>
      </c>
      <c r="L273" s="943"/>
      <c r="M273" s="973"/>
      <c r="N273" s="941"/>
      <c r="O273" s="942"/>
      <c r="Q273" s="162" t="str">
        <f t="shared" si="1076"/>
        <v/>
      </c>
      <c r="R273" s="162" t="str">
        <f t="shared" si="1077"/>
        <v/>
      </c>
      <c r="S273" s="162" t="str">
        <f t="shared" si="1078"/>
        <v/>
      </c>
      <c r="T273" s="162" t="str">
        <f t="shared" si="1079"/>
        <v/>
      </c>
      <c r="U273" s="162" t="str">
        <f t="shared" si="1080"/>
        <v/>
      </c>
      <c r="V273" s="162" t="str">
        <f t="shared" si="1081"/>
        <v/>
      </c>
      <c r="W273" s="162" t="str">
        <f>IFERROR(IF(ISNUMBER(MATCH($Z273,Settings!$AK$28:$AK$36,0)),INDEX(Settings!$AO$14:$AO$36,MATCH($Z273,Settings!$AK$14:$AK$36,0))/2,INDEX(Settings!$AM$14:$AM$36,MATCH($Z273,Settings!$AK$14:$AK$36,0))/2),"")</f>
        <v/>
      </c>
      <c r="X273" s="162" t="str">
        <f t="shared" si="1082"/>
        <v/>
      </c>
      <c r="Y273" s="75"/>
      <c r="Z273" s="917" t="str">
        <f t="shared" si="1083"/>
        <v/>
      </c>
      <c r="AA273" s="82"/>
      <c r="AB273" s="75"/>
      <c r="AC273" s="75"/>
      <c r="AD273" s="166"/>
      <c r="AE273" s="75">
        <v>5.2249999999999996</v>
      </c>
      <c r="AF273" s="82">
        <v>5</v>
      </c>
      <c r="AG273" s="82">
        <v>2</v>
      </c>
      <c r="AH273" s="82">
        <v>2</v>
      </c>
      <c r="AI273" s="82">
        <v>0.99999999998544808</v>
      </c>
      <c r="AJ273" s="166">
        <v>5.2252099999999997</v>
      </c>
      <c r="AK273" s="82">
        <v>5.2251099999999999</v>
      </c>
      <c r="AL273" s="162">
        <v>0</v>
      </c>
      <c r="AM273" s="162">
        <v>0</v>
      </c>
      <c r="AN273" s="162">
        <v>0</v>
      </c>
      <c r="AO273" s="162">
        <v>0</v>
      </c>
      <c r="AP273" s="162">
        <v>0</v>
      </c>
      <c r="AQ273" s="162">
        <v>0</v>
      </c>
      <c r="AR273" s="710" t="str">
        <v>1313.par</v>
      </c>
      <c r="AV273" s="82" t="str">
        <v>121,188,255</v>
      </c>
      <c r="AW273" s="947">
        <v>38.623227592362632</v>
      </c>
      <c r="AX273" s="947">
        <v>38.623227592362632</v>
      </c>
      <c r="AY273" s="947">
        <v>0</v>
      </c>
    </row>
    <row r="274" spans="2:51" x14ac:dyDescent="0.25">
      <c r="B274" s="650"/>
      <c r="C274" s="651"/>
      <c r="D274" s="652"/>
      <c r="E274" s="653"/>
      <c r="F274" s="651"/>
      <c r="G274" s="654"/>
      <c r="H274" s="653"/>
      <c r="I274" s="920"/>
      <c r="J274" s="924"/>
      <c r="K274" s="790" t="str">
        <f>IF($J274="","",IF(IFERROR(INDEX(Settings!$AK$14:$AK$36,MATCH((((ROUND($H274,6)*2)*1000000)+ROUND($I274,6)),Settings!$AI$14:$AI$36,0)),"Undefined")="Undefined","Undefined",IFERROR(INDEX(_xlfn.ANCHORARRAY(Settings!$BC$14),MATCH(IFERROR(INDEX(Settings!$AK$14:$AK$36,MATCH((((ROUND($H274,6)*2)*1000000)+ROUND($I274,6)),Settings!$AI$14:$AI$36,0)),"Undefined"),_xlfn.ANCHORARRAY(Settings!$BC$14),0)),"Inactive")))</f>
        <v/>
      </c>
      <c r="L274" s="943"/>
      <c r="M274" s="973"/>
      <c r="N274" s="941"/>
      <c r="O274" s="942"/>
      <c r="Q274" s="162" t="str">
        <f t="shared" ref="Q274:Q305" si="1085">IFERROR(INDEX(B$164:B$305,MATCH($Y274,$J$164:$J$305,0)),"")</f>
        <v/>
      </c>
      <c r="R274" s="162" t="str">
        <f t="shared" ref="R274:R305" si="1086">IFERROR(INDEX(C$164:C$305,MATCH($Y274,$J$164:$J$305,0)),"")</f>
        <v/>
      </c>
      <c r="S274" s="162" t="str">
        <f t="shared" ref="S274:S305" si="1087">IFERROR(INDEX(D$164:D$305,MATCH($Y274,$J$164:$J$305,0)),"")</f>
        <v/>
      </c>
      <c r="T274" s="162" t="str">
        <f t="shared" ref="T274:T305" si="1088">IFERROR(IF($N274="Y",-1*INDEX(E$164:E$305,MATCH($Y274,$J$164:$J$305,0)),INDEX(E$164:E$305,MATCH($Y274,$J$164:$J$305,0))),"")</f>
        <v/>
      </c>
      <c r="U274" s="162" t="str">
        <f t="shared" ref="U274:U305" si="1089">IFERROR(IF($N274="Y",-1*INDEX(F$164:F$305,MATCH($Y274,$J$164:$J$305,0)),INDEX(F$164:F$305,MATCH($Y274,$J$164:$J$305,0))),"")</f>
        <v/>
      </c>
      <c r="V274" s="162" t="str">
        <f t="shared" ref="V274:V305" si="1090">IFERROR(IF($N274="Y",-1*INDEX(G$164:G$305,MATCH($Y274,$J$164:$J$305,0)),INDEX(G$164:G$305,MATCH($Y274,$J$164:$J$305,0))),"")</f>
        <v/>
      </c>
      <c r="W274" s="162" t="str">
        <f>IFERROR(IF(ISNUMBER(MATCH($Z274,Settings!$AK$28:$AK$36,0)),INDEX(Settings!$AO$14:$AO$36,MATCH($Z274,Settings!$AK$14:$AK$36,0))/2,INDEX(Settings!$AM$14:$AM$36,MATCH($Z274,Settings!$AK$14:$AK$36,0))/2),"")</f>
        <v/>
      </c>
      <c r="X274" s="162" t="str">
        <f t="shared" ref="X274:X305" si="1091">IFERROR(INDEX(I$164:I$305,MATCH($Y274,$J$164:$J$305,0)),"")</f>
        <v/>
      </c>
      <c r="Y274" s="75"/>
      <c r="Z274" s="917" t="str">
        <f t="shared" ref="Z274:Z305" si="1092">IFERROR(INDEX(K$164:K$305,MATCH($Y274,$J$164:$J$305,0)),"")</f>
        <v/>
      </c>
      <c r="AA274" s="82"/>
      <c r="AB274" s="75"/>
      <c r="AC274" s="75"/>
      <c r="AD274" s="166"/>
      <c r="AE274" s="75">
        <v>5.2190000000000003</v>
      </c>
      <c r="AF274" s="82">
        <v>5</v>
      </c>
      <c r="AG274" s="82">
        <v>2</v>
      </c>
      <c r="AH274" s="82">
        <v>2</v>
      </c>
      <c r="AI274" s="82">
        <v>1.0000000000582077</v>
      </c>
      <c r="AJ274" s="166">
        <v>5.2192100000000003</v>
      </c>
      <c r="AK274" s="82">
        <v>5.2191100000000006</v>
      </c>
      <c r="AL274" s="162">
        <v>0</v>
      </c>
      <c r="AM274" s="162">
        <v>0</v>
      </c>
      <c r="AN274" s="162">
        <v>0</v>
      </c>
      <c r="AO274" s="162">
        <v>0</v>
      </c>
      <c r="AP274" s="162">
        <v>0</v>
      </c>
      <c r="AQ274" s="162">
        <v>0</v>
      </c>
      <c r="AR274" s="710" t="str">
        <v>32193r1.par</v>
      </c>
      <c r="AV274" s="82" t="str">
        <v>121,188,255</v>
      </c>
      <c r="AW274" s="947">
        <v>12.999998123032507</v>
      </c>
      <c r="AX274" s="947">
        <v>12.999998123032507</v>
      </c>
      <c r="AY274" s="947">
        <v>0</v>
      </c>
    </row>
    <row r="275" spans="2:51" x14ac:dyDescent="0.25">
      <c r="B275" s="650"/>
      <c r="C275" s="651"/>
      <c r="D275" s="652"/>
      <c r="E275" s="653"/>
      <c r="F275" s="651"/>
      <c r="G275" s="654"/>
      <c r="H275" s="653"/>
      <c r="I275" s="920"/>
      <c r="J275" s="924"/>
      <c r="K275" s="790" t="str">
        <f>IF($J275="","",IF(IFERROR(INDEX(Settings!$AK$14:$AK$36,MATCH((((ROUND($H275,6)*2)*1000000)+ROUND($I275,6)),Settings!$AI$14:$AI$36,0)),"Undefined")="Undefined","Undefined",IFERROR(INDEX(_xlfn.ANCHORARRAY(Settings!$BC$14),MATCH(IFERROR(INDEX(Settings!$AK$14:$AK$36,MATCH((((ROUND($H275,6)*2)*1000000)+ROUND($I275,6)),Settings!$AI$14:$AI$36,0)),"Undefined"),_xlfn.ANCHORARRAY(Settings!$BC$14),0)),"Inactive")))</f>
        <v/>
      </c>
      <c r="L275" s="943"/>
      <c r="M275" s="973"/>
      <c r="N275" s="941"/>
      <c r="O275" s="942"/>
      <c r="Q275" s="162" t="str">
        <f t="shared" si="1085"/>
        <v/>
      </c>
      <c r="R275" s="162" t="str">
        <f t="shared" si="1086"/>
        <v/>
      </c>
      <c r="S275" s="162" t="str">
        <f t="shared" si="1087"/>
        <v/>
      </c>
      <c r="T275" s="162" t="str">
        <f t="shared" si="1088"/>
        <v/>
      </c>
      <c r="U275" s="162" t="str">
        <f t="shared" si="1089"/>
        <v/>
      </c>
      <c r="V275" s="162" t="str">
        <f t="shared" si="1090"/>
        <v/>
      </c>
      <c r="W275" s="162" t="str">
        <f>IFERROR(IF(ISNUMBER(MATCH($Z275,Settings!$AK$28:$AK$36,0)),INDEX(Settings!$AO$14:$AO$36,MATCH($Z275,Settings!$AK$14:$AK$36,0))/2,INDEX(Settings!$AM$14:$AM$36,MATCH($Z275,Settings!$AK$14:$AK$36,0))/2),"")</f>
        <v/>
      </c>
      <c r="X275" s="162" t="str">
        <f t="shared" si="1091"/>
        <v/>
      </c>
      <c r="Y275" s="75"/>
      <c r="Z275" s="917" t="str">
        <f t="shared" si="1092"/>
        <v/>
      </c>
      <c r="AA275" s="82"/>
      <c r="AB275" s="75"/>
      <c r="AC275" s="75"/>
      <c r="AD275" s="166"/>
      <c r="AE275" s="75">
        <v>5.149</v>
      </c>
      <c r="AF275" s="82">
        <v>5</v>
      </c>
      <c r="AG275" s="82">
        <v>1</v>
      </c>
      <c r="AH275" s="82">
        <v>2</v>
      </c>
      <c r="AI275" s="82">
        <v>0.99999999998544808</v>
      </c>
      <c r="AJ275" s="166">
        <v>5.1492100000000001</v>
      </c>
      <c r="AK275" s="82">
        <v>5.1491100000000003</v>
      </c>
      <c r="AL275" s="162">
        <v>0</v>
      </c>
      <c r="AM275" s="162">
        <v>0</v>
      </c>
      <c r="AN275" s="162">
        <v>0</v>
      </c>
      <c r="AO275" s="162">
        <v>0</v>
      </c>
      <c r="AP275" s="162">
        <v>0</v>
      </c>
      <c r="AQ275" s="162">
        <v>0</v>
      </c>
      <c r="AR275" s="710" t="str">
        <v>1613.par</v>
      </c>
      <c r="AV275" s="82" t="str">
        <v>0,102,204</v>
      </c>
      <c r="AW275" s="947">
        <v>84.97011741683842</v>
      </c>
      <c r="AX275" s="947">
        <v>84.97011741683842</v>
      </c>
      <c r="AY275" s="947">
        <v>0</v>
      </c>
    </row>
    <row r="276" spans="2:51" x14ac:dyDescent="0.25">
      <c r="B276" s="650"/>
      <c r="C276" s="651"/>
      <c r="D276" s="652"/>
      <c r="E276" s="653"/>
      <c r="F276" s="651"/>
      <c r="G276" s="654"/>
      <c r="H276" s="653"/>
      <c r="I276" s="920"/>
      <c r="J276" s="924"/>
      <c r="K276" s="790" t="str">
        <f>IF($J276="","",IF(IFERROR(INDEX(Settings!$AK$14:$AK$36,MATCH((((ROUND($H276,6)*2)*1000000)+ROUND($I276,6)),Settings!$AI$14:$AI$36,0)),"Undefined")="Undefined","Undefined",IFERROR(INDEX(_xlfn.ANCHORARRAY(Settings!$BC$14),MATCH(IFERROR(INDEX(Settings!$AK$14:$AK$36,MATCH((((ROUND($H276,6)*2)*1000000)+ROUND($I276,6)),Settings!$AI$14:$AI$36,0)),"Undefined"),_xlfn.ANCHORARRAY(Settings!$BC$14),0)),"Inactive")))</f>
        <v/>
      </c>
      <c r="L276" s="943"/>
      <c r="M276" s="973"/>
      <c r="N276" s="941"/>
      <c r="O276" s="942"/>
      <c r="Q276" s="162" t="str">
        <f t="shared" si="1085"/>
        <v/>
      </c>
      <c r="R276" s="162" t="str">
        <f t="shared" si="1086"/>
        <v/>
      </c>
      <c r="S276" s="162" t="str">
        <f t="shared" si="1087"/>
        <v/>
      </c>
      <c r="T276" s="162" t="str">
        <f t="shared" si="1088"/>
        <v/>
      </c>
      <c r="U276" s="162" t="str">
        <f t="shared" si="1089"/>
        <v/>
      </c>
      <c r="V276" s="162" t="str">
        <f t="shared" si="1090"/>
        <v/>
      </c>
      <c r="W276" s="162" t="str">
        <f>IFERROR(IF(ISNUMBER(MATCH($Z276,Settings!$AK$28:$AK$36,0)),INDEX(Settings!$AO$14:$AO$36,MATCH($Z276,Settings!$AK$14:$AK$36,0))/2,INDEX(Settings!$AM$14:$AM$36,MATCH($Z276,Settings!$AK$14:$AK$36,0))/2),"")</f>
        <v/>
      </c>
      <c r="X276" s="162" t="str">
        <f t="shared" si="1091"/>
        <v/>
      </c>
      <c r="Y276" s="75"/>
      <c r="Z276" s="917" t="str">
        <f t="shared" si="1092"/>
        <v/>
      </c>
      <c r="AA276" s="82"/>
      <c r="AB276" s="75"/>
      <c r="AC276" s="75"/>
      <c r="AD276" s="166"/>
      <c r="AE276" s="75">
        <v>5.1429999999999998</v>
      </c>
      <c r="AF276" s="82">
        <v>5</v>
      </c>
      <c r="AG276" s="82">
        <v>1</v>
      </c>
      <c r="AH276" s="82">
        <v>2</v>
      </c>
      <c r="AI276" s="82">
        <v>0.99999999998544808</v>
      </c>
      <c r="AJ276" s="166">
        <v>5.1432099999999998</v>
      </c>
      <c r="AK276" s="82">
        <v>5.1431100000000001</v>
      </c>
      <c r="AL276" s="162">
        <v>0</v>
      </c>
      <c r="AM276" s="162">
        <v>0</v>
      </c>
      <c r="AN276" s="162">
        <v>0</v>
      </c>
      <c r="AO276" s="162">
        <v>0</v>
      </c>
      <c r="AP276" s="162">
        <v>0</v>
      </c>
      <c r="AQ276" s="162">
        <v>0</v>
      </c>
      <c r="AR276" s="710" t="str">
        <v>1613.par</v>
      </c>
      <c r="AV276" s="82" t="str">
        <v>0,102,204</v>
      </c>
      <c r="AW276" s="947">
        <v>84.969949372155952</v>
      </c>
      <c r="AX276" s="947">
        <v>84.969949372155952</v>
      </c>
      <c r="AY276" s="947">
        <v>0</v>
      </c>
    </row>
    <row r="277" spans="2:51" x14ac:dyDescent="0.25">
      <c r="B277" s="650"/>
      <c r="C277" s="651"/>
      <c r="D277" s="652"/>
      <c r="E277" s="653"/>
      <c r="F277" s="651"/>
      <c r="G277" s="654"/>
      <c r="H277" s="653"/>
      <c r="I277" s="920"/>
      <c r="J277" s="924"/>
      <c r="K277" s="790" t="str">
        <f>IF($J277="","",IF(IFERROR(INDEX(Settings!$AK$14:$AK$36,MATCH((((ROUND($H277,6)*2)*1000000)+ROUND($I277,6)),Settings!$AI$14:$AI$36,0)),"Undefined")="Undefined","Undefined",IFERROR(INDEX(_xlfn.ANCHORARRAY(Settings!$BC$14),MATCH(IFERROR(INDEX(Settings!$AK$14:$AK$36,MATCH((((ROUND($H277,6)*2)*1000000)+ROUND($I277,6)),Settings!$AI$14:$AI$36,0)),"Undefined"),_xlfn.ANCHORARRAY(Settings!$BC$14),0)),"Inactive")))</f>
        <v/>
      </c>
      <c r="L277" s="943"/>
      <c r="M277" s="973"/>
      <c r="N277" s="941"/>
      <c r="O277" s="942"/>
      <c r="Q277" s="162" t="str">
        <f t="shared" si="1085"/>
        <v/>
      </c>
      <c r="R277" s="162" t="str">
        <f t="shared" si="1086"/>
        <v/>
      </c>
      <c r="S277" s="162" t="str">
        <f t="shared" si="1087"/>
        <v/>
      </c>
      <c r="T277" s="162" t="str">
        <f t="shared" si="1088"/>
        <v/>
      </c>
      <c r="U277" s="162" t="str">
        <f t="shared" si="1089"/>
        <v/>
      </c>
      <c r="V277" s="162" t="str">
        <f t="shared" si="1090"/>
        <v/>
      </c>
      <c r="W277" s="162" t="str">
        <f>IFERROR(IF(ISNUMBER(MATCH($Z277,Settings!$AK$28:$AK$36,0)),INDEX(Settings!$AO$14:$AO$36,MATCH($Z277,Settings!$AK$14:$AK$36,0))/2,INDEX(Settings!$AM$14:$AM$36,MATCH($Z277,Settings!$AK$14:$AK$36,0))/2),"")</f>
        <v/>
      </c>
      <c r="X277" s="162" t="str">
        <f t="shared" si="1091"/>
        <v/>
      </c>
      <c r="Y277" s="75"/>
      <c r="Z277" s="917" t="str">
        <f t="shared" si="1092"/>
        <v/>
      </c>
      <c r="AA277" s="82"/>
      <c r="AB277" s="75"/>
      <c r="AC277" s="75"/>
      <c r="AD277" s="166"/>
      <c r="AE277" s="75">
        <v>5.1369999999999996</v>
      </c>
      <c r="AF277" s="82">
        <v>5</v>
      </c>
      <c r="AG277" s="82">
        <v>1</v>
      </c>
      <c r="AH277" s="82">
        <v>2</v>
      </c>
      <c r="AI277" s="82">
        <v>0.99999999998544808</v>
      </c>
      <c r="AJ277" s="166">
        <v>5.1372099999999996</v>
      </c>
      <c r="AK277" s="82">
        <v>5.1371099999999998</v>
      </c>
      <c r="AL277" s="162">
        <v>0</v>
      </c>
      <c r="AM277" s="162">
        <v>0</v>
      </c>
      <c r="AN277" s="162">
        <v>0</v>
      </c>
      <c r="AO277" s="162">
        <v>0</v>
      </c>
      <c r="AP277" s="162">
        <v>0</v>
      </c>
      <c r="AQ277" s="162">
        <v>0</v>
      </c>
      <c r="AR277" s="710" t="str">
        <v>1613.par</v>
      </c>
      <c r="AV277" s="82" t="str">
        <v>0,102,204</v>
      </c>
      <c r="AW277" s="947">
        <v>75.712346529077777</v>
      </c>
      <c r="AX277" s="947">
        <v>75.712346529077777</v>
      </c>
      <c r="AY277" s="947">
        <v>0</v>
      </c>
    </row>
    <row r="278" spans="2:51" x14ac:dyDescent="0.25">
      <c r="B278" s="650"/>
      <c r="C278" s="651"/>
      <c r="D278" s="652"/>
      <c r="E278" s="653"/>
      <c r="F278" s="651"/>
      <c r="G278" s="654"/>
      <c r="H278" s="653"/>
      <c r="I278" s="920"/>
      <c r="J278" s="924"/>
      <c r="K278" s="790" t="str">
        <f>IF($J278="","",IF(IFERROR(INDEX(Settings!$AK$14:$AK$36,MATCH((((ROUND($H278,6)*2)*1000000)+ROUND($I278,6)),Settings!$AI$14:$AI$36,0)),"Undefined")="Undefined","Undefined",IFERROR(INDEX(_xlfn.ANCHORARRAY(Settings!$BC$14),MATCH(IFERROR(INDEX(Settings!$AK$14:$AK$36,MATCH((((ROUND($H278,6)*2)*1000000)+ROUND($I278,6)),Settings!$AI$14:$AI$36,0)),"Undefined"),_xlfn.ANCHORARRAY(Settings!$BC$14),0)),"Inactive")))</f>
        <v/>
      </c>
      <c r="L278" s="943"/>
      <c r="M278" s="973"/>
      <c r="N278" s="941"/>
      <c r="O278" s="942"/>
      <c r="Q278" s="162" t="str">
        <f t="shared" si="1085"/>
        <v/>
      </c>
      <c r="R278" s="162" t="str">
        <f t="shared" si="1086"/>
        <v/>
      </c>
      <c r="S278" s="162" t="str">
        <f t="shared" si="1087"/>
        <v/>
      </c>
      <c r="T278" s="162" t="str">
        <f t="shared" si="1088"/>
        <v/>
      </c>
      <c r="U278" s="162" t="str">
        <f t="shared" si="1089"/>
        <v/>
      </c>
      <c r="V278" s="162" t="str">
        <f t="shared" si="1090"/>
        <v/>
      </c>
      <c r="W278" s="162" t="str">
        <f>IFERROR(IF(ISNUMBER(MATCH($Z278,Settings!$AK$28:$AK$36,0)),INDEX(Settings!$AO$14:$AO$36,MATCH($Z278,Settings!$AK$14:$AK$36,0))/2,INDEX(Settings!$AM$14:$AM$36,MATCH($Z278,Settings!$AK$14:$AK$36,0))/2),"")</f>
        <v/>
      </c>
      <c r="X278" s="162" t="str">
        <f t="shared" si="1091"/>
        <v/>
      </c>
      <c r="Y278" s="75"/>
      <c r="Z278" s="917" t="str">
        <f t="shared" si="1092"/>
        <v/>
      </c>
      <c r="AA278" s="82"/>
      <c r="AB278" s="75"/>
      <c r="AC278" s="75"/>
      <c r="AD278" s="166"/>
      <c r="AE278" s="75">
        <v>5.1310000000000002</v>
      </c>
      <c r="AF278" s="82">
        <v>5</v>
      </c>
      <c r="AG278" s="82">
        <v>1</v>
      </c>
      <c r="AH278" s="82">
        <v>2</v>
      </c>
      <c r="AI278" s="82">
        <v>1.0000000000582077</v>
      </c>
      <c r="AJ278" s="166">
        <v>5.1312100000000003</v>
      </c>
      <c r="AK278" s="82">
        <v>5.1311100000000005</v>
      </c>
      <c r="AL278" s="162">
        <v>0</v>
      </c>
      <c r="AM278" s="162">
        <v>0</v>
      </c>
      <c r="AN278" s="162">
        <v>0</v>
      </c>
      <c r="AO278" s="162">
        <v>0</v>
      </c>
      <c r="AP278" s="162">
        <v>0</v>
      </c>
      <c r="AQ278" s="162">
        <v>0</v>
      </c>
      <c r="AR278" s="710" t="str">
        <v>1613.par</v>
      </c>
      <c r="AV278" s="82" t="str">
        <v>0,102,204</v>
      </c>
      <c r="AW278" s="947">
        <v>57.149982620263913</v>
      </c>
      <c r="AX278" s="947">
        <v>57.149982620263913</v>
      </c>
      <c r="AY278" s="947">
        <v>0</v>
      </c>
    </row>
    <row r="279" spans="2:51" x14ac:dyDescent="0.25">
      <c r="B279" s="650"/>
      <c r="C279" s="651"/>
      <c r="D279" s="652"/>
      <c r="E279" s="653"/>
      <c r="F279" s="651"/>
      <c r="G279" s="654"/>
      <c r="H279" s="653"/>
      <c r="I279" s="920"/>
      <c r="J279" s="924"/>
      <c r="K279" s="790" t="str">
        <f>IF($J279="","",IF(IFERROR(INDEX(Settings!$AK$14:$AK$36,MATCH((((ROUND($H279,6)*2)*1000000)+ROUND($I279,6)),Settings!$AI$14:$AI$36,0)),"Undefined")="Undefined","Undefined",IFERROR(INDEX(_xlfn.ANCHORARRAY(Settings!$BC$14),MATCH(IFERROR(INDEX(Settings!$AK$14:$AK$36,MATCH((((ROUND($H279,6)*2)*1000000)+ROUND($I279,6)),Settings!$AI$14:$AI$36,0)),"Undefined"),_xlfn.ANCHORARRAY(Settings!$BC$14),0)),"Inactive")))</f>
        <v/>
      </c>
      <c r="L279" s="943"/>
      <c r="M279" s="973"/>
      <c r="N279" s="941"/>
      <c r="O279" s="942"/>
      <c r="Q279" s="162" t="str">
        <f t="shared" si="1085"/>
        <v/>
      </c>
      <c r="R279" s="162" t="str">
        <f t="shared" si="1086"/>
        <v/>
      </c>
      <c r="S279" s="162" t="str">
        <f t="shared" si="1087"/>
        <v/>
      </c>
      <c r="T279" s="162" t="str">
        <f t="shared" si="1088"/>
        <v/>
      </c>
      <c r="U279" s="162" t="str">
        <f t="shared" si="1089"/>
        <v/>
      </c>
      <c r="V279" s="162" t="str">
        <f t="shared" si="1090"/>
        <v/>
      </c>
      <c r="W279" s="162" t="str">
        <f>IFERROR(IF(ISNUMBER(MATCH($Z279,Settings!$AK$28:$AK$36,0)),INDEX(Settings!$AO$14:$AO$36,MATCH($Z279,Settings!$AK$14:$AK$36,0))/2,INDEX(Settings!$AM$14:$AM$36,MATCH($Z279,Settings!$AK$14:$AK$36,0))/2),"")</f>
        <v/>
      </c>
      <c r="X279" s="162" t="str">
        <f t="shared" si="1091"/>
        <v/>
      </c>
      <c r="Y279" s="75"/>
      <c r="Z279" s="917" t="str">
        <f t="shared" si="1092"/>
        <v/>
      </c>
      <c r="AA279" s="82"/>
      <c r="AB279" s="75"/>
      <c r="AC279" s="75"/>
      <c r="AD279" s="166"/>
      <c r="AE279" s="75">
        <v>5.125</v>
      </c>
      <c r="AF279" s="82">
        <v>5</v>
      </c>
      <c r="AG279" s="82">
        <v>1</v>
      </c>
      <c r="AH279" s="82">
        <v>2</v>
      </c>
      <c r="AI279" s="82">
        <v>0.99999999998544808</v>
      </c>
      <c r="AJ279" s="166">
        <v>5.12521</v>
      </c>
      <c r="AK279" s="82">
        <v>5.1251100000000003</v>
      </c>
      <c r="AL279" s="162">
        <v>0</v>
      </c>
      <c r="AM279" s="162">
        <v>0</v>
      </c>
      <c r="AN279" s="162">
        <v>0</v>
      </c>
      <c r="AO279" s="162">
        <v>0</v>
      </c>
      <c r="AP279" s="162">
        <v>0</v>
      </c>
      <c r="AQ279" s="162">
        <v>0</v>
      </c>
      <c r="AR279" s="710" t="str">
        <v>1613.par</v>
      </c>
      <c r="AV279" s="82" t="str">
        <v>0,102,204</v>
      </c>
      <c r="AW279" s="947">
        <v>38.485986851085471</v>
      </c>
      <c r="AX279" s="947">
        <v>38.485986851085471</v>
      </c>
      <c r="AY279" s="947">
        <v>0</v>
      </c>
    </row>
    <row r="280" spans="2:51" x14ac:dyDescent="0.25">
      <c r="B280" s="650"/>
      <c r="C280" s="651"/>
      <c r="D280" s="652"/>
      <c r="E280" s="653"/>
      <c r="F280" s="651"/>
      <c r="G280" s="654"/>
      <c r="H280" s="653"/>
      <c r="I280" s="920"/>
      <c r="J280" s="924"/>
      <c r="K280" s="790" t="str">
        <f>IF($J280="","",IF(IFERROR(INDEX(Settings!$AK$14:$AK$36,MATCH((((ROUND($H280,6)*2)*1000000)+ROUND($I280,6)),Settings!$AI$14:$AI$36,0)),"Undefined")="Undefined","Undefined",IFERROR(INDEX(_xlfn.ANCHORARRAY(Settings!$BC$14),MATCH(IFERROR(INDEX(Settings!$AK$14:$AK$36,MATCH((((ROUND($H280,6)*2)*1000000)+ROUND($I280,6)),Settings!$AI$14:$AI$36,0)),"Undefined"),_xlfn.ANCHORARRAY(Settings!$BC$14),0)),"Inactive")))</f>
        <v/>
      </c>
      <c r="L280" s="943"/>
      <c r="M280" s="973"/>
      <c r="N280" s="941"/>
      <c r="O280" s="942"/>
      <c r="Q280" s="162" t="str">
        <f t="shared" si="1085"/>
        <v/>
      </c>
      <c r="R280" s="162" t="str">
        <f t="shared" si="1086"/>
        <v/>
      </c>
      <c r="S280" s="162" t="str">
        <f t="shared" si="1087"/>
        <v/>
      </c>
      <c r="T280" s="162" t="str">
        <f t="shared" si="1088"/>
        <v/>
      </c>
      <c r="U280" s="162" t="str">
        <f t="shared" si="1089"/>
        <v/>
      </c>
      <c r="V280" s="162" t="str">
        <f t="shared" si="1090"/>
        <v/>
      </c>
      <c r="W280" s="162" t="str">
        <f>IFERROR(IF(ISNUMBER(MATCH($Z280,Settings!$AK$28:$AK$36,0)),INDEX(Settings!$AO$14:$AO$36,MATCH($Z280,Settings!$AK$14:$AK$36,0))/2,INDEX(Settings!$AM$14:$AM$36,MATCH($Z280,Settings!$AK$14:$AK$36,0))/2),"")</f>
        <v/>
      </c>
      <c r="X280" s="162" t="str">
        <f t="shared" si="1091"/>
        <v/>
      </c>
      <c r="Y280" s="75"/>
      <c r="Z280" s="917" t="str">
        <f t="shared" si="1092"/>
        <v/>
      </c>
      <c r="AA280" s="82"/>
      <c r="AB280" s="75"/>
      <c r="AC280" s="75"/>
      <c r="AD280" s="166"/>
      <c r="AE280" s="75">
        <v>5.1189999999999998</v>
      </c>
      <c r="AF280" s="82">
        <v>5</v>
      </c>
      <c r="AG280" s="82">
        <v>1</v>
      </c>
      <c r="AH280" s="82">
        <v>2</v>
      </c>
      <c r="AI280" s="82">
        <v>0.99999999998544808</v>
      </c>
      <c r="AJ280" s="166">
        <v>5.1192099999999998</v>
      </c>
      <c r="AK280" s="82">
        <v>5.11911</v>
      </c>
      <c r="AL280" s="162">
        <v>0</v>
      </c>
      <c r="AM280" s="162">
        <v>0</v>
      </c>
      <c r="AN280" s="162">
        <v>0</v>
      </c>
      <c r="AO280" s="162">
        <v>0</v>
      </c>
      <c r="AP280" s="162">
        <v>0</v>
      </c>
      <c r="AQ280" s="162">
        <v>0</v>
      </c>
      <c r="AR280" s="710" t="str">
        <v>1613 Ripper.par</v>
      </c>
      <c r="AV280" s="82" t="str">
        <v>0,102,204</v>
      </c>
      <c r="AW280" s="947">
        <v>19.63131247542724</v>
      </c>
      <c r="AX280" s="947">
        <v>19.63131247542724</v>
      </c>
      <c r="AY280" s="947">
        <v>0</v>
      </c>
    </row>
    <row r="281" spans="2:51" x14ac:dyDescent="0.25">
      <c r="B281" s="650"/>
      <c r="C281" s="651"/>
      <c r="D281" s="652"/>
      <c r="E281" s="653"/>
      <c r="F281" s="651"/>
      <c r="G281" s="654"/>
      <c r="H281" s="653"/>
      <c r="I281" s="920"/>
      <c r="J281" s="924"/>
      <c r="K281" s="790" t="str">
        <f>IF($J281="","",IF(IFERROR(INDEX(Settings!$AK$14:$AK$36,MATCH((((ROUND($H281,6)*2)*1000000)+ROUND($I281,6)),Settings!$AI$14:$AI$36,0)),"Undefined")="Undefined","Undefined",IFERROR(INDEX(_xlfn.ANCHORARRAY(Settings!$BC$14),MATCH(IFERROR(INDEX(Settings!$AK$14:$AK$36,MATCH((((ROUND($H281,6)*2)*1000000)+ROUND($I281,6)),Settings!$AI$14:$AI$36,0)),"Undefined"),_xlfn.ANCHORARRAY(Settings!$BC$14),0)),"Inactive")))</f>
        <v/>
      </c>
      <c r="L281" s="943"/>
      <c r="M281" s="973"/>
      <c r="N281" s="941"/>
      <c r="O281" s="942"/>
      <c r="Q281" s="162" t="str">
        <f t="shared" si="1085"/>
        <v/>
      </c>
      <c r="R281" s="162" t="str">
        <f t="shared" si="1086"/>
        <v/>
      </c>
      <c r="S281" s="162" t="str">
        <f t="shared" si="1087"/>
        <v/>
      </c>
      <c r="T281" s="162" t="str">
        <f t="shared" si="1088"/>
        <v/>
      </c>
      <c r="U281" s="162" t="str">
        <f t="shared" si="1089"/>
        <v/>
      </c>
      <c r="V281" s="162" t="str">
        <f t="shared" si="1090"/>
        <v/>
      </c>
      <c r="W281" s="162" t="str">
        <f>IFERROR(IF(ISNUMBER(MATCH($Z281,Settings!$AK$28:$AK$36,0)),INDEX(Settings!$AO$14:$AO$36,MATCH($Z281,Settings!$AK$14:$AK$36,0))/2,INDEX(Settings!$AM$14:$AM$36,MATCH($Z281,Settings!$AK$14:$AK$36,0))/2),"")</f>
        <v/>
      </c>
      <c r="X281" s="162" t="str">
        <f t="shared" si="1091"/>
        <v/>
      </c>
      <c r="Y281" s="75"/>
      <c r="Z281" s="917" t="str">
        <f t="shared" si="1092"/>
        <v/>
      </c>
      <c r="AA281" s="82"/>
      <c r="AB281" s="75"/>
      <c r="AC281" s="75"/>
      <c r="AD281" s="166"/>
      <c r="AE281" s="75">
        <v>5.1130000000000004</v>
      </c>
      <c r="AF281" s="82">
        <v>5</v>
      </c>
      <c r="AG281" s="82">
        <v>1</v>
      </c>
      <c r="AH281" s="82">
        <v>2</v>
      </c>
      <c r="AI281" s="82">
        <v>1.0000000000582077</v>
      </c>
      <c r="AJ281" s="166">
        <v>5.1132100000000005</v>
      </c>
      <c r="AK281" s="82">
        <v>5.1131100000000007</v>
      </c>
      <c r="AL281" s="162">
        <v>0</v>
      </c>
      <c r="AM281" s="162">
        <v>0</v>
      </c>
      <c r="AN281" s="162">
        <v>0</v>
      </c>
      <c r="AO281" s="162">
        <v>0</v>
      </c>
      <c r="AP281" s="162">
        <v>0</v>
      </c>
      <c r="AQ281" s="162">
        <v>0</v>
      </c>
      <c r="AR281" s="710" t="str">
        <v>1613 Ripper.par</v>
      </c>
      <c r="AV281" s="82" t="str">
        <v>0,102,204</v>
      </c>
      <c r="AW281" s="947">
        <v>0.8306004126858153</v>
      </c>
      <c r="AX281" s="947">
        <v>0.8306004126858153</v>
      </c>
      <c r="AY281" s="947">
        <v>0</v>
      </c>
    </row>
    <row r="282" spans="2:51" x14ac:dyDescent="0.25">
      <c r="B282" s="650"/>
      <c r="C282" s="651"/>
      <c r="D282" s="652"/>
      <c r="E282" s="653"/>
      <c r="F282" s="651"/>
      <c r="G282" s="654"/>
      <c r="H282" s="653"/>
      <c r="I282" s="920"/>
      <c r="J282" s="924"/>
      <c r="K282" s="790" t="str">
        <f>IF($J282="","",IF(IFERROR(INDEX(Settings!$AK$14:$AK$36,MATCH((((ROUND($H282,6)*2)*1000000)+ROUND($I282,6)),Settings!$AI$14:$AI$36,0)),"Undefined")="Undefined","Undefined",IFERROR(INDEX(_xlfn.ANCHORARRAY(Settings!$BC$14),MATCH(IFERROR(INDEX(Settings!$AK$14:$AK$36,MATCH((((ROUND($H282,6)*2)*1000000)+ROUND($I282,6)),Settings!$AI$14:$AI$36,0)),"Undefined"),_xlfn.ANCHORARRAY(Settings!$BC$14),0)),"Inactive")))</f>
        <v/>
      </c>
      <c r="L282" s="943"/>
      <c r="M282" s="973"/>
      <c r="N282" s="941"/>
      <c r="O282" s="942"/>
      <c r="Q282" s="162" t="str">
        <f t="shared" si="1085"/>
        <v/>
      </c>
      <c r="R282" s="162" t="str">
        <f t="shared" si="1086"/>
        <v/>
      </c>
      <c r="S282" s="162" t="str">
        <f t="shared" si="1087"/>
        <v/>
      </c>
      <c r="T282" s="162" t="str">
        <f t="shared" si="1088"/>
        <v/>
      </c>
      <c r="U282" s="162" t="str">
        <f t="shared" si="1089"/>
        <v/>
      </c>
      <c r="V282" s="162" t="str">
        <f t="shared" si="1090"/>
        <v/>
      </c>
      <c r="W282" s="162" t="str">
        <f>IFERROR(IF(ISNUMBER(MATCH($Z282,Settings!$AK$28:$AK$36,0)),INDEX(Settings!$AO$14:$AO$36,MATCH($Z282,Settings!$AK$14:$AK$36,0))/2,INDEX(Settings!$AM$14:$AM$36,MATCH($Z282,Settings!$AK$14:$AK$36,0))/2),"")</f>
        <v/>
      </c>
      <c r="X282" s="162" t="str">
        <f t="shared" si="1091"/>
        <v/>
      </c>
      <c r="Y282" s="75"/>
      <c r="Z282" s="917" t="str">
        <f t="shared" si="1092"/>
        <v/>
      </c>
      <c r="AA282" s="82"/>
      <c r="AB282" s="75"/>
      <c r="AC282" s="75"/>
      <c r="AD282" s="166"/>
      <c r="AE282" s="75">
        <v>5.1079999999999997</v>
      </c>
      <c r="AF282" s="82">
        <v>5</v>
      </c>
      <c r="AG282" s="82">
        <v>1</v>
      </c>
      <c r="AH282" s="82">
        <v>2</v>
      </c>
      <c r="AI282" s="82">
        <v>0.99999999998544808</v>
      </c>
      <c r="AJ282" s="166">
        <v>5.1082099999999997</v>
      </c>
      <c r="AK282" s="82">
        <v>5.1081099999999999</v>
      </c>
      <c r="AL282" s="162">
        <v>0</v>
      </c>
      <c r="AM282" s="162">
        <v>0</v>
      </c>
      <c r="AN282" s="162">
        <v>0</v>
      </c>
      <c r="AO282" s="162">
        <v>0</v>
      </c>
      <c r="AP282" s="162">
        <v>0</v>
      </c>
      <c r="AQ282" s="162">
        <v>0</v>
      </c>
      <c r="AR282" s="710" t="str">
        <v>1613 Ripper.par</v>
      </c>
      <c r="AV282" s="82" t="str">
        <v>0,102,204</v>
      </c>
      <c r="AW282" s="947">
        <v>-11.945289726695552</v>
      </c>
      <c r="AX282" s="947">
        <v>-11.945289726695552</v>
      </c>
      <c r="AY282" s="947">
        <v>0</v>
      </c>
    </row>
    <row r="283" spans="2:51" x14ac:dyDescent="0.25">
      <c r="B283" s="650"/>
      <c r="C283" s="651"/>
      <c r="D283" s="652"/>
      <c r="E283" s="653"/>
      <c r="F283" s="651"/>
      <c r="G283" s="654"/>
      <c r="H283" s="653"/>
      <c r="I283" s="920"/>
      <c r="J283" s="924"/>
      <c r="K283" s="790" t="str">
        <f>IF($J283="","",IF(IFERROR(INDEX(Settings!$AK$14:$AK$36,MATCH((((ROUND($H283,6)*2)*1000000)+ROUND($I283,6)),Settings!$AI$14:$AI$36,0)),"Undefined")="Undefined","Undefined",IFERROR(INDEX(_xlfn.ANCHORARRAY(Settings!$BC$14),MATCH(IFERROR(INDEX(Settings!$AK$14:$AK$36,MATCH((((ROUND($H283,6)*2)*1000000)+ROUND($I283,6)),Settings!$AI$14:$AI$36,0)),"Undefined"),_xlfn.ANCHORARRAY(Settings!$BC$14),0)),"Inactive")))</f>
        <v/>
      </c>
      <c r="L283" s="943"/>
      <c r="M283" s="973"/>
      <c r="N283" s="941"/>
      <c r="O283" s="942"/>
      <c r="Q283" s="162" t="str">
        <f t="shared" si="1085"/>
        <v/>
      </c>
      <c r="R283" s="162" t="str">
        <f t="shared" si="1086"/>
        <v/>
      </c>
      <c r="S283" s="162" t="str">
        <f t="shared" si="1087"/>
        <v/>
      </c>
      <c r="T283" s="162" t="str">
        <f t="shared" si="1088"/>
        <v/>
      </c>
      <c r="U283" s="162" t="str">
        <f t="shared" si="1089"/>
        <v/>
      </c>
      <c r="V283" s="162" t="str">
        <f t="shared" si="1090"/>
        <v/>
      </c>
      <c r="W283" s="162" t="str">
        <f>IFERROR(IF(ISNUMBER(MATCH($Z283,Settings!$AK$28:$AK$36,0)),INDEX(Settings!$AO$14:$AO$36,MATCH($Z283,Settings!$AK$14:$AK$36,0))/2,INDEX(Settings!$AM$14:$AM$36,MATCH($Z283,Settings!$AK$14:$AK$36,0))/2),"")</f>
        <v/>
      </c>
      <c r="X283" s="162" t="str">
        <f t="shared" si="1091"/>
        <v/>
      </c>
      <c r="Y283" s="75"/>
      <c r="Z283" s="917" t="str">
        <f t="shared" si="1092"/>
        <v/>
      </c>
      <c r="AA283" s="82"/>
      <c r="AB283" s="75"/>
      <c r="AC283" s="75"/>
      <c r="AD283" s="166"/>
      <c r="AE283" s="75">
        <v>5.1050000000000004</v>
      </c>
      <c r="AF283" s="82">
        <v>5</v>
      </c>
      <c r="AG283" s="82">
        <v>1</v>
      </c>
      <c r="AH283" s="82">
        <v>2</v>
      </c>
      <c r="AI283" s="82">
        <v>1.0000000000582077</v>
      </c>
      <c r="AJ283" s="166">
        <v>5.1052100000000005</v>
      </c>
      <c r="AK283" s="82">
        <v>5.1051100000000007</v>
      </c>
      <c r="AL283" s="162">
        <v>0</v>
      </c>
      <c r="AM283" s="162">
        <v>0</v>
      </c>
      <c r="AN283" s="162">
        <v>0</v>
      </c>
      <c r="AO283" s="162">
        <v>0</v>
      </c>
      <c r="AP283" s="162">
        <v>0</v>
      </c>
      <c r="AQ283" s="162">
        <v>0</v>
      </c>
      <c r="AR283" s="710" t="str">
        <v>1613 Ripper.par</v>
      </c>
      <c r="AV283" s="82" t="str">
        <v>0,102,204</v>
      </c>
      <c r="AW283" s="947">
        <v>-12.949138827495569</v>
      </c>
      <c r="AX283" s="947">
        <v>-12.949138827495569</v>
      </c>
      <c r="AY283" s="947">
        <v>0</v>
      </c>
    </row>
    <row r="284" spans="2:51" x14ac:dyDescent="0.25">
      <c r="B284" s="650"/>
      <c r="C284" s="651"/>
      <c r="D284" s="652"/>
      <c r="E284" s="653"/>
      <c r="F284" s="651"/>
      <c r="G284" s="654"/>
      <c r="H284" s="653"/>
      <c r="I284" s="920"/>
      <c r="J284" s="924"/>
      <c r="K284" s="790" t="str">
        <f>IF($J284="","",IF(IFERROR(INDEX(Settings!$AK$14:$AK$36,MATCH((((ROUND($H284,6)*2)*1000000)+ROUND($I284,6)),Settings!$AI$14:$AI$36,0)),"Undefined")="Undefined","Undefined",IFERROR(INDEX(_xlfn.ANCHORARRAY(Settings!$BC$14),MATCH(IFERROR(INDEX(Settings!$AK$14:$AK$36,MATCH((((ROUND($H284,6)*2)*1000000)+ROUND($I284,6)),Settings!$AI$14:$AI$36,0)),"Undefined"),_xlfn.ANCHORARRAY(Settings!$BC$14),0)),"Inactive")))</f>
        <v/>
      </c>
      <c r="L284" s="943"/>
      <c r="M284" s="973"/>
      <c r="N284" s="941"/>
      <c r="O284" s="942"/>
      <c r="Q284" s="162" t="str">
        <f t="shared" si="1085"/>
        <v/>
      </c>
      <c r="R284" s="162" t="str">
        <f t="shared" si="1086"/>
        <v/>
      </c>
      <c r="S284" s="162" t="str">
        <f t="shared" si="1087"/>
        <v/>
      </c>
      <c r="T284" s="162" t="str">
        <f t="shared" si="1088"/>
        <v/>
      </c>
      <c r="U284" s="162" t="str">
        <f t="shared" si="1089"/>
        <v/>
      </c>
      <c r="V284" s="162" t="str">
        <f t="shared" si="1090"/>
        <v/>
      </c>
      <c r="W284" s="162" t="str">
        <f>IFERROR(IF(ISNUMBER(MATCH($Z284,Settings!$AK$28:$AK$36,0)),INDEX(Settings!$AO$14:$AO$36,MATCH($Z284,Settings!$AK$14:$AK$36,0))/2,INDEX(Settings!$AM$14:$AM$36,MATCH($Z284,Settings!$AK$14:$AK$36,0))/2),"")</f>
        <v/>
      </c>
      <c r="X284" s="162" t="str">
        <f t="shared" si="1091"/>
        <v/>
      </c>
      <c r="Y284" s="75"/>
      <c r="Z284" s="917" t="str">
        <f t="shared" si="1092"/>
        <v/>
      </c>
      <c r="AA284" s="82"/>
      <c r="AB284" s="75"/>
      <c r="AC284" s="75"/>
      <c r="AD284" s="166"/>
      <c r="AE284" s="75">
        <v>5.1020000000000003</v>
      </c>
      <c r="AF284" s="82">
        <v>5</v>
      </c>
      <c r="AG284" s="82">
        <v>1</v>
      </c>
      <c r="AH284" s="82">
        <v>2</v>
      </c>
      <c r="AI284" s="82">
        <v>1.0000000000582077</v>
      </c>
      <c r="AJ284" s="166">
        <v>5.1022100000000004</v>
      </c>
      <c r="AK284" s="82">
        <v>5.1021100000000006</v>
      </c>
      <c r="AL284" s="162">
        <v>0</v>
      </c>
      <c r="AM284" s="162">
        <v>0</v>
      </c>
      <c r="AN284" s="162">
        <v>0</v>
      </c>
      <c r="AO284" s="162">
        <v>0</v>
      </c>
      <c r="AP284" s="162">
        <v>0</v>
      </c>
      <c r="AQ284" s="162">
        <v>0</v>
      </c>
      <c r="AR284" s="710" t="str">
        <v>1613.par</v>
      </c>
      <c r="AV284" s="82" t="str">
        <v>0,102,204</v>
      </c>
      <c r="AW284" s="947">
        <v>-15.496960293563548</v>
      </c>
      <c r="AX284" s="947">
        <v>-15.496960293563548</v>
      </c>
      <c r="AY284" s="947">
        <v>0</v>
      </c>
    </row>
    <row r="285" spans="2:51" x14ac:dyDescent="0.25">
      <c r="B285" s="655"/>
      <c r="C285" s="656"/>
      <c r="D285" s="657"/>
      <c r="E285" s="658"/>
      <c r="F285" s="656"/>
      <c r="G285" s="659"/>
      <c r="H285" s="658"/>
      <c r="I285" s="921"/>
      <c r="J285" s="925"/>
      <c r="K285" s="790" t="str">
        <f>IF($J285="","",IF(IFERROR(INDEX(Settings!$AK$14:$AK$36,MATCH((((ROUND($H285,6)*2)*1000000)+ROUND($I285,6)),Settings!$AI$14:$AI$36,0)),"Undefined")="Undefined","Undefined",IFERROR(INDEX(_xlfn.ANCHORARRAY(Settings!$BC$14),MATCH(IFERROR(INDEX(Settings!$AK$14:$AK$36,MATCH((((ROUND($H285,6)*2)*1000000)+ROUND($I285,6)),Settings!$AI$14:$AI$36,0)),"Undefined"),_xlfn.ANCHORARRAY(Settings!$BC$14),0)),"Inactive")))</f>
        <v/>
      </c>
      <c r="L285" s="943"/>
      <c r="M285" s="973"/>
      <c r="N285" s="941"/>
      <c r="O285" s="942"/>
      <c r="Q285" s="162" t="str">
        <f t="shared" si="1085"/>
        <v/>
      </c>
      <c r="R285" s="162" t="str">
        <f t="shared" si="1086"/>
        <v/>
      </c>
      <c r="S285" s="162" t="str">
        <f t="shared" si="1087"/>
        <v/>
      </c>
      <c r="T285" s="162" t="str">
        <f t="shared" si="1088"/>
        <v/>
      </c>
      <c r="U285" s="162" t="str">
        <f t="shared" si="1089"/>
        <v/>
      </c>
      <c r="V285" s="162" t="str">
        <f t="shared" si="1090"/>
        <v/>
      </c>
      <c r="W285" s="162" t="str">
        <f>IFERROR(IF(ISNUMBER(MATCH($Z285,Settings!$AK$28:$AK$36,0)),INDEX(Settings!$AO$14:$AO$36,MATCH($Z285,Settings!$AK$14:$AK$36,0))/2,INDEX(Settings!$AM$14:$AM$36,MATCH($Z285,Settings!$AK$14:$AK$36,0))/2),"")</f>
        <v/>
      </c>
      <c r="X285" s="162" t="str">
        <f t="shared" si="1091"/>
        <v/>
      </c>
      <c r="Y285" s="75"/>
      <c r="Z285" s="917" t="str">
        <f t="shared" si="1092"/>
        <v/>
      </c>
      <c r="AA285" s="82"/>
      <c r="AB285" s="75"/>
      <c r="AC285" s="75"/>
      <c r="AD285" s="166"/>
      <c r="AE285" s="75">
        <v>4.25</v>
      </c>
      <c r="AF285" s="82">
        <v>4</v>
      </c>
      <c r="AG285" s="82">
        <v>2</v>
      </c>
      <c r="AH285" s="82">
        <v>2</v>
      </c>
      <c r="AI285" s="82">
        <v>0.99999999998544808</v>
      </c>
      <c r="AJ285" s="166">
        <v>4.25021</v>
      </c>
      <c r="AK285" s="82">
        <v>4.2501100000000003</v>
      </c>
      <c r="AL285" s="162">
        <v>0</v>
      </c>
      <c r="AM285" s="162">
        <v>0</v>
      </c>
      <c r="AN285" s="162">
        <v>0</v>
      </c>
      <c r="AO285" s="162">
        <v>0</v>
      </c>
      <c r="AP285" s="162">
        <v>0</v>
      </c>
      <c r="AQ285" s="162">
        <v>0</v>
      </c>
      <c r="AR285" s="710" t="str">
        <v>1313.par</v>
      </c>
      <c r="AV285" s="82" t="str">
        <v>91,255,255</v>
      </c>
      <c r="AW285" s="947">
        <v>100.03561890671628</v>
      </c>
      <c r="AX285" s="947">
        <v>100.03561890671628</v>
      </c>
      <c r="AY285" s="947">
        <v>0</v>
      </c>
    </row>
    <row r="286" spans="2:51" x14ac:dyDescent="0.25">
      <c r="B286" s="655"/>
      <c r="C286" s="656"/>
      <c r="D286" s="657"/>
      <c r="E286" s="658"/>
      <c r="F286" s="656"/>
      <c r="G286" s="659"/>
      <c r="H286" s="658"/>
      <c r="I286" s="921"/>
      <c r="J286" s="925"/>
      <c r="K286" s="790" t="str">
        <f>IF($J286="","",IF(IFERROR(INDEX(Settings!$AK$14:$AK$36,MATCH((((ROUND($H286,6)*2)*1000000)+ROUND($I286,6)),Settings!$AI$14:$AI$36,0)),"Undefined")="Undefined","Undefined",IFERROR(INDEX(_xlfn.ANCHORARRAY(Settings!$BC$14),MATCH(IFERROR(INDEX(Settings!$AK$14:$AK$36,MATCH((((ROUND($H286,6)*2)*1000000)+ROUND($I286,6)),Settings!$AI$14:$AI$36,0)),"Undefined"),_xlfn.ANCHORARRAY(Settings!$BC$14),0)),"Inactive")))</f>
        <v/>
      </c>
      <c r="L286" s="943"/>
      <c r="M286" s="973"/>
      <c r="N286" s="941"/>
      <c r="O286" s="942"/>
      <c r="Q286" s="162" t="str">
        <f t="shared" si="1085"/>
        <v/>
      </c>
      <c r="R286" s="162" t="str">
        <f t="shared" si="1086"/>
        <v/>
      </c>
      <c r="S286" s="162" t="str">
        <f t="shared" si="1087"/>
        <v/>
      </c>
      <c r="T286" s="162" t="str">
        <f t="shared" si="1088"/>
        <v/>
      </c>
      <c r="U286" s="162" t="str">
        <f t="shared" si="1089"/>
        <v/>
      </c>
      <c r="V286" s="162" t="str">
        <f t="shared" si="1090"/>
        <v/>
      </c>
      <c r="W286" s="162" t="str">
        <f>IFERROR(IF(ISNUMBER(MATCH($Z286,Settings!$AK$28:$AK$36,0)),INDEX(Settings!$AO$14:$AO$36,MATCH($Z286,Settings!$AK$14:$AK$36,0))/2,INDEX(Settings!$AM$14:$AM$36,MATCH($Z286,Settings!$AK$14:$AK$36,0))/2),"")</f>
        <v/>
      </c>
      <c r="X286" s="162" t="str">
        <f t="shared" si="1091"/>
        <v/>
      </c>
      <c r="Y286" s="75"/>
      <c r="Z286" s="917" t="str">
        <f t="shared" si="1092"/>
        <v/>
      </c>
      <c r="AA286" s="82"/>
      <c r="AB286" s="75"/>
      <c r="AC286" s="75"/>
      <c r="AD286" s="166"/>
      <c r="AE286" s="75">
        <v>4.2439999999999998</v>
      </c>
      <c r="AF286" s="82">
        <v>4</v>
      </c>
      <c r="AG286" s="82">
        <v>2</v>
      </c>
      <c r="AH286" s="82">
        <v>2</v>
      </c>
      <c r="AI286" s="82">
        <v>0.99999999998544808</v>
      </c>
      <c r="AJ286" s="166">
        <v>4.2442099999999998</v>
      </c>
      <c r="AK286" s="82">
        <v>4.24411</v>
      </c>
      <c r="AL286" s="162">
        <v>0</v>
      </c>
      <c r="AM286" s="162">
        <v>0</v>
      </c>
      <c r="AN286" s="162">
        <v>0</v>
      </c>
      <c r="AO286" s="162">
        <v>0</v>
      </c>
      <c r="AP286" s="162">
        <v>0</v>
      </c>
      <c r="AQ286" s="162">
        <v>0</v>
      </c>
      <c r="AR286" s="710" t="str">
        <v>32193r1.par</v>
      </c>
      <c r="AV286" s="82" t="str">
        <v>91,255,255</v>
      </c>
      <c r="AW286" s="947">
        <v>89.999987005609597</v>
      </c>
      <c r="AX286" s="947">
        <v>89.999987005609597</v>
      </c>
      <c r="AY286" s="947">
        <v>0</v>
      </c>
    </row>
    <row r="287" spans="2:51" x14ac:dyDescent="0.25">
      <c r="B287" s="655"/>
      <c r="C287" s="656"/>
      <c r="D287" s="657"/>
      <c r="E287" s="658"/>
      <c r="F287" s="656"/>
      <c r="G287" s="659"/>
      <c r="H287" s="658"/>
      <c r="I287" s="921"/>
      <c r="J287" s="925"/>
      <c r="K287" s="790" t="str">
        <f>IF($J287="","",IF(IFERROR(INDEX(Settings!$AK$14:$AK$36,MATCH((((ROUND($H287,6)*2)*1000000)+ROUND($I287,6)),Settings!$AI$14:$AI$36,0)),"Undefined")="Undefined","Undefined",IFERROR(INDEX(_xlfn.ANCHORARRAY(Settings!$BC$14),MATCH(IFERROR(INDEX(Settings!$AK$14:$AK$36,MATCH((((ROUND($H287,6)*2)*1000000)+ROUND($I287,6)),Settings!$AI$14:$AI$36,0)),"Undefined"),_xlfn.ANCHORARRAY(Settings!$BC$14),0)),"Inactive")))</f>
        <v/>
      </c>
      <c r="L287" s="943"/>
      <c r="M287" s="973"/>
      <c r="N287" s="941"/>
      <c r="O287" s="942"/>
      <c r="Q287" s="162" t="str">
        <f t="shared" si="1085"/>
        <v/>
      </c>
      <c r="R287" s="162" t="str">
        <f t="shared" si="1086"/>
        <v/>
      </c>
      <c r="S287" s="162" t="str">
        <f t="shared" si="1087"/>
        <v/>
      </c>
      <c r="T287" s="162" t="str">
        <f t="shared" si="1088"/>
        <v/>
      </c>
      <c r="U287" s="162" t="str">
        <f t="shared" si="1089"/>
        <v/>
      </c>
      <c r="V287" s="162" t="str">
        <f t="shared" si="1090"/>
        <v/>
      </c>
      <c r="W287" s="162" t="str">
        <f>IFERROR(IF(ISNUMBER(MATCH($Z287,Settings!$AK$28:$AK$36,0)),INDEX(Settings!$AO$14:$AO$36,MATCH($Z287,Settings!$AK$14:$AK$36,0))/2,INDEX(Settings!$AM$14:$AM$36,MATCH($Z287,Settings!$AK$14:$AK$36,0))/2),"")</f>
        <v/>
      </c>
      <c r="X287" s="162" t="str">
        <f t="shared" si="1091"/>
        <v/>
      </c>
      <c r="Y287" s="75"/>
      <c r="Z287" s="917" t="str">
        <f t="shared" si="1092"/>
        <v/>
      </c>
      <c r="AA287" s="82"/>
      <c r="AB287" s="75"/>
      <c r="AC287" s="75"/>
      <c r="AD287" s="166"/>
      <c r="AE287" s="75">
        <v>4.2380000000000004</v>
      </c>
      <c r="AF287" s="82">
        <v>4</v>
      </c>
      <c r="AG287" s="82">
        <v>2</v>
      </c>
      <c r="AH287" s="82">
        <v>2</v>
      </c>
      <c r="AI287" s="82">
        <v>1.0000000000582077</v>
      </c>
      <c r="AJ287" s="166">
        <v>4.2382100000000005</v>
      </c>
      <c r="AK287" s="82">
        <v>4.2381100000000007</v>
      </c>
      <c r="AL287" s="162">
        <v>0</v>
      </c>
      <c r="AM287" s="162">
        <v>0</v>
      </c>
      <c r="AN287" s="162">
        <v>0</v>
      </c>
      <c r="AO287" s="162">
        <v>0</v>
      </c>
      <c r="AP287" s="162">
        <v>0</v>
      </c>
      <c r="AQ287" s="162">
        <v>0</v>
      </c>
      <c r="AR287" s="710" t="str">
        <v>32193r1.par</v>
      </c>
      <c r="AV287" s="82" t="str">
        <v>91,255,255</v>
      </c>
      <c r="AW287" s="947">
        <v>82.999988016284419</v>
      </c>
      <c r="AX287" s="947">
        <v>82.999988016284419</v>
      </c>
      <c r="AY287" s="947">
        <v>0</v>
      </c>
    </row>
    <row r="288" spans="2:51" x14ac:dyDescent="0.25">
      <c r="B288" s="655"/>
      <c r="C288" s="656"/>
      <c r="D288" s="657"/>
      <c r="E288" s="658"/>
      <c r="F288" s="656"/>
      <c r="G288" s="659"/>
      <c r="H288" s="658"/>
      <c r="I288" s="921"/>
      <c r="J288" s="925"/>
      <c r="K288" s="790" t="str">
        <f>IF($J288="","",IF(IFERROR(INDEX(Settings!$AK$14:$AK$36,MATCH((((ROUND($H288,6)*2)*1000000)+ROUND($I288,6)),Settings!$AI$14:$AI$36,0)),"Undefined")="Undefined","Undefined",IFERROR(INDEX(_xlfn.ANCHORARRAY(Settings!$BC$14),MATCH(IFERROR(INDEX(Settings!$AK$14:$AK$36,MATCH((((ROUND($H288,6)*2)*1000000)+ROUND($I288,6)),Settings!$AI$14:$AI$36,0)),"Undefined"),_xlfn.ANCHORARRAY(Settings!$BC$14),0)),"Inactive")))</f>
        <v/>
      </c>
      <c r="L288" s="943"/>
      <c r="M288" s="973"/>
      <c r="N288" s="941"/>
      <c r="O288" s="942"/>
      <c r="Q288" s="162" t="str">
        <f t="shared" si="1085"/>
        <v/>
      </c>
      <c r="R288" s="162" t="str">
        <f t="shared" si="1086"/>
        <v/>
      </c>
      <c r="S288" s="162" t="str">
        <f t="shared" si="1087"/>
        <v/>
      </c>
      <c r="T288" s="162" t="str">
        <f t="shared" si="1088"/>
        <v/>
      </c>
      <c r="U288" s="162" t="str">
        <f t="shared" si="1089"/>
        <v/>
      </c>
      <c r="V288" s="162" t="str">
        <f t="shared" si="1090"/>
        <v/>
      </c>
      <c r="W288" s="162" t="str">
        <f>IFERROR(IF(ISNUMBER(MATCH($Z288,Settings!$AK$28:$AK$36,0)),INDEX(Settings!$AO$14:$AO$36,MATCH($Z288,Settings!$AK$14:$AK$36,0))/2,INDEX(Settings!$AM$14:$AM$36,MATCH($Z288,Settings!$AK$14:$AK$36,0))/2),"")</f>
        <v/>
      </c>
      <c r="X288" s="162" t="str">
        <f t="shared" si="1091"/>
        <v/>
      </c>
      <c r="Y288" s="75"/>
      <c r="Z288" s="917" t="str">
        <f t="shared" si="1092"/>
        <v/>
      </c>
      <c r="AA288" s="82"/>
      <c r="AB288" s="75"/>
      <c r="AC288" s="75"/>
      <c r="AD288" s="166"/>
      <c r="AE288" s="75">
        <v>4.2320000000000002</v>
      </c>
      <c r="AF288" s="82">
        <v>4</v>
      </c>
      <c r="AG288" s="82">
        <v>2</v>
      </c>
      <c r="AH288" s="82">
        <v>2</v>
      </c>
      <c r="AI288" s="82">
        <v>1.0000000000582077</v>
      </c>
      <c r="AJ288" s="166">
        <v>4.2322100000000002</v>
      </c>
      <c r="AK288" s="82">
        <v>4.2321100000000005</v>
      </c>
      <c r="AL288" s="162">
        <v>0</v>
      </c>
      <c r="AM288" s="162">
        <v>0</v>
      </c>
      <c r="AN288" s="162">
        <v>0</v>
      </c>
      <c r="AO288" s="162">
        <v>0</v>
      </c>
      <c r="AP288" s="162">
        <v>0</v>
      </c>
      <c r="AQ288" s="162">
        <v>0</v>
      </c>
      <c r="AR288" s="710" t="str">
        <v>32193r1.par</v>
      </c>
      <c r="AV288" s="82" t="str">
        <v>91,255,255</v>
      </c>
      <c r="AW288" s="947">
        <v>61.99999104830885</v>
      </c>
      <c r="AX288" s="947">
        <v>61.99999104830885</v>
      </c>
      <c r="AY288" s="947">
        <v>0</v>
      </c>
    </row>
    <row r="289" spans="2:51" x14ac:dyDescent="0.25">
      <c r="B289" s="655"/>
      <c r="C289" s="656"/>
      <c r="D289" s="657"/>
      <c r="E289" s="658"/>
      <c r="F289" s="656"/>
      <c r="G289" s="659"/>
      <c r="H289" s="658"/>
      <c r="I289" s="921"/>
      <c r="J289" s="925"/>
      <c r="K289" s="790" t="str">
        <f>IF($J289="","",IF(IFERROR(INDEX(Settings!$AK$14:$AK$36,MATCH((((ROUND($H289,6)*2)*1000000)+ROUND($I289,6)),Settings!$AI$14:$AI$36,0)),"Undefined")="Undefined","Undefined",IFERROR(INDEX(_xlfn.ANCHORARRAY(Settings!$BC$14),MATCH(IFERROR(INDEX(Settings!$AK$14:$AK$36,MATCH((((ROUND($H289,6)*2)*1000000)+ROUND($I289,6)),Settings!$AI$14:$AI$36,0)),"Undefined"),_xlfn.ANCHORARRAY(Settings!$BC$14),0)),"Inactive")))</f>
        <v/>
      </c>
      <c r="L289" s="943"/>
      <c r="M289" s="973"/>
      <c r="N289" s="941"/>
      <c r="O289" s="942"/>
      <c r="Q289" s="162" t="str">
        <f t="shared" si="1085"/>
        <v/>
      </c>
      <c r="R289" s="162" t="str">
        <f t="shared" si="1086"/>
        <v/>
      </c>
      <c r="S289" s="162" t="str">
        <f t="shared" si="1087"/>
        <v/>
      </c>
      <c r="T289" s="162" t="str">
        <f t="shared" si="1088"/>
        <v/>
      </c>
      <c r="U289" s="162" t="str">
        <f t="shared" si="1089"/>
        <v/>
      </c>
      <c r="V289" s="162" t="str">
        <f t="shared" si="1090"/>
        <v/>
      </c>
      <c r="W289" s="162" t="str">
        <f>IFERROR(IF(ISNUMBER(MATCH($Z289,Settings!$AK$28:$AK$36,0)),INDEX(Settings!$AO$14:$AO$36,MATCH($Z289,Settings!$AK$14:$AK$36,0))/2,INDEX(Settings!$AM$14:$AM$36,MATCH($Z289,Settings!$AK$14:$AK$36,0))/2),"")</f>
        <v/>
      </c>
      <c r="X289" s="162" t="str">
        <f t="shared" si="1091"/>
        <v/>
      </c>
      <c r="Y289" s="75"/>
      <c r="Z289" s="917" t="str">
        <f t="shared" si="1092"/>
        <v/>
      </c>
      <c r="AA289" s="82"/>
      <c r="AB289" s="75"/>
      <c r="AC289" s="75"/>
      <c r="AD289" s="166"/>
      <c r="AE289" s="75">
        <v>4.226</v>
      </c>
      <c r="AF289" s="82">
        <v>4</v>
      </c>
      <c r="AG289" s="82">
        <v>2</v>
      </c>
      <c r="AH289" s="82">
        <v>2</v>
      </c>
      <c r="AI289" s="82">
        <v>0.99999999998544808</v>
      </c>
      <c r="AJ289" s="166">
        <v>4.22621</v>
      </c>
      <c r="AK289" s="82">
        <v>4.2261100000000003</v>
      </c>
      <c r="AL289" s="162">
        <v>0</v>
      </c>
      <c r="AM289" s="162">
        <v>0</v>
      </c>
      <c r="AN289" s="162">
        <v>0</v>
      </c>
      <c r="AO289" s="162">
        <v>0</v>
      </c>
      <c r="AP289" s="162">
        <v>0</v>
      </c>
      <c r="AQ289" s="162">
        <v>0</v>
      </c>
      <c r="AR289" s="710" t="str">
        <v>32193r1.par</v>
      </c>
      <c r="AV289" s="82" t="str">
        <v>91,255,255</v>
      </c>
      <c r="AW289" s="947">
        <v>40.999994080333266</v>
      </c>
      <c r="AX289" s="947">
        <v>40.999994080333266</v>
      </c>
      <c r="AY289" s="947">
        <v>0</v>
      </c>
    </row>
    <row r="290" spans="2:51" x14ac:dyDescent="0.25">
      <c r="B290" s="655"/>
      <c r="C290" s="656"/>
      <c r="D290" s="657"/>
      <c r="E290" s="658"/>
      <c r="F290" s="656"/>
      <c r="G290" s="659"/>
      <c r="H290" s="658"/>
      <c r="I290" s="921"/>
      <c r="J290" s="925"/>
      <c r="K290" s="790" t="str">
        <f>IF($J290="","",IF(IFERROR(INDEX(Settings!$AK$14:$AK$36,MATCH((((ROUND($H290,6)*2)*1000000)+ROUND($I290,6)),Settings!$AI$14:$AI$36,0)),"Undefined")="Undefined","Undefined",IFERROR(INDEX(_xlfn.ANCHORARRAY(Settings!$BC$14),MATCH(IFERROR(INDEX(Settings!$AK$14:$AK$36,MATCH((((ROUND($H290,6)*2)*1000000)+ROUND($I290,6)),Settings!$AI$14:$AI$36,0)),"Undefined"),_xlfn.ANCHORARRAY(Settings!$BC$14),0)),"Inactive")))</f>
        <v/>
      </c>
      <c r="L290" s="943"/>
      <c r="M290" s="973"/>
      <c r="N290" s="941"/>
      <c r="O290" s="942"/>
      <c r="Q290" s="162" t="str">
        <f t="shared" si="1085"/>
        <v/>
      </c>
      <c r="R290" s="162" t="str">
        <f t="shared" si="1086"/>
        <v/>
      </c>
      <c r="S290" s="162" t="str">
        <f t="shared" si="1087"/>
        <v/>
      </c>
      <c r="T290" s="162" t="str">
        <f t="shared" si="1088"/>
        <v/>
      </c>
      <c r="U290" s="162" t="str">
        <f t="shared" si="1089"/>
        <v/>
      </c>
      <c r="V290" s="162" t="str">
        <f t="shared" si="1090"/>
        <v/>
      </c>
      <c r="W290" s="162" t="str">
        <f>IFERROR(IF(ISNUMBER(MATCH($Z290,Settings!$AK$28:$AK$36,0)),INDEX(Settings!$AO$14:$AO$36,MATCH($Z290,Settings!$AK$14:$AK$36,0))/2,INDEX(Settings!$AM$14:$AM$36,MATCH($Z290,Settings!$AK$14:$AK$36,0))/2),"")</f>
        <v/>
      </c>
      <c r="X290" s="162" t="str">
        <f t="shared" si="1091"/>
        <v/>
      </c>
      <c r="Y290" s="75"/>
      <c r="Z290" s="917" t="str">
        <f t="shared" si="1092"/>
        <v/>
      </c>
      <c r="AA290" s="82"/>
      <c r="AB290" s="75"/>
      <c r="AC290" s="75"/>
      <c r="AD290" s="166"/>
      <c r="AE290" s="75">
        <v>4.22</v>
      </c>
      <c r="AF290" s="82">
        <v>4</v>
      </c>
      <c r="AG290" s="82">
        <v>2</v>
      </c>
      <c r="AH290" s="82">
        <v>2</v>
      </c>
      <c r="AI290" s="82">
        <v>0.99999999998544808</v>
      </c>
      <c r="AJ290" s="166">
        <v>4.2202099999999998</v>
      </c>
      <c r="AK290" s="82">
        <v>4.22011</v>
      </c>
      <c r="AL290" s="162">
        <v>0</v>
      </c>
      <c r="AM290" s="162">
        <v>0</v>
      </c>
      <c r="AN290" s="162">
        <v>0</v>
      </c>
      <c r="AO290" s="162">
        <v>0</v>
      </c>
      <c r="AP290" s="162">
        <v>0</v>
      </c>
      <c r="AQ290" s="162">
        <v>0</v>
      </c>
      <c r="AR290" s="710" t="str">
        <v>32193r1.par</v>
      </c>
      <c r="AV290" s="82" t="str">
        <v>91,255,255</v>
      </c>
      <c r="AW290" s="947">
        <v>19.99999711235769</v>
      </c>
      <c r="AX290" s="947">
        <v>19.99999711235769</v>
      </c>
      <c r="AY290" s="947">
        <v>0</v>
      </c>
    </row>
    <row r="291" spans="2:51" x14ac:dyDescent="0.25">
      <c r="B291" s="655"/>
      <c r="C291" s="656"/>
      <c r="D291" s="657"/>
      <c r="E291" s="658"/>
      <c r="F291" s="656"/>
      <c r="G291" s="659"/>
      <c r="H291" s="658"/>
      <c r="I291" s="921"/>
      <c r="J291" s="925"/>
      <c r="K291" s="790" t="str">
        <f>IF($J291="","",IF(IFERROR(INDEX(Settings!$AK$14:$AK$36,MATCH((((ROUND($H291,6)*2)*1000000)+ROUND($I291,6)),Settings!$AI$14:$AI$36,0)),"Undefined")="Undefined","Undefined",IFERROR(INDEX(_xlfn.ANCHORARRAY(Settings!$BC$14),MATCH(IFERROR(INDEX(Settings!$AK$14:$AK$36,MATCH((((ROUND($H291,6)*2)*1000000)+ROUND($I291,6)),Settings!$AI$14:$AI$36,0)),"Undefined"),_xlfn.ANCHORARRAY(Settings!$BC$14),0)),"Inactive")))</f>
        <v/>
      </c>
      <c r="L291" s="943"/>
      <c r="M291" s="973"/>
      <c r="N291" s="941"/>
      <c r="O291" s="942"/>
      <c r="Q291" s="162" t="str">
        <f t="shared" si="1085"/>
        <v/>
      </c>
      <c r="R291" s="162" t="str">
        <f t="shared" si="1086"/>
        <v/>
      </c>
      <c r="S291" s="162" t="str">
        <f t="shared" si="1087"/>
        <v/>
      </c>
      <c r="T291" s="162" t="str">
        <f t="shared" si="1088"/>
        <v/>
      </c>
      <c r="U291" s="162" t="str">
        <f t="shared" si="1089"/>
        <v/>
      </c>
      <c r="V291" s="162" t="str">
        <f t="shared" si="1090"/>
        <v/>
      </c>
      <c r="W291" s="162" t="str">
        <f>IFERROR(IF(ISNUMBER(MATCH($Z291,Settings!$AK$28:$AK$36,0)),INDEX(Settings!$AO$14:$AO$36,MATCH($Z291,Settings!$AK$14:$AK$36,0))/2,INDEX(Settings!$AM$14:$AM$36,MATCH($Z291,Settings!$AK$14:$AK$36,0))/2),"")</f>
        <v/>
      </c>
      <c r="X291" s="162" t="str">
        <f t="shared" si="1091"/>
        <v/>
      </c>
      <c r="Y291" s="75"/>
      <c r="Z291" s="917" t="str">
        <f t="shared" si="1092"/>
        <v/>
      </c>
      <c r="AA291" s="82"/>
      <c r="AB291" s="75"/>
      <c r="AC291" s="75"/>
      <c r="AD291" s="166"/>
      <c r="AE291" s="75">
        <v>4.1440000000000001</v>
      </c>
      <c r="AF291" s="82">
        <v>4</v>
      </c>
      <c r="AG291" s="82">
        <v>1</v>
      </c>
      <c r="AH291" s="82">
        <v>2</v>
      </c>
      <c r="AI291" s="82">
        <v>0.99999999998544808</v>
      </c>
      <c r="AJ291" s="166">
        <v>4.1442100000000002</v>
      </c>
      <c r="AK291" s="82">
        <v>4.1441100000000004</v>
      </c>
      <c r="AL291" s="162">
        <v>0</v>
      </c>
      <c r="AM291" s="162">
        <v>0</v>
      </c>
      <c r="AN291" s="162">
        <v>0</v>
      </c>
      <c r="AO291" s="162">
        <v>0</v>
      </c>
      <c r="AP291" s="162">
        <v>0</v>
      </c>
      <c r="AQ291" s="162">
        <v>0</v>
      </c>
      <c r="AR291" s="710" t="str">
        <v>1613.par</v>
      </c>
      <c r="AV291" s="82" t="str">
        <v>0,204,204</v>
      </c>
      <c r="AW291" s="947">
        <v>84.970117416838406</v>
      </c>
      <c r="AX291" s="947">
        <v>84.970117416838406</v>
      </c>
      <c r="AY291" s="947">
        <v>0</v>
      </c>
    </row>
    <row r="292" spans="2:51" x14ac:dyDescent="0.25">
      <c r="B292" s="655"/>
      <c r="C292" s="656"/>
      <c r="D292" s="657"/>
      <c r="E292" s="658"/>
      <c r="F292" s="656"/>
      <c r="G292" s="659"/>
      <c r="H292" s="658"/>
      <c r="I292" s="921"/>
      <c r="J292" s="925"/>
      <c r="K292" s="790" t="str">
        <f>IF($J292="","",IF(IFERROR(INDEX(Settings!$AK$14:$AK$36,MATCH((((ROUND($H292,6)*2)*1000000)+ROUND($I292,6)),Settings!$AI$14:$AI$36,0)),"Undefined")="Undefined","Undefined",IFERROR(INDEX(_xlfn.ANCHORARRAY(Settings!$BC$14),MATCH(IFERROR(INDEX(Settings!$AK$14:$AK$36,MATCH((((ROUND($H292,6)*2)*1000000)+ROUND($I292,6)),Settings!$AI$14:$AI$36,0)),"Undefined"),_xlfn.ANCHORARRAY(Settings!$BC$14),0)),"Inactive")))</f>
        <v/>
      </c>
      <c r="L292" s="943"/>
      <c r="M292" s="973"/>
      <c r="N292" s="941"/>
      <c r="O292" s="942"/>
      <c r="Q292" s="162" t="str">
        <f t="shared" si="1085"/>
        <v/>
      </c>
      <c r="R292" s="162" t="str">
        <f t="shared" si="1086"/>
        <v/>
      </c>
      <c r="S292" s="162" t="str">
        <f t="shared" si="1087"/>
        <v/>
      </c>
      <c r="T292" s="162" t="str">
        <f t="shared" si="1088"/>
        <v/>
      </c>
      <c r="U292" s="162" t="str">
        <f t="shared" si="1089"/>
        <v/>
      </c>
      <c r="V292" s="162" t="str">
        <f t="shared" si="1090"/>
        <v/>
      </c>
      <c r="W292" s="162" t="str">
        <f>IFERROR(IF(ISNUMBER(MATCH($Z292,Settings!$AK$28:$AK$36,0)),INDEX(Settings!$AO$14:$AO$36,MATCH($Z292,Settings!$AK$14:$AK$36,0))/2,INDEX(Settings!$AM$14:$AM$36,MATCH($Z292,Settings!$AK$14:$AK$36,0))/2),"")</f>
        <v/>
      </c>
      <c r="X292" s="162" t="str">
        <f t="shared" si="1091"/>
        <v/>
      </c>
      <c r="Y292" s="75"/>
      <c r="Z292" s="917" t="str">
        <f t="shared" si="1092"/>
        <v/>
      </c>
      <c r="AA292" s="82"/>
      <c r="AB292" s="75"/>
      <c r="AC292" s="75"/>
      <c r="AD292" s="166"/>
      <c r="AE292" s="75">
        <v>4.1379999999999999</v>
      </c>
      <c r="AF292" s="82">
        <v>4</v>
      </c>
      <c r="AG292" s="82">
        <v>1</v>
      </c>
      <c r="AH292" s="82">
        <v>2</v>
      </c>
      <c r="AI292" s="82">
        <v>0.99999999998544808</v>
      </c>
      <c r="AJ292" s="166">
        <v>4.1382099999999999</v>
      </c>
      <c r="AK292" s="82">
        <v>4.1381100000000002</v>
      </c>
      <c r="AL292" s="162">
        <v>0</v>
      </c>
      <c r="AM292" s="162">
        <v>0</v>
      </c>
      <c r="AN292" s="162">
        <v>0</v>
      </c>
      <c r="AO292" s="162">
        <v>0</v>
      </c>
      <c r="AP292" s="162">
        <v>0</v>
      </c>
      <c r="AQ292" s="162">
        <v>0</v>
      </c>
      <c r="AR292" s="710" t="str">
        <v>1613.par</v>
      </c>
      <c r="AV292" s="82" t="str">
        <v>0,204,204</v>
      </c>
      <c r="AW292" s="947">
        <v>78.799617313561896</v>
      </c>
      <c r="AX292" s="947">
        <v>78.799617313561896</v>
      </c>
      <c r="AY292" s="947">
        <v>0</v>
      </c>
    </row>
    <row r="293" spans="2:51" x14ac:dyDescent="0.25">
      <c r="B293" s="655"/>
      <c r="C293" s="656"/>
      <c r="D293" s="657"/>
      <c r="E293" s="658"/>
      <c r="F293" s="656"/>
      <c r="G293" s="659"/>
      <c r="H293" s="658"/>
      <c r="I293" s="921"/>
      <c r="J293" s="925"/>
      <c r="K293" s="790" t="str">
        <f>IF($J293="","",IF(IFERROR(INDEX(Settings!$AK$14:$AK$36,MATCH((((ROUND($H293,6)*2)*1000000)+ROUND($I293,6)),Settings!$AI$14:$AI$36,0)),"Undefined")="Undefined","Undefined",IFERROR(INDEX(_xlfn.ANCHORARRAY(Settings!$BC$14),MATCH(IFERROR(INDEX(Settings!$AK$14:$AK$36,MATCH((((ROUND($H293,6)*2)*1000000)+ROUND($I293,6)),Settings!$AI$14:$AI$36,0)),"Undefined"),_xlfn.ANCHORARRAY(Settings!$BC$14),0)),"Inactive")))</f>
        <v/>
      </c>
      <c r="L293" s="943"/>
      <c r="M293" s="973"/>
      <c r="N293" s="941"/>
      <c r="O293" s="942"/>
      <c r="Q293" s="162" t="str">
        <f t="shared" si="1085"/>
        <v/>
      </c>
      <c r="R293" s="162" t="str">
        <f t="shared" si="1086"/>
        <v/>
      </c>
      <c r="S293" s="162" t="str">
        <f t="shared" si="1087"/>
        <v/>
      </c>
      <c r="T293" s="162" t="str">
        <f t="shared" si="1088"/>
        <v/>
      </c>
      <c r="U293" s="162" t="str">
        <f t="shared" si="1089"/>
        <v/>
      </c>
      <c r="V293" s="162" t="str">
        <f t="shared" si="1090"/>
        <v/>
      </c>
      <c r="W293" s="162" t="str">
        <f>IFERROR(IF(ISNUMBER(MATCH($Z293,Settings!$AK$28:$AK$36,0)),INDEX(Settings!$AO$14:$AO$36,MATCH($Z293,Settings!$AK$14:$AK$36,0))/2,INDEX(Settings!$AM$14:$AM$36,MATCH($Z293,Settings!$AK$14:$AK$36,0))/2),"")</f>
        <v/>
      </c>
      <c r="X293" s="162" t="str">
        <f t="shared" si="1091"/>
        <v/>
      </c>
      <c r="Y293" s="75"/>
      <c r="Z293" s="917" t="str">
        <f t="shared" si="1092"/>
        <v/>
      </c>
      <c r="AA293" s="82"/>
      <c r="AB293" s="75"/>
      <c r="AC293" s="75"/>
      <c r="AD293" s="166"/>
      <c r="AE293" s="75">
        <v>4.1319999999999997</v>
      </c>
      <c r="AF293" s="82">
        <v>4</v>
      </c>
      <c r="AG293" s="82">
        <v>1</v>
      </c>
      <c r="AH293" s="82">
        <v>2</v>
      </c>
      <c r="AI293" s="82">
        <v>0.99999999998544808</v>
      </c>
      <c r="AJ293" s="166">
        <v>4.1322099999999997</v>
      </c>
      <c r="AK293" s="82">
        <v>4.1321099999999999</v>
      </c>
      <c r="AL293" s="162">
        <v>0</v>
      </c>
      <c r="AM293" s="162">
        <v>0</v>
      </c>
      <c r="AN293" s="162">
        <v>0</v>
      </c>
      <c r="AO293" s="162">
        <v>0</v>
      </c>
      <c r="AP293" s="162">
        <v>0</v>
      </c>
      <c r="AQ293" s="162">
        <v>0</v>
      </c>
      <c r="AR293" s="710" t="str">
        <v>1613.par</v>
      </c>
      <c r="AV293" s="82" t="str">
        <v>0,204,204</v>
      </c>
      <c r="AW293" s="947">
        <v>60.249226457616452</v>
      </c>
      <c r="AX293" s="947">
        <v>60.249226457616452</v>
      </c>
      <c r="AY293" s="947">
        <v>0</v>
      </c>
    </row>
    <row r="294" spans="2:51" x14ac:dyDescent="0.25">
      <c r="B294" s="655"/>
      <c r="C294" s="656"/>
      <c r="D294" s="657"/>
      <c r="E294" s="658"/>
      <c r="F294" s="656"/>
      <c r="G294" s="659"/>
      <c r="H294" s="658"/>
      <c r="I294" s="921"/>
      <c r="J294" s="925"/>
      <c r="K294" s="790" t="str">
        <f>IF($J294="","",IF(IFERROR(INDEX(Settings!$AK$14:$AK$36,MATCH((((ROUND($H294,6)*2)*1000000)+ROUND($I294,6)),Settings!$AI$14:$AI$36,0)),"Undefined")="Undefined","Undefined",IFERROR(INDEX(_xlfn.ANCHORARRAY(Settings!$BC$14),MATCH(IFERROR(INDEX(Settings!$AK$14:$AK$36,MATCH((((ROUND($H294,6)*2)*1000000)+ROUND($I294,6)),Settings!$AI$14:$AI$36,0)),"Undefined"),_xlfn.ANCHORARRAY(Settings!$BC$14),0)),"Inactive")))</f>
        <v/>
      </c>
      <c r="L294" s="943"/>
      <c r="M294" s="973"/>
      <c r="N294" s="941"/>
      <c r="O294" s="942"/>
      <c r="Q294" s="162" t="str">
        <f t="shared" si="1085"/>
        <v/>
      </c>
      <c r="R294" s="162" t="str">
        <f t="shared" si="1086"/>
        <v/>
      </c>
      <c r="S294" s="162" t="str">
        <f t="shared" si="1087"/>
        <v/>
      </c>
      <c r="T294" s="162" t="str">
        <f t="shared" si="1088"/>
        <v/>
      </c>
      <c r="U294" s="162" t="str">
        <f t="shared" si="1089"/>
        <v/>
      </c>
      <c r="V294" s="162" t="str">
        <f t="shared" si="1090"/>
        <v/>
      </c>
      <c r="W294" s="162" t="str">
        <f>IFERROR(IF(ISNUMBER(MATCH($Z294,Settings!$AK$28:$AK$36,0)),INDEX(Settings!$AO$14:$AO$36,MATCH($Z294,Settings!$AK$14:$AK$36,0))/2,INDEX(Settings!$AM$14:$AM$36,MATCH($Z294,Settings!$AK$14:$AK$36,0))/2),"")</f>
        <v/>
      </c>
      <c r="X294" s="162" t="str">
        <f t="shared" si="1091"/>
        <v/>
      </c>
      <c r="Y294" s="75"/>
      <c r="Z294" s="917" t="str">
        <f t="shared" si="1092"/>
        <v/>
      </c>
      <c r="AA294" s="82"/>
      <c r="AB294" s="75"/>
      <c r="AC294" s="75"/>
      <c r="AD294" s="166"/>
      <c r="AE294" s="75">
        <v>4.1260000000000003</v>
      </c>
      <c r="AF294" s="82">
        <v>4</v>
      </c>
      <c r="AG294" s="82">
        <v>1</v>
      </c>
      <c r="AH294" s="82">
        <v>2</v>
      </c>
      <c r="AI294" s="82">
        <v>1.0000000000582077</v>
      </c>
      <c r="AJ294" s="166">
        <v>4.1262100000000004</v>
      </c>
      <c r="AK294" s="82">
        <v>4.1261100000000006</v>
      </c>
      <c r="AL294" s="162">
        <v>0</v>
      </c>
      <c r="AM294" s="162">
        <v>0</v>
      </c>
      <c r="AN294" s="162">
        <v>0</v>
      </c>
      <c r="AO294" s="162">
        <v>0</v>
      </c>
      <c r="AP294" s="162">
        <v>0</v>
      </c>
      <c r="AQ294" s="162">
        <v>0</v>
      </c>
      <c r="AR294" s="710" t="str">
        <v>1613.par</v>
      </c>
      <c r="AV294" s="82" t="str">
        <v>0,204,204</v>
      </c>
      <c r="AW294" s="947">
        <v>41.606624611766414</v>
      </c>
      <c r="AX294" s="947">
        <v>41.606624611766414</v>
      </c>
      <c r="AY294" s="947">
        <v>0</v>
      </c>
    </row>
    <row r="295" spans="2:51" x14ac:dyDescent="0.25">
      <c r="B295" s="655"/>
      <c r="C295" s="656"/>
      <c r="D295" s="657"/>
      <c r="E295" s="658"/>
      <c r="F295" s="656"/>
      <c r="G295" s="659"/>
      <c r="H295" s="658"/>
      <c r="I295" s="921"/>
      <c r="J295" s="925"/>
      <c r="K295" s="790" t="str">
        <f>IF($J295="","",IF(IFERROR(INDEX(Settings!$AK$14:$AK$36,MATCH((((ROUND($H295,6)*2)*1000000)+ROUND($I295,6)),Settings!$AI$14:$AI$36,0)),"Undefined")="Undefined","Undefined",IFERROR(INDEX(_xlfn.ANCHORARRAY(Settings!$BC$14),MATCH(IFERROR(INDEX(Settings!$AK$14:$AK$36,MATCH((((ROUND($H295,6)*2)*1000000)+ROUND($I295,6)),Settings!$AI$14:$AI$36,0)),"Undefined"),_xlfn.ANCHORARRAY(Settings!$BC$14),0)),"Inactive")))</f>
        <v/>
      </c>
      <c r="L295" s="943"/>
      <c r="M295" s="973"/>
      <c r="N295" s="941"/>
      <c r="O295" s="942"/>
      <c r="Q295" s="162" t="str">
        <f t="shared" si="1085"/>
        <v/>
      </c>
      <c r="R295" s="162" t="str">
        <f t="shared" si="1086"/>
        <v/>
      </c>
      <c r="S295" s="162" t="str">
        <f t="shared" si="1087"/>
        <v/>
      </c>
      <c r="T295" s="162" t="str">
        <f t="shared" si="1088"/>
        <v/>
      </c>
      <c r="U295" s="162" t="str">
        <f t="shared" si="1089"/>
        <v/>
      </c>
      <c r="V295" s="162" t="str">
        <f t="shared" si="1090"/>
        <v/>
      </c>
      <c r="W295" s="162" t="str">
        <f>IFERROR(IF(ISNUMBER(MATCH($Z295,Settings!$AK$28:$AK$36,0)),INDEX(Settings!$AO$14:$AO$36,MATCH($Z295,Settings!$AK$14:$AK$36,0))/2,INDEX(Settings!$AM$14:$AM$36,MATCH($Z295,Settings!$AK$14:$AK$36,0))/2),"")</f>
        <v/>
      </c>
      <c r="X295" s="162" t="str">
        <f t="shared" si="1091"/>
        <v/>
      </c>
      <c r="Y295" s="75"/>
      <c r="Z295" s="917" t="str">
        <f t="shared" si="1092"/>
        <v/>
      </c>
      <c r="AA295" s="82"/>
      <c r="AB295" s="75"/>
      <c r="AC295" s="75"/>
      <c r="AD295" s="166"/>
      <c r="AE295" s="75">
        <v>4.12</v>
      </c>
      <c r="AF295" s="82">
        <v>4</v>
      </c>
      <c r="AG295" s="82">
        <v>1</v>
      </c>
      <c r="AH295" s="82">
        <v>2</v>
      </c>
      <c r="AI295" s="82">
        <v>0.99999999998544808</v>
      </c>
      <c r="AJ295" s="166">
        <v>4.1202100000000002</v>
      </c>
      <c r="AK295" s="82">
        <v>4.1201100000000004</v>
      </c>
      <c r="AL295" s="162">
        <v>0</v>
      </c>
      <c r="AM295" s="162">
        <v>0</v>
      </c>
      <c r="AN295" s="162">
        <v>0</v>
      </c>
      <c r="AO295" s="162">
        <v>0</v>
      </c>
      <c r="AP295" s="162">
        <v>0</v>
      </c>
      <c r="AQ295" s="162">
        <v>0</v>
      </c>
      <c r="AR295" s="710" t="str">
        <v>1613 Ripper.par</v>
      </c>
      <c r="AV295" s="82" t="str">
        <v>0,204,204</v>
      </c>
      <c r="AW295" s="947">
        <v>22.793338283804125</v>
      </c>
      <c r="AX295" s="947">
        <v>22.793338283804125</v>
      </c>
      <c r="AY295" s="947">
        <v>0</v>
      </c>
    </row>
    <row r="296" spans="2:51" x14ac:dyDescent="0.25">
      <c r="B296" s="655"/>
      <c r="C296" s="656"/>
      <c r="D296" s="657"/>
      <c r="E296" s="658"/>
      <c r="F296" s="656"/>
      <c r="G296" s="659"/>
      <c r="H296" s="658"/>
      <c r="I296" s="921"/>
      <c r="J296" s="925"/>
      <c r="K296" s="790" t="str">
        <f>IF($J296="","",IF(IFERROR(INDEX(Settings!$AK$14:$AK$36,MATCH((((ROUND($H296,6)*2)*1000000)+ROUND($I296,6)),Settings!$AI$14:$AI$36,0)),"Undefined")="Undefined","Undefined",IFERROR(INDEX(_xlfn.ANCHORARRAY(Settings!$BC$14),MATCH(IFERROR(INDEX(Settings!$AK$14:$AK$36,MATCH((((ROUND($H296,6)*2)*1000000)+ROUND($I296,6)),Settings!$AI$14:$AI$36,0)),"Undefined"),_xlfn.ANCHORARRAY(Settings!$BC$14),0)),"Inactive")))</f>
        <v/>
      </c>
      <c r="L296" s="943"/>
      <c r="M296" s="973"/>
      <c r="N296" s="941"/>
      <c r="O296" s="942"/>
      <c r="Q296" s="162" t="str">
        <f t="shared" si="1085"/>
        <v/>
      </c>
      <c r="R296" s="162" t="str">
        <f t="shared" si="1086"/>
        <v/>
      </c>
      <c r="S296" s="162" t="str">
        <f t="shared" si="1087"/>
        <v/>
      </c>
      <c r="T296" s="162" t="str">
        <f t="shared" si="1088"/>
        <v/>
      </c>
      <c r="U296" s="162" t="str">
        <f t="shared" si="1089"/>
        <v/>
      </c>
      <c r="V296" s="162" t="str">
        <f t="shared" si="1090"/>
        <v/>
      </c>
      <c r="W296" s="162" t="str">
        <f>IFERROR(IF(ISNUMBER(MATCH($Z296,Settings!$AK$28:$AK$36,0)),INDEX(Settings!$AO$14:$AO$36,MATCH($Z296,Settings!$AK$14:$AK$36,0))/2,INDEX(Settings!$AM$14:$AM$36,MATCH($Z296,Settings!$AK$14:$AK$36,0))/2),"")</f>
        <v/>
      </c>
      <c r="X296" s="162" t="str">
        <f t="shared" si="1091"/>
        <v/>
      </c>
      <c r="Y296" s="75"/>
      <c r="Z296" s="917" t="str">
        <f t="shared" si="1092"/>
        <v/>
      </c>
      <c r="AA296" s="82"/>
      <c r="AB296" s="75"/>
      <c r="AC296" s="75"/>
      <c r="AD296" s="166"/>
      <c r="AE296" s="75">
        <v>4.1139999999999999</v>
      </c>
      <c r="AF296" s="82">
        <v>4</v>
      </c>
      <c r="AG296" s="82">
        <v>1</v>
      </c>
      <c r="AH296" s="82">
        <v>2</v>
      </c>
      <c r="AI296" s="82">
        <v>0.99999999998544808</v>
      </c>
      <c r="AJ296" s="166">
        <v>4.1142099999999999</v>
      </c>
      <c r="AK296" s="82">
        <v>4.1141100000000002</v>
      </c>
      <c r="AL296" s="162">
        <v>0</v>
      </c>
      <c r="AM296" s="162">
        <v>0</v>
      </c>
      <c r="AN296" s="162">
        <v>0</v>
      </c>
      <c r="AO296" s="162">
        <v>0</v>
      </c>
      <c r="AP296" s="162">
        <v>0</v>
      </c>
      <c r="AQ296" s="162">
        <v>0</v>
      </c>
      <c r="AR296" s="710" t="str">
        <v>1613 Ripper.par</v>
      </c>
      <c r="AV296" s="82" t="str">
        <v>0,204,204</v>
      </c>
      <c r="AW296" s="947">
        <v>3.9705087662236287</v>
      </c>
      <c r="AX296" s="947">
        <v>3.9705087662236287</v>
      </c>
      <c r="AY296" s="947">
        <v>0</v>
      </c>
    </row>
    <row r="297" spans="2:51" x14ac:dyDescent="0.25">
      <c r="B297" s="655"/>
      <c r="C297" s="656"/>
      <c r="D297" s="657"/>
      <c r="E297" s="658"/>
      <c r="F297" s="656"/>
      <c r="G297" s="659"/>
      <c r="H297" s="658"/>
      <c r="I297" s="921"/>
      <c r="J297" s="925"/>
      <c r="K297" s="790" t="str">
        <f>IF($J297="","",IF(IFERROR(INDEX(Settings!$AK$14:$AK$36,MATCH((((ROUND($H297,6)*2)*1000000)+ROUND($I297,6)),Settings!$AI$14:$AI$36,0)),"Undefined")="Undefined","Undefined",IFERROR(INDEX(_xlfn.ANCHORARRAY(Settings!$BC$14),MATCH(IFERROR(INDEX(Settings!$AK$14:$AK$36,MATCH((((ROUND($H297,6)*2)*1000000)+ROUND($I297,6)),Settings!$AI$14:$AI$36,0)),"Undefined"),_xlfn.ANCHORARRAY(Settings!$BC$14),0)),"Inactive")))</f>
        <v/>
      </c>
      <c r="L297" s="943"/>
      <c r="M297" s="973"/>
      <c r="N297" s="941"/>
      <c r="O297" s="942"/>
      <c r="Q297" s="162" t="str">
        <f t="shared" si="1085"/>
        <v/>
      </c>
      <c r="R297" s="162" t="str">
        <f t="shared" si="1086"/>
        <v/>
      </c>
      <c r="S297" s="162" t="str">
        <f t="shared" si="1087"/>
        <v/>
      </c>
      <c r="T297" s="162" t="str">
        <f t="shared" si="1088"/>
        <v/>
      </c>
      <c r="U297" s="162" t="str">
        <f t="shared" si="1089"/>
        <v/>
      </c>
      <c r="V297" s="162" t="str">
        <f t="shared" si="1090"/>
        <v/>
      </c>
      <c r="W297" s="162" t="str">
        <f>IFERROR(IF(ISNUMBER(MATCH($Z297,Settings!$AK$28:$AK$36,0)),INDEX(Settings!$AO$14:$AO$36,MATCH($Z297,Settings!$AK$14:$AK$36,0))/2,INDEX(Settings!$AM$14:$AM$36,MATCH($Z297,Settings!$AK$14:$AK$36,0))/2),"")</f>
        <v/>
      </c>
      <c r="X297" s="162" t="str">
        <f t="shared" si="1091"/>
        <v/>
      </c>
      <c r="Y297" s="75"/>
      <c r="Z297" s="917" t="str">
        <f t="shared" si="1092"/>
        <v/>
      </c>
      <c r="AA297" s="82"/>
      <c r="AB297" s="75"/>
      <c r="AC297" s="75"/>
      <c r="AD297" s="166"/>
      <c r="AE297" s="75">
        <v>3.2509999999999999</v>
      </c>
      <c r="AF297" s="82">
        <v>3</v>
      </c>
      <c r="AG297" s="82">
        <v>2</v>
      </c>
      <c r="AH297" s="82">
        <v>2</v>
      </c>
      <c r="AI297" s="82">
        <v>0.99999999998544808</v>
      </c>
      <c r="AJ297" s="166">
        <v>3.2512099999999999</v>
      </c>
      <c r="AK297" s="82">
        <v>3.2511099999999997</v>
      </c>
      <c r="AL297" s="162">
        <v>0</v>
      </c>
      <c r="AM297" s="162">
        <v>0</v>
      </c>
      <c r="AN297" s="162">
        <v>0</v>
      </c>
      <c r="AO297" s="162">
        <v>0</v>
      </c>
      <c r="AP297" s="162">
        <v>0</v>
      </c>
      <c r="AQ297" s="162">
        <v>0</v>
      </c>
      <c r="AR297" s="710" t="str">
        <v>1313.par</v>
      </c>
      <c r="AV297" s="82" t="str">
        <v>97,255,97</v>
      </c>
      <c r="AW297" s="947">
        <v>100.03561890671625</v>
      </c>
      <c r="AX297" s="947">
        <v>100.03561890671625</v>
      </c>
      <c r="AY297" s="947">
        <v>0</v>
      </c>
    </row>
    <row r="298" spans="2:51" x14ac:dyDescent="0.25">
      <c r="B298" s="655"/>
      <c r="C298" s="656"/>
      <c r="D298" s="657"/>
      <c r="E298" s="658"/>
      <c r="F298" s="656"/>
      <c r="G298" s="659"/>
      <c r="H298" s="658"/>
      <c r="I298" s="921"/>
      <c r="J298" s="925"/>
      <c r="K298" s="790" t="str">
        <f>IF($J298="","",IF(IFERROR(INDEX(Settings!$AK$14:$AK$36,MATCH((((ROUND($H298,6)*2)*1000000)+ROUND($I298,6)),Settings!$AI$14:$AI$36,0)),"Undefined")="Undefined","Undefined",IFERROR(INDEX(_xlfn.ANCHORARRAY(Settings!$BC$14),MATCH(IFERROR(INDEX(Settings!$AK$14:$AK$36,MATCH((((ROUND($H298,6)*2)*1000000)+ROUND($I298,6)),Settings!$AI$14:$AI$36,0)),"Undefined"),_xlfn.ANCHORARRAY(Settings!$BC$14),0)),"Inactive")))</f>
        <v/>
      </c>
      <c r="L298" s="943"/>
      <c r="M298" s="973"/>
      <c r="N298" s="941"/>
      <c r="O298" s="942"/>
      <c r="Q298" s="162" t="str">
        <f t="shared" si="1085"/>
        <v/>
      </c>
      <c r="R298" s="162" t="str">
        <f t="shared" si="1086"/>
        <v/>
      </c>
      <c r="S298" s="162" t="str">
        <f t="shared" si="1087"/>
        <v/>
      </c>
      <c r="T298" s="162" t="str">
        <f t="shared" si="1088"/>
        <v/>
      </c>
      <c r="U298" s="162" t="str">
        <f t="shared" si="1089"/>
        <v/>
      </c>
      <c r="V298" s="162" t="str">
        <f t="shared" si="1090"/>
        <v/>
      </c>
      <c r="W298" s="162" t="str">
        <f>IFERROR(IF(ISNUMBER(MATCH($Z298,Settings!$AK$28:$AK$36,0)),INDEX(Settings!$AO$14:$AO$36,MATCH($Z298,Settings!$AK$14:$AK$36,0))/2,INDEX(Settings!$AM$14:$AM$36,MATCH($Z298,Settings!$AK$14:$AK$36,0))/2),"")</f>
        <v/>
      </c>
      <c r="X298" s="162" t="str">
        <f t="shared" si="1091"/>
        <v/>
      </c>
      <c r="Y298" s="75"/>
      <c r="Z298" s="917" t="str">
        <f t="shared" si="1092"/>
        <v/>
      </c>
      <c r="AA298" s="82"/>
      <c r="AB298" s="75"/>
      <c r="AC298" s="75"/>
      <c r="AD298" s="166"/>
      <c r="AE298" s="75">
        <v>3.2450000000000001</v>
      </c>
      <c r="AF298" s="82">
        <v>3</v>
      </c>
      <c r="AG298" s="82">
        <v>2</v>
      </c>
      <c r="AH298" s="82">
        <v>2</v>
      </c>
      <c r="AI298" s="82">
        <v>1.0000000000218279</v>
      </c>
      <c r="AJ298" s="166">
        <v>3.2452100000000002</v>
      </c>
      <c r="AK298" s="82">
        <v>3.2451099999999999</v>
      </c>
      <c r="AL298" s="162">
        <v>0</v>
      </c>
      <c r="AM298" s="162">
        <v>0</v>
      </c>
      <c r="AN298" s="162">
        <v>0</v>
      </c>
      <c r="AO298" s="162">
        <v>0</v>
      </c>
      <c r="AP298" s="162">
        <v>0</v>
      </c>
      <c r="AQ298" s="162">
        <v>0</v>
      </c>
      <c r="AR298" s="710" t="str">
        <v>32193r1.par</v>
      </c>
      <c r="AV298" s="82" t="str">
        <v>97,255,97</v>
      </c>
      <c r="AW298" s="947">
        <v>89.999987005609611</v>
      </c>
      <c r="AX298" s="947">
        <v>89.999987005609611</v>
      </c>
      <c r="AY298" s="947">
        <v>0</v>
      </c>
    </row>
    <row r="299" spans="2:51" x14ac:dyDescent="0.25">
      <c r="B299" s="655"/>
      <c r="C299" s="656"/>
      <c r="D299" s="657"/>
      <c r="E299" s="658"/>
      <c r="F299" s="656"/>
      <c r="G299" s="659"/>
      <c r="H299" s="658"/>
      <c r="I299" s="921"/>
      <c r="J299" s="925"/>
      <c r="K299" s="790" t="str">
        <f>IF($J299="","",IF(IFERROR(INDEX(Settings!$AK$14:$AK$36,MATCH((((ROUND($H299,6)*2)*1000000)+ROUND($I299,6)),Settings!$AI$14:$AI$36,0)),"Undefined")="Undefined","Undefined",IFERROR(INDEX(_xlfn.ANCHORARRAY(Settings!$BC$14),MATCH(IFERROR(INDEX(Settings!$AK$14:$AK$36,MATCH((((ROUND($H299,6)*2)*1000000)+ROUND($I299,6)),Settings!$AI$14:$AI$36,0)),"Undefined"),_xlfn.ANCHORARRAY(Settings!$BC$14),0)),"Inactive")))</f>
        <v/>
      </c>
      <c r="L299" s="943"/>
      <c r="M299" s="973"/>
      <c r="N299" s="941"/>
      <c r="O299" s="942"/>
      <c r="Q299" s="162" t="str">
        <f t="shared" si="1085"/>
        <v/>
      </c>
      <c r="R299" s="162" t="str">
        <f t="shared" si="1086"/>
        <v/>
      </c>
      <c r="S299" s="162" t="str">
        <f t="shared" si="1087"/>
        <v/>
      </c>
      <c r="T299" s="162" t="str">
        <f t="shared" si="1088"/>
        <v/>
      </c>
      <c r="U299" s="162" t="str">
        <f t="shared" si="1089"/>
        <v/>
      </c>
      <c r="V299" s="162" t="str">
        <f t="shared" si="1090"/>
        <v/>
      </c>
      <c r="W299" s="162" t="str">
        <f>IFERROR(IF(ISNUMBER(MATCH($Z299,Settings!$AK$28:$AK$36,0)),INDEX(Settings!$AO$14:$AO$36,MATCH($Z299,Settings!$AK$14:$AK$36,0))/2,INDEX(Settings!$AM$14:$AM$36,MATCH($Z299,Settings!$AK$14:$AK$36,0))/2),"")</f>
        <v/>
      </c>
      <c r="X299" s="162" t="str">
        <f t="shared" si="1091"/>
        <v/>
      </c>
      <c r="Y299" s="75"/>
      <c r="Z299" s="917" t="str">
        <f t="shared" si="1092"/>
        <v/>
      </c>
      <c r="AA299" s="82"/>
      <c r="AB299" s="75"/>
      <c r="AC299" s="75"/>
      <c r="AD299" s="166"/>
      <c r="AE299" s="75">
        <v>3.2389999999999999</v>
      </c>
      <c r="AF299" s="82">
        <v>3</v>
      </c>
      <c r="AG299" s="82">
        <v>2</v>
      </c>
      <c r="AH299" s="82">
        <v>2</v>
      </c>
      <c r="AI299" s="82">
        <v>0.99999999998544808</v>
      </c>
      <c r="AJ299" s="166">
        <v>3.2392099999999999</v>
      </c>
      <c r="AK299" s="82">
        <v>3.2391099999999997</v>
      </c>
      <c r="AL299" s="162">
        <v>0</v>
      </c>
      <c r="AM299" s="162">
        <v>0</v>
      </c>
      <c r="AN299" s="162">
        <v>0</v>
      </c>
      <c r="AO299" s="162">
        <v>0</v>
      </c>
      <c r="AP299" s="162">
        <v>0</v>
      </c>
      <c r="AQ299" s="162">
        <v>0</v>
      </c>
      <c r="AR299" s="710" t="str">
        <v>32193r1.par</v>
      </c>
      <c r="AV299" s="82" t="str">
        <v>97,255,97</v>
      </c>
      <c r="AW299" s="947">
        <v>82.999988016284419</v>
      </c>
      <c r="AX299" s="947">
        <v>82.999988016284419</v>
      </c>
      <c r="AY299" s="947">
        <v>0</v>
      </c>
    </row>
    <row r="300" spans="2:51" x14ac:dyDescent="0.25">
      <c r="B300" s="655"/>
      <c r="C300" s="656"/>
      <c r="D300" s="657"/>
      <c r="E300" s="658"/>
      <c r="F300" s="656"/>
      <c r="G300" s="659"/>
      <c r="H300" s="658"/>
      <c r="I300" s="921"/>
      <c r="J300" s="925"/>
      <c r="K300" s="790" t="str">
        <f>IF($J300="","",IF(IFERROR(INDEX(Settings!$AK$14:$AK$36,MATCH((((ROUND($H300,6)*2)*1000000)+ROUND($I300,6)),Settings!$AI$14:$AI$36,0)),"Undefined")="Undefined","Undefined",IFERROR(INDEX(_xlfn.ANCHORARRAY(Settings!$BC$14),MATCH(IFERROR(INDEX(Settings!$AK$14:$AK$36,MATCH((((ROUND($H300,6)*2)*1000000)+ROUND($I300,6)),Settings!$AI$14:$AI$36,0)),"Undefined"),_xlfn.ANCHORARRAY(Settings!$BC$14),0)),"Inactive")))</f>
        <v/>
      </c>
      <c r="L300" s="943"/>
      <c r="M300" s="973"/>
      <c r="N300" s="941"/>
      <c r="O300" s="942"/>
      <c r="Q300" s="162" t="str">
        <f t="shared" si="1085"/>
        <v/>
      </c>
      <c r="R300" s="162" t="str">
        <f t="shared" si="1086"/>
        <v/>
      </c>
      <c r="S300" s="162" t="str">
        <f t="shared" si="1087"/>
        <v/>
      </c>
      <c r="T300" s="162" t="str">
        <f t="shared" si="1088"/>
        <v/>
      </c>
      <c r="U300" s="162" t="str">
        <f t="shared" si="1089"/>
        <v/>
      </c>
      <c r="V300" s="162" t="str">
        <f t="shared" si="1090"/>
        <v/>
      </c>
      <c r="W300" s="162" t="str">
        <f>IFERROR(IF(ISNUMBER(MATCH($Z300,Settings!$AK$28:$AK$36,0)),INDEX(Settings!$AO$14:$AO$36,MATCH($Z300,Settings!$AK$14:$AK$36,0))/2,INDEX(Settings!$AM$14:$AM$36,MATCH($Z300,Settings!$AK$14:$AK$36,0))/2),"")</f>
        <v/>
      </c>
      <c r="X300" s="162" t="str">
        <f t="shared" si="1091"/>
        <v/>
      </c>
      <c r="Y300" s="75"/>
      <c r="Z300" s="917" t="str">
        <f t="shared" si="1092"/>
        <v/>
      </c>
      <c r="AA300" s="82"/>
      <c r="AB300" s="75"/>
      <c r="AC300" s="75"/>
      <c r="AD300" s="166"/>
      <c r="AE300" s="75">
        <v>3.2330000000000001</v>
      </c>
      <c r="AF300" s="82">
        <v>3</v>
      </c>
      <c r="AG300" s="82">
        <v>2</v>
      </c>
      <c r="AH300" s="82">
        <v>2</v>
      </c>
      <c r="AI300" s="82">
        <v>1.0000000000218279</v>
      </c>
      <c r="AJ300" s="166">
        <v>3.2332100000000001</v>
      </c>
      <c r="AK300" s="82">
        <v>3.2331099999999999</v>
      </c>
      <c r="AL300" s="162">
        <v>0</v>
      </c>
      <c r="AM300" s="162">
        <v>0</v>
      </c>
      <c r="AN300" s="162">
        <v>0</v>
      </c>
      <c r="AO300" s="162">
        <v>0</v>
      </c>
      <c r="AP300" s="162">
        <v>0</v>
      </c>
      <c r="AQ300" s="162">
        <v>0</v>
      </c>
      <c r="AR300" s="710" t="str">
        <v>1313.par</v>
      </c>
      <c r="AV300" s="82" t="str">
        <v>97,255,97</v>
      </c>
      <c r="AW300" s="947">
        <v>63.392943063786667</v>
      </c>
      <c r="AX300" s="947">
        <v>63.392943063786667</v>
      </c>
      <c r="AY300" s="947">
        <v>0</v>
      </c>
    </row>
    <row r="301" spans="2:51" x14ac:dyDescent="0.25">
      <c r="B301" s="655"/>
      <c r="C301" s="656"/>
      <c r="D301" s="657"/>
      <c r="E301" s="658"/>
      <c r="F301" s="656"/>
      <c r="G301" s="659"/>
      <c r="H301" s="658"/>
      <c r="I301" s="921"/>
      <c r="J301" s="925"/>
      <c r="K301" s="790" t="str">
        <f>IF($J301="","",IF(IFERROR(INDEX(Settings!$AK$14:$AK$36,MATCH((((ROUND($H301,6)*2)*1000000)+ROUND($I301,6)),Settings!$AI$14:$AI$36,0)),"Undefined")="Undefined","Undefined",IFERROR(INDEX(_xlfn.ANCHORARRAY(Settings!$BC$14),MATCH(IFERROR(INDEX(Settings!$AK$14:$AK$36,MATCH((((ROUND($H301,6)*2)*1000000)+ROUND($I301,6)),Settings!$AI$14:$AI$36,0)),"Undefined"),_xlfn.ANCHORARRAY(Settings!$BC$14),0)),"Inactive")))</f>
        <v/>
      </c>
      <c r="L301" s="943"/>
      <c r="M301" s="973"/>
      <c r="N301" s="941"/>
      <c r="O301" s="942"/>
      <c r="Q301" s="162" t="str">
        <f t="shared" si="1085"/>
        <v/>
      </c>
      <c r="R301" s="162" t="str">
        <f t="shared" si="1086"/>
        <v/>
      </c>
      <c r="S301" s="162" t="str">
        <f t="shared" si="1087"/>
        <v/>
      </c>
      <c r="T301" s="162" t="str">
        <f t="shared" si="1088"/>
        <v/>
      </c>
      <c r="U301" s="162" t="str">
        <f t="shared" si="1089"/>
        <v/>
      </c>
      <c r="V301" s="162" t="str">
        <f t="shared" si="1090"/>
        <v/>
      </c>
      <c r="W301" s="162" t="str">
        <f>IFERROR(IF(ISNUMBER(MATCH($Z301,Settings!$AK$28:$AK$36,0)),INDEX(Settings!$AO$14:$AO$36,MATCH($Z301,Settings!$AK$14:$AK$36,0))/2,INDEX(Settings!$AM$14:$AM$36,MATCH($Z301,Settings!$AK$14:$AK$36,0))/2),"")</f>
        <v/>
      </c>
      <c r="X301" s="162" t="str">
        <f t="shared" si="1091"/>
        <v/>
      </c>
      <c r="Y301" s="75"/>
      <c r="Z301" s="917" t="str">
        <f t="shared" si="1092"/>
        <v/>
      </c>
      <c r="AA301" s="82"/>
      <c r="AB301" s="75"/>
      <c r="AC301" s="75"/>
      <c r="AD301" s="166"/>
      <c r="AE301" s="75">
        <v>3.2269999999999999</v>
      </c>
      <c r="AF301" s="82">
        <v>3</v>
      </c>
      <c r="AG301" s="82">
        <v>2</v>
      </c>
      <c r="AH301" s="82">
        <v>2</v>
      </c>
      <c r="AI301" s="82">
        <v>0.99999999998544808</v>
      </c>
      <c r="AJ301" s="166">
        <v>3.2272099999999999</v>
      </c>
      <c r="AK301" s="82">
        <v>3.2271099999999997</v>
      </c>
      <c r="AL301" s="162">
        <v>0</v>
      </c>
      <c r="AM301" s="162">
        <v>0</v>
      </c>
      <c r="AN301" s="162">
        <v>0</v>
      </c>
      <c r="AO301" s="162">
        <v>0</v>
      </c>
      <c r="AP301" s="162">
        <v>0</v>
      </c>
      <c r="AQ301" s="162">
        <v>0</v>
      </c>
      <c r="AR301" s="710" t="str">
        <v>1313.par</v>
      </c>
      <c r="AV301" s="82" t="str">
        <v>97,255,97</v>
      </c>
      <c r="AW301" s="947">
        <v>44.830187859593472</v>
      </c>
      <c r="AX301" s="947">
        <v>44.830187859593472</v>
      </c>
      <c r="AY301" s="947">
        <v>0</v>
      </c>
    </row>
    <row r="302" spans="2:51" x14ac:dyDescent="0.25">
      <c r="B302" s="655"/>
      <c r="C302" s="656"/>
      <c r="D302" s="657"/>
      <c r="E302" s="658"/>
      <c r="F302" s="656"/>
      <c r="G302" s="659"/>
      <c r="H302" s="658"/>
      <c r="I302" s="921"/>
      <c r="J302" s="925"/>
      <c r="K302" s="790" t="str">
        <f>IF($J302="","",IF(IFERROR(INDEX(Settings!$AK$14:$AK$36,MATCH((((ROUND($H302,6)*2)*1000000)+ROUND($I302,6)),Settings!$AI$14:$AI$36,0)),"Undefined")="Undefined","Undefined",IFERROR(INDEX(_xlfn.ANCHORARRAY(Settings!$BC$14),MATCH(IFERROR(INDEX(Settings!$AK$14:$AK$36,MATCH((((ROUND($H302,6)*2)*1000000)+ROUND($I302,6)),Settings!$AI$14:$AI$36,0)),"Undefined"),_xlfn.ANCHORARRAY(Settings!$BC$14),0)),"Inactive")))</f>
        <v/>
      </c>
      <c r="L302" s="943"/>
      <c r="M302" s="973"/>
      <c r="N302" s="941"/>
      <c r="O302" s="942"/>
      <c r="Q302" s="162" t="str">
        <f t="shared" si="1085"/>
        <v/>
      </c>
      <c r="R302" s="162" t="str">
        <f t="shared" si="1086"/>
        <v/>
      </c>
      <c r="S302" s="162" t="str">
        <f t="shared" si="1087"/>
        <v/>
      </c>
      <c r="T302" s="162" t="str">
        <f t="shared" si="1088"/>
        <v/>
      </c>
      <c r="U302" s="162" t="str">
        <f t="shared" si="1089"/>
        <v/>
      </c>
      <c r="V302" s="162" t="str">
        <f t="shared" si="1090"/>
        <v/>
      </c>
      <c r="W302" s="162" t="str">
        <f>IFERROR(IF(ISNUMBER(MATCH($Z302,Settings!$AK$28:$AK$36,0)),INDEX(Settings!$AO$14:$AO$36,MATCH($Z302,Settings!$AK$14:$AK$36,0))/2,INDEX(Settings!$AM$14:$AM$36,MATCH($Z302,Settings!$AK$14:$AK$36,0))/2),"")</f>
        <v/>
      </c>
      <c r="X302" s="162" t="str">
        <f t="shared" si="1091"/>
        <v/>
      </c>
      <c r="Y302" s="75"/>
      <c r="Z302" s="917" t="str">
        <f t="shared" si="1092"/>
        <v/>
      </c>
      <c r="AA302" s="82"/>
      <c r="AB302" s="75"/>
      <c r="AC302" s="75"/>
      <c r="AD302" s="166"/>
      <c r="AE302" s="75">
        <v>3.2210000000000001</v>
      </c>
      <c r="AF302" s="82">
        <v>3</v>
      </c>
      <c r="AG302" s="82">
        <v>2</v>
      </c>
      <c r="AH302" s="82">
        <v>2</v>
      </c>
      <c r="AI302" s="82">
        <v>1.0000000000218279</v>
      </c>
      <c r="AJ302" s="166">
        <v>3.2212100000000001</v>
      </c>
      <c r="AK302" s="82">
        <v>3.2211099999999999</v>
      </c>
      <c r="AL302" s="162">
        <v>0</v>
      </c>
      <c r="AM302" s="162">
        <v>0</v>
      </c>
      <c r="AN302" s="162">
        <v>0</v>
      </c>
      <c r="AO302" s="162">
        <v>0</v>
      </c>
      <c r="AP302" s="162">
        <v>0</v>
      </c>
      <c r="AQ302" s="162">
        <v>0</v>
      </c>
      <c r="AR302" s="710" t="str">
        <v>1313.par</v>
      </c>
      <c r="AV302" s="82" t="str">
        <v>97,255,97</v>
      </c>
      <c r="AW302" s="947">
        <v>26.167511622001179</v>
      </c>
      <c r="AX302" s="947">
        <v>26.167511622001179</v>
      </c>
      <c r="AY302" s="947">
        <v>0</v>
      </c>
    </row>
    <row r="303" spans="2:51" x14ac:dyDescent="0.25">
      <c r="B303" s="655"/>
      <c r="C303" s="656"/>
      <c r="D303" s="657"/>
      <c r="E303" s="658"/>
      <c r="F303" s="656"/>
      <c r="G303" s="659"/>
      <c r="H303" s="658"/>
      <c r="I303" s="921"/>
      <c r="J303" s="925"/>
      <c r="K303" s="790" t="str">
        <f>IF($J303="","",IF(IFERROR(INDEX(Settings!$AK$14:$AK$36,MATCH((((ROUND($H303,6)*2)*1000000)+ROUND($I303,6)),Settings!$AI$14:$AI$36,0)),"Undefined")="Undefined","Undefined",IFERROR(INDEX(_xlfn.ANCHORARRAY(Settings!$BC$14),MATCH(IFERROR(INDEX(Settings!$AK$14:$AK$36,MATCH((((ROUND($H303,6)*2)*1000000)+ROUND($I303,6)),Settings!$AI$14:$AI$36,0)),"Undefined"),_xlfn.ANCHORARRAY(Settings!$BC$14),0)),"Inactive")))</f>
        <v/>
      </c>
      <c r="L303" s="943"/>
      <c r="M303" s="973"/>
      <c r="N303" s="941"/>
      <c r="O303" s="942"/>
      <c r="Q303" s="162" t="str">
        <f t="shared" si="1085"/>
        <v/>
      </c>
      <c r="R303" s="162" t="str">
        <f t="shared" si="1086"/>
        <v/>
      </c>
      <c r="S303" s="162" t="str">
        <f t="shared" si="1087"/>
        <v/>
      </c>
      <c r="T303" s="162" t="str">
        <f t="shared" si="1088"/>
        <v/>
      </c>
      <c r="U303" s="162" t="str">
        <f t="shared" si="1089"/>
        <v/>
      </c>
      <c r="V303" s="162" t="str">
        <f t="shared" si="1090"/>
        <v/>
      </c>
      <c r="W303" s="162" t="str">
        <f>IFERROR(IF(ISNUMBER(MATCH($Z303,Settings!$AK$28:$AK$36,0)),INDEX(Settings!$AO$14:$AO$36,MATCH($Z303,Settings!$AK$14:$AK$36,0))/2,INDEX(Settings!$AM$14:$AM$36,MATCH($Z303,Settings!$AK$14:$AK$36,0))/2),"")</f>
        <v/>
      </c>
      <c r="X303" s="162" t="str">
        <f t="shared" si="1091"/>
        <v/>
      </c>
      <c r="Y303" s="75"/>
      <c r="Z303" s="917" t="str">
        <f t="shared" si="1092"/>
        <v/>
      </c>
      <c r="AA303" s="82"/>
      <c r="AB303" s="75"/>
      <c r="AC303" s="75"/>
      <c r="AD303" s="166"/>
      <c r="AE303" s="75">
        <v>3.2149999999999999</v>
      </c>
      <c r="AF303" s="82">
        <v>3</v>
      </c>
      <c r="AG303" s="82">
        <v>2</v>
      </c>
      <c r="AH303" s="82">
        <v>2</v>
      </c>
      <c r="AI303" s="82">
        <v>0.99999999998544808</v>
      </c>
      <c r="AJ303" s="166">
        <v>3.2152099999999999</v>
      </c>
      <c r="AK303" s="82">
        <v>3.2151099999999997</v>
      </c>
      <c r="AL303" s="162">
        <v>0</v>
      </c>
      <c r="AM303" s="162">
        <v>0</v>
      </c>
      <c r="AN303" s="162">
        <v>0</v>
      </c>
      <c r="AO303" s="162">
        <v>0</v>
      </c>
      <c r="AP303" s="162">
        <v>0</v>
      </c>
      <c r="AQ303" s="162">
        <v>0</v>
      </c>
      <c r="AR303" s="710" t="str">
        <v>32193r1.par</v>
      </c>
      <c r="AV303" s="82" t="str">
        <v>97,255,97</v>
      </c>
      <c r="AW303" s="947">
        <v>-0.99999985561788196</v>
      </c>
      <c r="AX303" s="947">
        <v>-0.99999985561788196</v>
      </c>
      <c r="AY303" s="947">
        <v>0</v>
      </c>
    </row>
    <row r="304" spans="2:51" x14ac:dyDescent="0.25">
      <c r="B304" s="655"/>
      <c r="C304" s="656"/>
      <c r="D304" s="657"/>
      <c r="E304" s="658"/>
      <c r="F304" s="656"/>
      <c r="G304" s="659"/>
      <c r="H304" s="658"/>
      <c r="I304" s="921"/>
      <c r="J304" s="925"/>
      <c r="K304" s="790" t="str">
        <f>IF($J304="","",IF(IFERROR(INDEX(Settings!$AK$14:$AK$36,MATCH((((ROUND($H304,6)*2)*1000000)+ROUND($I304,6)),Settings!$AI$14:$AI$36,0)),"Undefined")="Undefined","Undefined",IFERROR(INDEX(_xlfn.ANCHORARRAY(Settings!$BC$14),MATCH(IFERROR(INDEX(Settings!$AK$14:$AK$36,MATCH((((ROUND($H304,6)*2)*1000000)+ROUND($I304,6)),Settings!$AI$14:$AI$36,0)),"Undefined"),_xlfn.ANCHORARRAY(Settings!$BC$14),0)),"Inactive")))</f>
        <v/>
      </c>
      <c r="L304" s="943"/>
      <c r="M304" s="973"/>
      <c r="N304" s="941"/>
      <c r="O304" s="942"/>
      <c r="Q304" s="162" t="str">
        <f t="shared" si="1085"/>
        <v/>
      </c>
      <c r="R304" s="162" t="str">
        <f t="shared" si="1086"/>
        <v/>
      </c>
      <c r="S304" s="162" t="str">
        <f t="shared" si="1087"/>
        <v/>
      </c>
      <c r="T304" s="162" t="str">
        <f t="shared" si="1088"/>
        <v/>
      </c>
      <c r="U304" s="162" t="str">
        <f t="shared" si="1089"/>
        <v/>
      </c>
      <c r="V304" s="162" t="str">
        <f t="shared" si="1090"/>
        <v/>
      </c>
      <c r="W304" s="162" t="str">
        <f>IFERROR(IF(ISNUMBER(MATCH($Z304,Settings!$AK$28:$AK$36,0)),INDEX(Settings!$AO$14:$AO$36,MATCH($Z304,Settings!$AK$14:$AK$36,0))/2,INDEX(Settings!$AM$14:$AM$36,MATCH($Z304,Settings!$AK$14:$AK$36,0))/2),"")</f>
        <v/>
      </c>
      <c r="X304" s="162" t="str">
        <f t="shared" si="1091"/>
        <v/>
      </c>
      <c r="Y304" s="75"/>
      <c r="Z304" s="917" t="str">
        <f t="shared" si="1092"/>
        <v/>
      </c>
      <c r="AA304" s="82"/>
      <c r="AB304" s="75"/>
      <c r="AC304" s="75"/>
      <c r="AD304" s="166"/>
      <c r="AE304" s="75">
        <v>3.145</v>
      </c>
      <c r="AF304" s="82">
        <v>3</v>
      </c>
      <c r="AG304" s="82">
        <v>1</v>
      </c>
      <c r="AH304" s="82">
        <v>2</v>
      </c>
      <c r="AI304" s="82">
        <v>1.0000000000218279</v>
      </c>
      <c r="AJ304" s="166">
        <v>3.1452100000000001</v>
      </c>
      <c r="AK304" s="82">
        <v>3.1451099999999999</v>
      </c>
      <c r="AL304" s="162">
        <v>0</v>
      </c>
      <c r="AM304" s="162">
        <v>0</v>
      </c>
      <c r="AN304" s="162">
        <v>0</v>
      </c>
      <c r="AO304" s="162">
        <v>0</v>
      </c>
      <c r="AP304" s="162">
        <v>0</v>
      </c>
      <c r="AQ304" s="162">
        <v>0</v>
      </c>
      <c r="AR304" s="710" t="str">
        <v>1613.par</v>
      </c>
      <c r="AV304" s="82" t="str">
        <v>0,204,0</v>
      </c>
      <c r="AW304" s="947">
        <v>84.97011741683842</v>
      </c>
      <c r="AX304" s="947">
        <v>84.97011741683842</v>
      </c>
      <c r="AY304" s="947">
        <v>0</v>
      </c>
    </row>
    <row r="305" spans="2:51" ht="15.75" thickBot="1" x14ac:dyDescent="0.3">
      <c r="B305" s="660"/>
      <c r="C305" s="661"/>
      <c r="D305" s="662"/>
      <c r="E305" s="663"/>
      <c r="F305" s="661"/>
      <c r="G305" s="664"/>
      <c r="H305" s="663"/>
      <c r="I305" s="922"/>
      <c r="J305" s="926"/>
      <c r="K305" s="936" t="str">
        <f>IF($J305="","",IF(IFERROR(INDEX(Settings!$AK$14:$AK$36,MATCH((((ROUND($H305,6)*2)*1000000)+ROUND($I305,6)),Settings!$AI$14:$AI$36,0)),"Undefined")="Undefined","Undefined",IFERROR(INDEX(_xlfn.ANCHORARRAY(Settings!$BC$14),MATCH(IFERROR(INDEX(Settings!$AK$14:$AK$36,MATCH((((ROUND($H305,6)*2)*1000000)+ROUND($I305,6)),Settings!$AI$14:$AI$36,0)),"Undefined"),_xlfn.ANCHORARRAY(Settings!$BC$14),0)),"Inactive")))</f>
        <v/>
      </c>
      <c r="L305" s="944"/>
      <c r="M305" s="974"/>
      <c r="N305" s="945"/>
      <c r="O305" s="946"/>
      <c r="Q305" s="162" t="str">
        <f t="shared" si="1085"/>
        <v/>
      </c>
      <c r="R305" s="162" t="str">
        <f t="shared" si="1086"/>
        <v/>
      </c>
      <c r="S305" s="162" t="str">
        <f t="shared" si="1087"/>
        <v/>
      </c>
      <c r="T305" s="162" t="str">
        <f t="shared" si="1088"/>
        <v/>
      </c>
      <c r="U305" s="162" t="str">
        <f t="shared" si="1089"/>
        <v/>
      </c>
      <c r="V305" s="162" t="str">
        <f t="shared" si="1090"/>
        <v/>
      </c>
      <c r="W305" s="162" t="str">
        <f>IFERROR(IF(ISNUMBER(MATCH($Z305,Settings!$AK$28:$AK$36,0)),INDEX(Settings!$AO$14:$AO$36,MATCH($Z305,Settings!$AK$14:$AK$36,0))/2,INDEX(Settings!$AM$14:$AM$36,MATCH($Z305,Settings!$AK$14:$AK$36,0))/2),"")</f>
        <v/>
      </c>
      <c r="X305" s="162" t="str">
        <f t="shared" si="1091"/>
        <v/>
      </c>
      <c r="Y305" s="75"/>
      <c r="Z305" s="917" t="str">
        <f t="shared" si="1092"/>
        <v/>
      </c>
      <c r="AA305" s="82"/>
      <c r="AB305" s="75"/>
      <c r="AC305" s="75"/>
      <c r="AD305" s="166"/>
      <c r="AE305" s="75">
        <v>3.1389999999999998</v>
      </c>
      <c r="AF305" s="82">
        <v>3</v>
      </c>
      <c r="AG305" s="82">
        <v>1</v>
      </c>
      <c r="AH305" s="82">
        <v>2</v>
      </c>
      <c r="AI305" s="82">
        <v>0.99999999998544808</v>
      </c>
      <c r="AJ305" s="166">
        <v>3.1392099999999998</v>
      </c>
      <c r="AK305" s="82">
        <v>3.1391099999999996</v>
      </c>
      <c r="AL305" s="162">
        <v>0</v>
      </c>
      <c r="AM305" s="162">
        <v>0</v>
      </c>
      <c r="AN305" s="162">
        <v>0</v>
      </c>
      <c r="AO305" s="162">
        <v>0</v>
      </c>
      <c r="AP305" s="162">
        <v>0</v>
      </c>
      <c r="AQ305" s="162">
        <v>0</v>
      </c>
      <c r="AR305" s="710" t="str">
        <v>1613.par</v>
      </c>
      <c r="AV305" s="82" t="str">
        <v>0,204,0</v>
      </c>
      <c r="AW305" s="947">
        <v>81.885446807640747</v>
      </c>
      <c r="AX305" s="947">
        <v>81.885446807640747</v>
      </c>
      <c r="AY305" s="947">
        <v>0</v>
      </c>
    </row>
    <row r="306" spans="2:51" x14ac:dyDescent="0.25">
      <c r="E306" s="166"/>
      <c r="F306" s="166"/>
      <c r="G306" s="166"/>
      <c r="H306" s="135"/>
      <c r="I306" s="82"/>
      <c r="J306" s="75"/>
      <c r="Q306" s="139"/>
      <c r="R306" s="970"/>
      <c r="V306" s="971"/>
      <c r="W306" s="199"/>
      <c r="X306" s="199"/>
      <c r="AA306" s="82"/>
      <c r="AB306" s="75"/>
      <c r="AC306" s="75"/>
      <c r="AD306" s="166"/>
      <c r="AE306" s="75">
        <v>3.133</v>
      </c>
      <c r="AF306" s="82">
        <v>3</v>
      </c>
      <c r="AG306" s="82">
        <v>1</v>
      </c>
      <c r="AH306" s="82">
        <v>2</v>
      </c>
      <c r="AI306" s="82">
        <v>1.0000000000218279</v>
      </c>
      <c r="AJ306" s="166">
        <v>3.1332100000000001</v>
      </c>
      <c r="AK306" s="82">
        <v>3.1331099999999998</v>
      </c>
      <c r="AL306" s="162">
        <v>0</v>
      </c>
      <c r="AM306" s="162">
        <v>0</v>
      </c>
      <c r="AN306" s="162">
        <v>0</v>
      </c>
      <c r="AO306" s="162">
        <v>0</v>
      </c>
      <c r="AP306" s="162">
        <v>0</v>
      </c>
      <c r="AQ306" s="162">
        <v>0</v>
      </c>
      <c r="AR306" s="710" t="str">
        <v>1613.par</v>
      </c>
      <c r="AV306" s="82" t="str">
        <v>0,204,0</v>
      </c>
      <c r="AW306" s="947">
        <v>63.345987496311885</v>
      </c>
      <c r="AX306" s="947">
        <v>63.345987496311885</v>
      </c>
      <c r="AY306" s="947">
        <v>0</v>
      </c>
    </row>
    <row r="307" spans="2:51" x14ac:dyDescent="0.25">
      <c r="L307"/>
      <c r="Q307" s="139"/>
      <c r="R307" s="970"/>
      <c r="V307" s="971"/>
      <c r="W307" s="199"/>
      <c r="X307" s="199"/>
      <c r="AA307" s="82"/>
      <c r="AB307" s="75"/>
      <c r="AC307" s="75"/>
      <c r="AD307" s="166"/>
      <c r="AE307" s="75">
        <v>3.1269999999999998</v>
      </c>
      <c r="AF307" s="82">
        <v>3</v>
      </c>
      <c r="AG307" s="82">
        <v>1</v>
      </c>
      <c r="AH307" s="82">
        <v>2</v>
      </c>
      <c r="AI307" s="82">
        <v>0.99999999998544808</v>
      </c>
      <c r="AJ307" s="166">
        <v>3.1272099999999998</v>
      </c>
      <c r="AK307" s="82">
        <v>3.1271099999999996</v>
      </c>
      <c r="AL307" s="162">
        <v>0</v>
      </c>
      <c r="AM307" s="162">
        <v>0</v>
      </c>
      <c r="AN307" s="162">
        <v>0</v>
      </c>
      <c r="AO307" s="162">
        <v>0</v>
      </c>
      <c r="AP307" s="162">
        <v>0</v>
      </c>
      <c r="AQ307" s="162">
        <v>0</v>
      </c>
      <c r="AR307" s="710" t="str">
        <v>1613.par</v>
      </c>
      <c r="AV307" s="82" t="str">
        <v>0,204,0</v>
      </c>
      <c r="AW307" s="947">
        <v>44.722719194276351</v>
      </c>
      <c r="AX307" s="947">
        <v>44.722719194276351</v>
      </c>
      <c r="AY307" s="947">
        <v>0</v>
      </c>
    </row>
    <row r="308" spans="2:51" x14ac:dyDescent="0.25">
      <c r="L308"/>
      <c r="Q308" s="139"/>
      <c r="R308" s="970"/>
      <c r="V308" s="971"/>
      <c r="W308" s="199"/>
      <c r="X308" s="199"/>
      <c r="AA308" s="82"/>
      <c r="AB308" s="75"/>
      <c r="AC308" s="75"/>
      <c r="AD308" s="166"/>
      <c r="AE308" s="75">
        <v>3.121</v>
      </c>
      <c r="AF308" s="82">
        <v>3</v>
      </c>
      <c r="AG308" s="82">
        <v>1</v>
      </c>
      <c r="AH308" s="82">
        <v>2</v>
      </c>
      <c r="AI308" s="82">
        <v>1.0000000000218279</v>
      </c>
      <c r="AJ308" s="166">
        <v>3.12121</v>
      </c>
      <c r="AK308" s="82">
        <v>3.1211099999999998</v>
      </c>
      <c r="AL308" s="162">
        <v>0</v>
      </c>
      <c r="AM308" s="162">
        <v>0</v>
      </c>
      <c r="AN308" s="162">
        <v>0</v>
      </c>
      <c r="AO308" s="162">
        <v>0</v>
      </c>
      <c r="AP308" s="162">
        <v>0</v>
      </c>
      <c r="AQ308" s="162">
        <v>0</v>
      </c>
      <c r="AR308" s="710" t="str">
        <v>1613 Ripper.par</v>
      </c>
      <c r="AV308" s="82" t="str">
        <v>0,204,0</v>
      </c>
      <c r="AW308" s="947">
        <v>25.946275176386688</v>
      </c>
      <c r="AX308" s="947">
        <v>25.946275176386688</v>
      </c>
      <c r="AY308" s="947">
        <v>0</v>
      </c>
    </row>
    <row r="309" spans="2:51" x14ac:dyDescent="0.25">
      <c r="L309"/>
      <c r="Q309" s="139"/>
      <c r="R309" s="970"/>
      <c r="V309" s="971"/>
      <c r="W309" s="199"/>
      <c r="X309" s="199"/>
      <c r="AA309" s="82"/>
      <c r="AB309" s="75"/>
      <c r="AC309" s="75"/>
      <c r="AD309" s="166"/>
      <c r="AE309" s="75">
        <v>3.1150000000000002</v>
      </c>
      <c r="AF309" s="82">
        <v>3</v>
      </c>
      <c r="AG309" s="82">
        <v>1</v>
      </c>
      <c r="AH309" s="82">
        <v>2</v>
      </c>
      <c r="AI309" s="82">
        <v>1.0000000000218279</v>
      </c>
      <c r="AJ309" s="166">
        <v>3.1152100000000003</v>
      </c>
      <c r="AK309" s="82">
        <v>3.11511</v>
      </c>
      <c r="AL309" s="162">
        <v>0</v>
      </c>
      <c r="AM309" s="162">
        <v>0</v>
      </c>
      <c r="AN309" s="162">
        <v>0</v>
      </c>
      <c r="AO309" s="162">
        <v>0</v>
      </c>
      <c r="AP309" s="162">
        <v>0</v>
      </c>
      <c r="AQ309" s="162">
        <v>0</v>
      </c>
      <c r="AR309" s="710" t="str">
        <v>1613 Ripper.par</v>
      </c>
      <c r="AV309" s="82" t="str">
        <v>0,204,0</v>
      </c>
      <c r="AW309" s="947">
        <v>7.1077563806310833</v>
      </c>
      <c r="AX309" s="947">
        <v>7.1077563806310833</v>
      </c>
      <c r="AY309" s="947">
        <v>0</v>
      </c>
    </row>
    <row r="310" spans="2:51" x14ac:dyDescent="0.25">
      <c r="L310"/>
      <c r="Q310" s="139"/>
      <c r="R310" s="970"/>
      <c r="V310" s="971"/>
      <c r="W310" s="199"/>
      <c r="X310" s="199"/>
      <c r="AA310" s="82"/>
      <c r="AB310" s="75"/>
      <c r="AC310" s="75"/>
      <c r="AD310" s="166"/>
      <c r="AE310" s="75">
        <v>3.109</v>
      </c>
      <c r="AF310" s="82">
        <v>3</v>
      </c>
      <c r="AG310" s="82">
        <v>1</v>
      </c>
      <c r="AH310" s="82">
        <v>2</v>
      </c>
      <c r="AI310" s="82">
        <v>0.99999999998544808</v>
      </c>
      <c r="AJ310" s="166">
        <v>3.10921</v>
      </c>
      <c r="AK310" s="82">
        <v>3.1091099999999998</v>
      </c>
      <c r="AL310" s="162">
        <v>0</v>
      </c>
      <c r="AM310" s="162">
        <v>0</v>
      </c>
      <c r="AN310" s="162">
        <v>0</v>
      </c>
      <c r="AO310" s="162">
        <v>0</v>
      </c>
      <c r="AP310" s="162">
        <v>0</v>
      </c>
      <c r="AQ310" s="162">
        <v>0</v>
      </c>
      <c r="AR310" s="710" t="str">
        <v>1613 Ripper.par</v>
      </c>
      <c r="AV310" s="82" t="str">
        <v>0,204,0</v>
      </c>
      <c r="AW310" s="947">
        <v>-11.754573914654843</v>
      </c>
      <c r="AX310" s="947">
        <v>-11.754573914654843</v>
      </c>
      <c r="AY310" s="947">
        <v>0</v>
      </c>
    </row>
    <row r="311" spans="2:51" x14ac:dyDescent="0.25">
      <c r="L311"/>
      <c r="Q311" s="139"/>
      <c r="R311" s="970"/>
      <c r="V311" s="971"/>
      <c r="W311" s="199"/>
      <c r="X311" s="199"/>
      <c r="AA311" s="82"/>
      <c r="AB311" s="75"/>
      <c r="AC311" s="75"/>
      <c r="AD311" s="166"/>
      <c r="AE311" s="75">
        <v>3.1059999999999999</v>
      </c>
      <c r="AF311" s="82">
        <v>3</v>
      </c>
      <c r="AG311" s="82">
        <v>1</v>
      </c>
      <c r="AH311" s="82">
        <v>2</v>
      </c>
      <c r="AI311" s="82">
        <v>0.99999999998544808</v>
      </c>
      <c r="AJ311" s="166">
        <v>3.1062099999999999</v>
      </c>
      <c r="AK311" s="82">
        <v>3.1061099999999997</v>
      </c>
      <c r="AL311" s="162">
        <v>0</v>
      </c>
      <c r="AM311" s="162">
        <v>0</v>
      </c>
      <c r="AN311" s="162">
        <v>0</v>
      </c>
      <c r="AO311" s="162">
        <v>0</v>
      </c>
      <c r="AP311" s="162">
        <v>0</v>
      </c>
      <c r="AQ311" s="162">
        <v>0</v>
      </c>
      <c r="AR311" s="710" t="str">
        <v>1613 Ripper.par</v>
      </c>
      <c r="AV311" s="82" t="str">
        <v>0,204,0</v>
      </c>
      <c r="AW311" s="947">
        <v>-12.508515021959289</v>
      </c>
      <c r="AX311" s="947">
        <v>-12.508515021959289</v>
      </c>
      <c r="AY311" s="947">
        <v>0</v>
      </c>
    </row>
    <row r="312" spans="2:51" x14ac:dyDescent="0.25">
      <c r="L312"/>
      <c r="Q312" s="139"/>
      <c r="R312" s="970"/>
      <c r="V312" s="971"/>
      <c r="W312" s="199"/>
      <c r="X312" s="199"/>
      <c r="AA312" s="82"/>
      <c r="AB312" s="75"/>
      <c r="AC312" s="75"/>
      <c r="AD312" s="166"/>
      <c r="AE312" s="75">
        <v>3.1030000000000002</v>
      </c>
      <c r="AF312" s="82">
        <v>3</v>
      </c>
      <c r="AG312" s="82">
        <v>1</v>
      </c>
      <c r="AH312" s="82">
        <v>2</v>
      </c>
      <c r="AI312" s="82">
        <v>1.0000000000218279</v>
      </c>
      <c r="AJ312" s="166">
        <v>3.1032100000000002</v>
      </c>
      <c r="AK312" s="82">
        <v>3.10311</v>
      </c>
      <c r="AL312" s="162">
        <v>0</v>
      </c>
      <c r="AM312" s="162">
        <v>0</v>
      </c>
      <c r="AN312" s="162">
        <v>0</v>
      </c>
      <c r="AO312" s="162">
        <v>0</v>
      </c>
      <c r="AP312" s="162">
        <v>0</v>
      </c>
      <c r="AQ312" s="162">
        <v>0</v>
      </c>
      <c r="AR312" s="710" t="str">
        <v>1613.par</v>
      </c>
      <c r="AV312" s="82" t="str">
        <v>0,204,0</v>
      </c>
      <c r="AW312" s="947">
        <v>-14.302653650703496</v>
      </c>
      <c r="AX312" s="947">
        <v>-14.302653650703496</v>
      </c>
      <c r="AY312" s="947">
        <v>0</v>
      </c>
    </row>
    <row r="313" spans="2:51" x14ac:dyDescent="0.25">
      <c r="L313"/>
      <c r="Q313" s="139"/>
      <c r="R313" s="970"/>
      <c r="V313" s="971"/>
      <c r="W313" s="199"/>
      <c r="X313" s="199"/>
      <c r="AA313" s="82"/>
      <c r="AB313" s="75"/>
      <c r="AC313" s="75"/>
      <c r="AD313" s="166"/>
      <c r="AE313" s="75">
        <v>2.2519999999999998</v>
      </c>
      <c r="AF313" s="82">
        <v>2</v>
      </c>
      <c r="AG313" s="82">
        <v>2</v>
      </c>
      <c r="AH313" s="82">
        <v>2</v>
      </c>
      <c r="AI313" s="82">
        <v>0.99999999998544808</v>
      </c>
      <c r="AJ313" s="166">
        <v>2.2522099999999998</v>
      </c>
      <c r="AK313" s="82">
        <v>2.2521099999999996</v>
      </c>
      <c r="AL313" s="162">
        <v>0</v>
      </c>
      <c r="AM313" s="162">
        <v>0</v>
      </c>
      <c r="AN313" s="162">
        <v>0</v>
      </c>
      <c r="AO313" s="162">
        <v>0</v>
      </c>
      <c r="AP313" s="162">
        <v>0</v>
      </c>
      <c r="AQ313" s="162">
        <v>0</v>
      </c>
      <c r="AR313" s="710" t="str">
        <v>1313.par</v>
      </c>
      <c r="AV313" s="82" t="str">
        <v>255,255,91</v>
      </c>
      <c r="AW313" s="947">
        <v>100.03561890671624</v>
      </c>
      <c r="AX313" s="947">
        <v>100.03561890671624</v>
      </c>
      <c r="AY313" s="947">
        <v>0</v>
      </c>
    </row>
    <row r="314" spans="2:51" x14ac:dyDescent="0.25">
      <c r="L314"/>
      <c r="Q314" s="139"/>
      <c r="R314" s="970"/>
      <c r="V314" s="971"/>
      <c r="W314" s="199"/>
      <c r="X314" s="199"/>
      <c r="AA314" s="82"/>
      <c r="AB314" s="75"/>
      <c r="AC314" s="75"/>
      <c r="AD314" s="166"/>
      <c r="AE314" s="75">
        <v>2.246</v>
      </c>
      <c r="AF314" s="82">
        <v>2</v>
      </c>
      <c r="AG314" s="82">
        <v>2</v>
      </c>
      <c r="AH314" s="82">
        <v>2</v>
      </c>
      <c r="AI314" s="82">
        <v>1.0000000000218279</v>
      </c>
      <c r="AJ314" s="166">
        <v>2.24621</v>
      </c>
      <c r="AK314" s="82">
        <v>2.2461099999999998</v>
      </c>
      <c r="AL314" s="162">
        <v>0</v>
      </c>
      <c r="AM314" s="162">
        <v>0</v>
      </c>
      <c r="AN314" s="162">
        <v>0</v>
      </c>
      <c r="AO314" s="162">
        <v>0</v>
      </c>
      <c r="AP314" s="162">
        <v>0</v>
      </c>
      <c r="AQ314" s="162">
        <v>0</v>
      </c>
      <c r="AR314" s="710" t="str">
        <v>32193r1.par</v>
      </c>
      <c r="AV314" s="82" t="str">
        <v>255,255,91</v>
      </c>
      <c r="AW314" s="947">
        <v>89.999987005609626</v>
      </c>
      <c r="AX314" s="947">
        <v>89.999987005609626</v>
      </c>
      <c r="AY314" s="947">
        <v>0</v>
      </c>
    </row>
    <row r="315" spans="2:51" x14ac:dyDescent="0.25">
      <c r="L315"/>
      <c r="Q315" s="139"/>
      <c r="R315" s="970"/>
      <c r="V315" s="971"/>
      <c r="W315" s="199"/>
      <c r="X315" s="199"/>
      <c r="AA315" s="82"/>
      <c r="AB315" s="75"/>
      <c r="AC315" s="75"/>
      <c r="AD315" s="166"/>
      <c r="AE315" s="75">
        <v>2.2400000000000002</v>
      </c>
      <c r="AF315" s="82">
        <v>2</v>
      </c>
      <c r="AG315" s="82">
        <v>2</v>
      </c>
      <c r="AH315" s="82">
        <v>2</v>
      </c>
      <c r="AI315" s="82">
        <v>1.0000000000218279</v>
      </c>
      <c r="AJ315" s="166">
        <v>2.2402100000000003</v>
      </c>
      <c r="AK315" s="82">
        <v>2.24011</v>
      </c>
      <c r="AL315" s="162">
        <v>0</v>
      </c>
      <c r="AM315" s="162">
        <v>0</v>
      </c>
      <c r="AN315" s="162">
        <v>0</v>
      </c>
      <c r="AO315" s="162">
        <v>0</v>
      </c>
      <c r="AP315" s="162">
        <v>0</v>
      </c>
      <c r="AQ315" s="162">
        <v>0</v>
      </c>
      <c r="AR315" s="710" t="str">
        <v>32193r1.par</v>
      </c>
      <c r="AV315" s="82" t="str">
        <v>255,255,91</v>
      </c>
      <c r="AW315" s="947">
        <v>89.999987005609611</v>
      </c>
      <c r="AX315" s="947">
        <v>89.999987005609611</v>
      </c>
      <c r="AY315" s="947">
        <v>0</v>
      </c>
    </row>
    <row r="316" spans="2:51" x14ac:dyDescent="0.25">
      <c r="L316"/>
      <c r="Q316" s="139"/>
      <c r="R316" s="970"/>
      <c r="V316" s="971"/>
      <c r="W316" s="199"/>
      <c r="X316" s="199"/>
      <c r="AA316" s="82"/>
      <c r="AB316" s="75"/>
      <c r="AC316" s="75"/>
      <c r="AD316" s="166"/>
      <c r="AE316" s="75">
        <v>2.234</v>
      </c>
      <c r="AF316" s="82">
        <v>2</v>
      </c>
      <c r="AG316" s="82">
        <v>2</v>
      </c>
      <c r="AH316" s="82">
        <v>2</v>
      </c>
      <c r="AI316" s="82">
        <v>0.99999999998544808</v>
      </c>
      <c r="AJ316" s="166">
        <v>2.23421</v>
      </c>
      <c r="AK316" s="82">
        <v>2.2341099999999998</v>
      </c>
      <c r="AL316" s="162">
        <v>0</v>
      </c>
      <c r="AM316" s="162">
        <v>0</v>
      </c>
      <c r="AN316" s="162">
        <v>0</v>
      </c>
      <c r="AO316" s="162">
        <v>0</v>
      </c>
      <c r="AP316" s="162">
        <v>0</v>
      </c>
      <c r="AQ316" s="162">
        <v>0</v>
      </c>
      <c r="AR316" s="710" t="str">
        <v>32193r1.par</v>
      </c>
      <c r="AV316" s="82" t="str">
        <v>255,255,91</v>
      </c>
      <c r="AW316" s="947">
        <v>68.999990037634035</v>
      </c>
      <c r="AX316" s="947">
        <v>68.999990037634035</v>
      </c>
      <c r="AY316" s="947">
        <v>0</v>
      </c>
    </row>
    <row r="317" spans="2:51" x14ac:dyDescent="0.25">
      <c r="L317"/>
      <c r="Q317" s="139"/>
      <c r="R317" s="970"/>
      <c r="V317" s="971"/>
      <c r="W317" s="199"/>
      <c r="X317" s="199"/>
      <c r="AA317" s="82"/>
      <c r="AB317" s="75"/>
      <c r="AC317" s="75"/>
      <c r="AD317" s="166"/>
      <c r="AE317" s="75">
        <v>2.2280000000000002</v>
      </c>
      <c r="AF317" s="82">
        <v>2</v>
      </c>
      <c r="AG317" s="82">
        <v>2</v>
      </c>
      <c r="AH317" s="82">
        <v>2</v>
      </c>
      <c r="AI317" s="82">
        <v>1.0000000000218279</v>
      </c>
      <c r="AJ317" s="166">
        <v>2.2282100000000002</v>
      </c>
      <c r="AK317" s="82">
        <v>2.22811</v>
      </c>
      <c r="AL317" s="162">
        <v>0</v>
      </c>
      <c r="AM317" s="162">
        <v>0</v>
      </c>
      <c r="AN317" s="162">
        <v>0</v>
      </c>
      <c r="AO317" s="162">
        <v>0</v>
      </c>
      <c r="AP317" s="162">
        <v>0</v>
      </c>
      <c r="AQ317" s="162">
        <v>0</v>
      </c>
      <c r="AR317" s="710" t="str">
        <v>32193r1.par</v>
      </c>
      <c r="AV317" s="82" t="str">
        <v>255,255,91</v>
      </c>
      <c r="AW317" s="947">
        <v>47.999993069658451</v>
      </c>
      <c r="AX317" s="947">
        <v>47.999993069658451</v>
      </c>
      <c r="AY317" s="947">
        <v>0</v>
      </c>
    </row>
    <row r="318" spans="2:51" x14ac:dyDescent="0.25">
      <c r="L318"/>
      <c r="Q318" s="139"/>
      <c r="R318" s="970"/>
      <c r="V318" s="971"/>
      <c r="W318" s="199"/>
      <c r="X318" s="199"/>
      <c r="AA318" s="82"/>
      <c r="AB318" s="75"/>
      <c r="AC318" s="75"/>
      <c r="AD318" s="166"/>
      <c r="AE318" s="75">
        <v>2.222</v>
      </c>
      <c r="AF318" s="82">
        <v>2</v>
      </c>
      <c r="AG318" s="82">
        <v>2</v>
      </c>
      <c r="AH318" s="82">
        <v>2</v>
      </c>
      <c r="AI318" s="82">
        <v>0.99999999998544808</v>
      </c>
      <c r="AJ318" s="166">
        <v>2.22221</v>
      </c>
      <c r="AK318" s="82">
        <v>2.2221099999999998</v>
      </c>
      <c r="AL318" s="162">
        <v>0</v>
      </c>
      <c r="AM318" s="162">
        <v>0</v>
      </c>
      <c r="AN318" s="162">
        <v>0</v>
      </c>
      <c r="AO318" s="162">
        <v>0</v>
      </c>
      <c r="AP318" s="162">
        <v>0</v>
      </c>
      <c r="AQ318" s="162">
        <v>0</v>
      </c>
      <c r="AR318" s="710" t="str">
        <v>32193r1.par</v>
      </c>
      <c r="AV318" s="82" t="str">
        <v>255,255,91</v>
      </c>
      <c r="AW318" s="947">
        <v>26.999996101682878</v>
      </c>
      <c r="AX318" s="947">
        <v>26.999996101682878</v>
      </c>
      <c r="AY318" s="947">
        <v>0</v>
      </c>
    </row>
    <row r="319" spans="2:51" x14ac:dyDescent="0.25">
      <c r="L319"/>
      <c r="Q319" s="139"/>
      <c r="R319" s="970"/>
      <c r="V319" s="971"/>
      <c r="W319" s="199"/>
      <c r="X319" s="199"/>
      <c r="AA319" s="82"/>
      <c r="AB319" s="75"/>
      <c r="AC319" s="75"/>
      <c r="AD319" s="166"/>
      <c r="AE319" s="75">
        <v>2.2160000000000002</v>
      </c>
      <c r="AF319" s="82">
        <v>2</v>
      </c>
      <c r="AG319" s="82">
        <v>2</v>
      </c>
      <c r="AH319" s="82">
        <v>2</v>
      </c>
      <c r="AI319" s="82">
        <v>1.0000000000218279</v>
      </c>
      <c r="AJ319" s="166">
        <v>2.2162100000000002</v>
      </c>
      <c r="AK319" s="82">
        <v>2.21611</v>
      </c>
      <c r="AL319" s="162">
        <v>0</v>
      </c>
      <c r="AM319" s="162">
        <v>0</v>
      </c>
      <c r="AN319" s="162">
        <v>0</v>
      </c>
      <c r="AO319" s="162">
        <v>0</v>
      </c>
      <c r="AP319" s="162">
        <v>0</v>
      </c>
      <c r="AQ319" s="162">
        <v>0</v>
      </c>
      <c r="AR319" s="710" t="str">
        <v>32193r1.par</v>
      </c>
      <c r="AV319" s="82" t="str">
        <v>255,255,91</v>
      </c>
      <c r="AW319" s="947">
        <v>5.9999991337073082</v>
      </c>
      <c r="AX319" s="947">
        <v>5.9999991337073082</v>
      </c>
      <c r="AY319" s="947">
        <v>0</v>
      </c>
    </row>
    <row r="320" spans="2:51" x14ac:dyDescent="0.25">
      <c r="L320"/>
      <c r="Q320" s="139"/>
      <c r="R320" s="970"/>
      <c r="V320" s="971"/>
      <c r="W320" s="199"/>
      <c r="X320" s="199"/>
      <c r="AA320" s="82"/>
      <c r="AB320" s="75"/>
      <c r="AC320" s="75"/>
      <c r="AD320" s="166"/>
      <c r="AE320" s="75">
        <v>2.1459999999999999</v>
      </c>
      <c r="AF320" s="82">
        <v>2</v>
      </c>
      <c r="AG320" s="82">
        <v>1</v>
      </c>
      <c r="AH320" s="82">
        <v>2</v>
      </c>
      <c r="AI320" s="82">
        <v>0.99999999998544808</v>
      </c>
      <c r="AJ320" s="166">
        <v>2.14621</v>
      </c>
      <c r="AK320" s="82">
        <v>2.1461099999999997</v>
      </c>
      <c r="AL320" s="162">
        <v>0</v>
      </c>
      <c r="AM320" s="162">
        <v>0</v>
      </c>
      <c r="AN320" s="162">
        <v>0</v>
      </c>
      <c r="AO320" s="162">
        <v>0</v>
      </c>
      <c r="AP320" s="162">
        <v>0</v>
      </c>
      <c r="AQ320" s="162">
        <v>0</v>
      </c>
      <c r="AR320" s="710" t="str">
        <v>1613.par</v>
      </c>
      <c r="AV320" s="82" t="str">
        <v>204,204,0</v>
      </c>
      <c r="AW320" s="947">
        <v>84.97011741683842</v>
      </c>
      <c r="AX320" s="947">
        <v>84.97011741683842</v>
      </c>
      <c r="AY320" s="947">
        <v>0</v>
      </c>
    </row>
    <row r="321" spans="12:51" x14ac:dyDescent="0.25">
      <c r="L321"/>
      <c r="Q321" s="139"/>
      <c r="R321" s="970"/>
      <c r="V321" s="971"/>
      <c r="W321" s="199"/>
      <c r="X321" s="199"/>
      <c r="AA321" s="82"/>
      <c r="AB321" s="75"/>
      <c r="AC321" s="75"/>
      <c r="AD321" s="166"/>
      <c r="AE321" s="75">
        <v>2.14</v>
      </c>
      <c r="AF321" s="82">
        <v>2</v>
      </c>
      <c r="AG321" s="82">
        <v>1</v>
      </c>
      <c r="AH321" s="82">
        <v>2</v>
      </c>
      <c r="AI321" s="82">
        <v>1.0000000000218279</v>
      </c>
      <c r="AJ321" s="166">
        <v>2.1402100000000002</v>
      </c>
      <c r="AK321" s="82">
        <v>2.14011</v>
      </c>
      <c r="AL321" s="162">
        <v>0</v>
      </c>
      <c r="AM321" s="162">
        <v>0</v>
      </c>
      <c r="AN321" s="162">
        <v>0</v>
      </c>
      <c r="AO321" s="162">
        <v>0</v>
      </c>
      <c r="AP321" s="162">
        <v>0</v>
      </c>
      <c r="AQ321" s="162">
        <v>0</v>
      </c>
      <c r="AR321" s="710" t="str">
        <v>1613.par</v>
      </c>
      <c r="AV321" s="82" t="str">
        <v>204,204,0</v>
      </c>
      <c r="AW321" s="947">
        <v>84.969949372155938</v>
      </c>
      <c r="AX321" s="947">
        <v>84.969949372155938</v>
      </c>
      <c r="AY321" s="947">
        <v>0</v>
      </c>
    </row>
    <row r="322" spans="12:51" x14ac:dyDescent="0.25">
      <c r="L322"/>
      <c r="Q322" s="139"/>
      <c r="R322" s="970"/>
      <c r="V322" s="971"/>
      <c r="W322" s="199"/>
      <c r="X322" s="199"/>
      <c r="AA322" s="82"/>
      <c r="AB322" s="75"/>
      <c r="AC322" s="75"/>
      <c r="AD322" s="166"/>
      <c r="AE322" s="75">
        <v>2.1339999999999999</v>
      </c>
      <c r="AF322" s="82">
        <v>2</v>
      </c>
      <c r="AG322" s="82">
        <v>1</v>
      </c>
      <c r="AH322" s="82">
        <v>2</v>
      </c>
      <c r="AI322" s="82">
        <v>0.99999999998544808</v>
      </c>
      <c r="AJ322" s="166">
        <v>2.1342099999999999</v>
      </c>
      <c r="AK322" s="82">
        <v>2.1341099999999997</v>
      </c>
      <c r="AL322" s="162">
        <v>0</v>
      </c>
      <c r="AM322" s="162">
        <v>0</v>
      </c>
      <c r="AN322" s="162">
        <v>0</v>
      </c>
      <c r="AO322" s="162">
        <v>0</v>
      </c>
      <c r="AP322" s="162">
        <v>0</v>
      </c>
      <c r="AQ322" s="162">
        <v>0</v>
      </c>
      <c r="AR322" s="710" t="str">
        <v>1613.par</v>
      </c>
      <c r="AV322" s="82" t="str">
        <v>204,204,0</v>
      </c>
      <c r="AW322" s="947">
        <v>66.440489504246187</v>
      </c>
      <c r="AX322" s="947">
        <v>66.440489504246187</v>
      </c>
      <c r="AY322" s="947">
        <v>0</v>
      </c>
    </row>
    <row r="323" spans="12:51" x14ac:dyDescent="0.25">
      <c r="L323"/>
      <c r="Q323" s="139"/>
      <c r="R323" s="970"/>
      <c r="V323" s="971"/>
      <c r="W323" s="199"/>
      <c r="X323" s="199"/>
      <c r="AA323" s="82"/>
      <c r="AB323" s="75"/>
      <c r="AC323" s="75"/>
      <c r="AD323" s="166"/>
      <c r="AE323" s="75">
        <v>2.1280000000000001</v>
      </c>
      <c r="AF323" s="82">
        <v>2</v>
      </c>
      <c r="AG323" s="82">
        <v>1</v>
      </c>
      <c r="AH323" s="82">
        <v>2</v>
      </c>
      <c r="AI323" s="82">
        <v>1.0000000000218279</v>
      </c>
      <c r="AJ323" s="166">
        <v>2.1282100000000002</v>
      </c>
      <c r="AK323" s="82">
        <v>2.1281099999999999</v>
      </c>
      <c r="AL323" s="162">
        <v>0</v>
      </c>
      <c r="AM323" s="162">
        <v>0</v>
      </c>
      <c r="AN323" s="162">
        <v>0</v>
      </c>
      <c r="AO323" s="162">
        <v>0</v>
      </c>
      <c r="AP323" s="162">
        <v>0</v>
      </c>
      <c r="AQ323" s="162">
        <v>0</v>
      </c>
      <c r="AR323" s="710" t="str">
        <v>1613.par</v>
      </c>
      <c r="AV323" s="82" t="str">
        <v>204,204,0</v>
      </c>
      <c r="AW323" s="947">
        <v>47.834713669325687</v>
      </c>
      <c r="AX323" s="947">
        <v>47.834713669325687</v>
      </c>
      <c r="AY323" s="947">
        <v>0</v>
      </c>
    </row>
    <row r="324" spans="12:51" x14ac:dyDescent="0.25">
      <c r="L324"/>
      <c r="Q324" s="139"/>
      <c r="R324" s="970"/>
      <c r="V324" s="971"/>
      <c r="W324" s="199"/>
      <c r="X324" s="199"/>
      <c r="AA324" s="82"/>
      <c r="AB324" s="75"/>
      <c r="AC324" s="75"/>
      <c r="AD324" s="166"/>
      <c r="AE324" s="75">
        <v>2.1219999999999999</v>
      </c>
      <c r="AF324" s="82">
        <v>2</v>
      </c>
      <c r="AG324" s="82">
        <v>1</v>
      </c>
      <c r="AH324" s="82">
        <v>2</v>
      </c>
      <c r="AI324" s="82">
        <v>0.99999999998544808</v>
      </c>
      <c r="AJ324" s="166">
        <v>2.1222099999999999</v>
      </c>
      <c r="AK324" s="82">
        <v>2.1221099999999997</v>
      </c>
      <c r="AL324" s="162">
        <v>0</v>
      </c>
      <c r="AM324" s="162">
        <v>0</v>
      </c>
      <c r="AN324" s="162">
        <v>0</v>
      </c>
      <c r="AO324" s="162">
        <v>0</v>
      </c>
      <c r="AP324" s="162">
        <v>0</v>
      </c>
      <c r="AQ324" s="162">
        <v>0</v>
      </c>
      <c r="AR324" s="710" t="str">
        <v>1613.par</v>
      </c>
      <c r="AV324" s="82" t="str">
        <v>204,204,0</v>
      </c>
      <c r="AW324" s="947">
        <v>29.091158349317926</v>
      </c>
      <c r="AX324" s="947">
        <v>29.091158349317926</v>
      </c>
      <c r="AY324" s="947">
        <v>0</v>
      </c>
    </row>
    <row r="325" spans="12:51" x14ac:dyDescent="0.25">
      <c r="L325"/>
      <c r="Q325" s="139"/>
      <c r="R325" s="970"/>
      <c r="V325" s="971"/>
      <c r="W325" s="199"/>
      <c r="X325" s="199"/>
      <c r="AA325" s="82"/>
      <c r="AB325" s="75"/>
      <c r="AC325" s="75"/>
      <c r="AD325" s="166"/>
      <c r="AE325" s="75">
        <v>2.1160000000000001</v>
      </c>
      <c r="AF325" s="82">
        <v>2</v>
      </c>
      <c r="AG325" s="82">
        <v>1</v>
      </c>
      <c r="AH325" s="82">
        <v>2</v>
      </c>
      <c r="AI325" s="82">
        <v>1.0000000000218279</v>
      </c>
      <c r="AJ325" s="166">
        <v>2.1162100000000001</v>
      </c>
      <c r="AK325" s="82">
        <v>2.1161099999999999</v>
      </c>
      <c r="AL325" s="162">
        <v>0</v>
      </c>
      <c r="AM325" s="162">
        <v>0</v>
      </c>
      <c r="AN325" s="162">
        <v>0</v>
      </c>
      <c r="AO325" s="162">
        <v>0</v>
      </c>
      <c r="AP325" s="162">
        <v>0</v>
      </c>
      <c r="AQ325" s="162">
        <v>0</v>
      </c>
      <c r="AR325" s="710" t="str">
        <v>1613 Ripper.par</v>
      </c>
      <c r="AV325" s="82" t="str">
        <v>204,204,0</v>
      </c>
      <c r="AW325" s="947">
        <v>10.242376499105918</v>
      </c>
      <c r="AX325" s="947">
        <v>10.242376499105918</v>
      </c>
      <c r="AY325" s="947">
        <v>0</v>
      </c>
    </row>
    <row r="326" spans="12:51" x14ac:dyDescent="0.25">
      <c r="L326"/>
      <c r="Q326" s="139"/>
      <c r="R326" s="970"/>
      <c r="V326" s="971"/>
      <c r="W326" s="199"/>
      <c r="X326" s="199"/>
      <c r="AA326" s="82"/>
      <c r="AB326" s="75"/>
      <c r="AC326" s="75"/>
      <c r="AD326" s="166"/>
      <c r="AE326" s="75">
        <v>2.11</v>
      </c>
      <c r="AF326" s="82">
        <v>2</v>
      </c>
      <c r="AG326" s="82">
        <v>1</v>
      </c>
      <c r="AH326" s="82">
        <v>2</v>
      </c>
      <c r="AI326" s="82">
        <v>0.99999999998544808</v>
      </c>
      <c r="AJ326" s="166">
        <v>2.1102099999999999</v>
      </c>
      <c r="AK326" s="82">
        <v>2.1101099999999997</v>
      </c>
      <c r="AL326" s="162">
        <v>0</v>
      </c>
      <c r="AM326" s="162">
        <v>0</v>
      </c>
      <c r="AN326" s="162">
        <v>0</v>
      </c>
      <c r="AO326" s="162">
        <v>0</v>
      </c>
      <c r="AP326" s="162">
        <v>0</v>
      </c>
      <c r="AQ326" s="162">
        <v>0</v>
      </c>
      <c r="AR326" s="710" t="str">
        <v>1613 Ripper.par</v>
      </c>
      <c r="AV326" s="82" t="str">
        <v>204,204,0</v>
      </c>
      <c r="AW326" s="947">
        <v>-8.604830320611164</v>
      </c>
      <c r="AX326" s="947">
        <v>-8.604830320611164</v>
      </c>
      <c r="AY326" s="947">
        <v>0</v>
      </c>
    </row>
    <row r="327" spans="12:51" x14ac:dyDescent="0.25">
      <c r="L327"/>
      <c r="Q327" s="139"/>
      <c r="R327" s="970"/>
      <c r="V327" s="971"/>
      <c r="W327" s="199"/>
      <c r="X327" s="199"/>
      <c r="AA327" s="82"/>
      <c r="AB327" s="75"/>
      <c r="AC327" s="75"/>
      <c r="AD327" s="166"/>
      <c r="AE327" s="75">
        <v>1.2529999999999999</v>
      </c>
      <c r="AF327" s="82">
        <v>1</v>
      </c>
      <c r="AG327" s="82">
        <v>2</v>
      </c>
      <c r="AH327" s="82">
        <v>2</v>
      </c>
      <c r="AI327" s="82">
        <v>0.99999999998544808</v>
      </c>
      <c r="AJ327" s="166">
        <v>1.2532099999999999</v>
      </c>
      <c r="AK327" s="82">
        <v>1.2531099999999999</v>
      </c>
      <c r="AL327" s="162">
        <v>0</v>
      </c>
      <c r="AM327" s="162">
        <v>0</v>
      </c>
      <c r="AN327" s="162">
        <v>0</v>
      </c>
      <c r="AO327" s="162">
        <v>0</v>
      </c>
      <c r="AP327" s="162">
        <v>0</v>
      </c>
      <c r="AQ327" s="162">
        <v>0</v>
      </c>
      <c r="AR327" s="710" t="str">
        <v>1313.par</v>
      </c>
      <c r="AV327" s="82" t="str">
        <v>255,188,121</v>
      </c>
      <c r="AW327" s="947">
        <v>100.03561890671624</v>
      </c>
      <c r="AX327" s="947">
        <v>100.03561890671624</v>
      </c>
      <c r="AY327" s="947">
        <v>0</v>
      </c>
    </row>
    <row r="328" spans="12:51" x14ac:dyDescent="0.25">
      <c r="L328"/>
      <c r="Q328" s="139"/>
      <c r="R328" s="970"/>
      <c r="V328" s="971"/>
      <c r="W328" s="199"/>
      <c r="X328" s="199"/>
      <c r="AA328" s="82"/>
      <c r="AB328" s="75"/>
      <c r="AC328" s="75"/>
      <c r="AD328" s="166"/>
      <c r="AE328" s="75">
        <v>1.2470000000000001</v>
      </c>
      <c r="AF328" s="82">
        <v>1</v>
      </c>
      <c r="AG328" s="82">
        <v>2</v>
      </c>
      <c r="AH328" s="82">
        <v>2</v>
      </c>
      <c r="AI328" s="82">
        <v>1.0000000000218279</v>
      </c>
      <c r="AJ328" s="166">
        <v>1.2472100000000002</v>
      </c>
      <c r="AK328" s="82">
        <v>1.2471100000000002</v>
      </c>
      <c r="AL328" s="162">
        <v>0</v>
      </c>
      <c r="AM328" s="162">
        <v>0</v>
      </c>
      <c r="AN328" s="162">
        <v>0</v>
      </c>
      <c r="AO328" s="162">
        <v>0</v>
      </c>
      <c r="AP328" s="162">
        <v>0</v>
      </c>
      <c r="AQ328" s="162">
        <v>0</v>
      </c>
      <c r="AR328" s="710" t="str">
        <v>32193r1.par</v>
      </c>
      <c r="AV328" s="82" t="str">
        <v>255,188,121</v>
      </c>
      <c r="AW328" s="947">
        <v>89.999987005609597</v>
      </c>
      <c r="AX328" s="947">
        <v>89.999987005609597</v>
      </c>
      <c r="AY328" s="947">
        <v>0</v>
      </c>
    </row>
    <row r="329" spans="12:51" x14ac:dyDescent="0.25">
      <c r="L329"/>
      <c r="AA329" s="82"/>
      <c r="AB329" s="75"/>
      <c r="AC329" s="75"/>
      <c r="AD329" s="166"/>
      <c r="AE329" s="75">
        <v>1.2410000000000001</v>
      </c>
      <c r="AF329" s="82">
        <v>1</v>
      </c>
      <c r="AG329" s="82">
        <v>2</v>
      </c>
      <c r="AH329" s="82">
        <v>2</v>
      </c>
      <c r="AI329" s="82">
        <v>1.0000000000218279</v>
      </c>
      <c r="AJ329" s="166">
        <v>1.2412100000000001</v>
      </c>
      <c r="AK329" s="82">
        <v>1.2411100000000002</v>
      </c>
      <c r="AL329" s="162">
        <v>0</v>
      </c>
      <c r="AM329" s="162">
        <v>0</v>
      </c>
      <c r="AN329" s="162">
        <v>0</v>
      </c>
      <c r="AO329" s="162">
        <v>0</v>
      </c>
      <c r="AP329" s="162">
        <v>0</v>
      </c>
      <c r="AQ329" s="162">
        <v>0</v>
      </c>
      <c r="AR329" s="710" t="str">
        <v>32193r1.par</v>
      </c>
      <c r="AV329" s="82" t="str">
        <v>255,188,121</v>
      </c>
      <c r="AW329" s="947">
        <v>89.999987005609611</v>
      </c>
      <c r="AX329" s="947">
        <v>89.999987005609611</v>
      </c>
      <c r="AY329" s="947">
        <v>0</v>
      </c>
    </row>
    <row r="330" spans="12:51" x14ac:dyDescent="0.25">
      <c r="L330"/>
      <c r="AA330" s="82"/>
      <c r="AB330" s="75"/>
      <c r="AC330" s="75"/>
      <c r="AD330" s="166"/>
      <c r="AE330" s="75">
        <v>1.2350000000000001</v>
      </c>
      <c r="AF330" s="82">
        <v>1</v>
      </c>
      <c r="AG330" s="82">
        <v>2</v>
      </c>
      <c r="AH330" s="82">
        <v>2</v>
      </c>
      <c r="AI330" s="82">
        <v>1.0000000000218279</v>
      </c>
      <c r="AJ330" s="166">
        <v>1.2352100000000001</v>
      </c>
      <c r="AK330" s="82">
        <v>1.2351100000000002</v>
      </c>
      <c r="AL330" s="162">
        <v>0</v>
      </c>
      <c r="AM330" s="162">
        <v>0</v>
      </c>
      <c r="AN330" s="162">
        <v>0</v>
      </c>
      <c r="AO330" s="162">
        <v>0</v>
      </c>
      <c r="AP330" s="162">
        <v>0</v>
      </c>
      <c r="AQ330" s="162">
        <v>0</v>
      </c>
      <c r="AR330" s="710" t="str">
        <v>1313.par</v>
      </c>
      <c r="AV330" s="82" t="str">
        <v>255,188,121</v>
      </c>
      <c r="AW330" s="947">
        <v>69.566043588691343</v>
      </c>
      <c r="AX330" s="947">
        <v>69.566043588691343</v>
      </c>
      <c r="AY330" s="947">
        <v>0</v>
      </c>
    </row>
    <row r="331" spans="12:51" x14ac:dyDescent="0.25">
      <c r="L331"/>
      <c r="AA331" s="82"/>
      <c r="AB331" s="75"/>
      <c r="AC331" s="75"/>
      <c r="AD331" s="166"/>
      <c r="AE331" s="75">
        <v>1.2290000000000001</v>
      </c>
      <c r="AF331" s="82">
        <v>1</v>
      </c>
      <c r="AG331" s="82">
        <v>2</v>
      </c>
      <c r="AH331" s="82">
        <v>2</v>
      </c>
      <c r="AI331" s="82">
        <v>1.0000000000218279</v>
      </c>
      <c r="AJ331" s="166">
        <v>1.2292100000000001</v>
      </c>
      <c r="AK331" s="82">
        <v>1.2291100000000001</v>
      </c>
      <c r="AL331" s="162">
        <v>0</v>
      </c>
      <c r="AM331" s="162">
        <v>0</v>
      </c>
      <c r="AN331" s="162">
        <v>0</v>
      </c>
      <c r="AO331" s="162">
        <v>0</v>
      </c>
      <c r="AP331" s="162">
        <v>0</v>
      </c>
      <c r="AQ331" s="162">
        <v>0</v>
      </c>
      <c r="AR331" s="710" t="str">
        <v>1313.par</v>
      </c>
      <c r="AV331" s="82" t="str">
        <v>255,188,121</v>
      </c>
      <c r="AW331" s="947">
        <v>51.026324417745535</v>
      </c>
      <c r="AX331" s="947">
        <v>51.026324417745535</v>
      </c>
      <c r="AY331" s="947">
        <v>0</v>
      </c>
    </row>
    <row r="332" spans="12:51" x14ac:dyDescent="0.25">
      <c r="L332"/>
      <c r="AA332" s="82"/>
      <c r="AB332" s="75"/>
      <c r="AC332" s="75"/>
      <c r="AD332" s="166"/>
      <c r="AE332" s="75">
        <v>1.2230000000000001</v>
      </c>
      <c r="AF332" s="82">
        <v>1</v>
      </c>
      <c r="AG332" s="82">
        <v>2</v>
      </c>
      <c r="AH332" s="82">
        <v>2</v>
      </c>
      <c r="AI332" s="82">
        <v>1.0000000000218279</v>
      </c>
      <c r="AJ332" s="166">
        <v>1.2232100000000001</v>
      </c>
      <c r="AK332" s="82">
        <v>1.2231100000000001</v>
      </c>
      <c r="AL332" s="162">
        <v>0</v>
      </c>
      <c r="AM332" s="162">
        <v>0</v>
      </c>
      <c r="AN332" s="162">
        <v>0</v>
      </c>
      <c r="AO332" s="162">
        <v>0</v>
      </c>
      <c r="AP332" s="162">
        <v>0</v>
      </c>
      <c r="AQ332" s="162">
        <v>0</v>
      </c>
      <c r="AR332" s="710" t="str">
        <v>1313.par</v>
      </c>
      <c r="AV332" s="82" t="str">
        <v>255,188,121</v>
      </c>
      <c r="AW332" s="947">
        <v>32.403257224374144</v>
      </c>
      <c r="AX332" s="947">
        <v>32.403257224374144</v>
      </c>
      <c r="AY332" s="947">
        <v>0</v>
      </c>
    </row>
    <row r="333" spans="12:51" x14ac:dyDescent="0.25">
      <c r="L333"/>
      <c r="AA333" s="82"/>
      <c r="AB333" s="75"/>
      <c r="AC333" s="75"/>
      <c r="AD333" s="166"/>
      <c r="AE333" s="75">
        <v>1.2170000000000001</v>
      </c>
      <c r="AF333" s="82">
        <v>1</v>
      </c>
      <c r="AG333" s="82">
        <v>2</v>
      </c>
      <c r="AH333" s="82">
        <v>2</v>
      </c>
      <c r="AI333" s="82">
        <v>1.000000000003638</v>
      </c>
      <c r="AJ333" s="166">
        <v>1.2172100000000001</v>
      </c>
      <c r="AK333" s="82">
        <v>1.2171100000000001</v>
      </c>
      <c r="AL333" s="162">
        <v>0</v>
      </c>
      <c r="AM333" s="162">
        <v>0</v>
      </c>
      <c r="AN333" s="162">
        <v>0</v>
      </c>
      <c r="AO333" s="162">
        <v>0</v>
      </c>
      <c r="AP333" s="162">
        <v>0</v>
      </c>
      <c r="AQ333" s="162">
        <v>0</v>
      </c>
      <c r="AR333" s="710" t="str">
        <v>32193r1.par</v>
      </c>
      <c r="AV333" s="82" t="str">
        <v>255,188,121</v>
      </c>
      <c r="AW333" s="947">
        <v>5.9999991337073153</v>
      </c>
      <c r="AX333" s="947">
        <v>5.9999991337073153</v>
      </c>
      <c r="AY333" s="947">
        <v>0</v>
      </c>
    </row>
    <row r="334" spans="12:51" x14ac:dyDescent="0.25">
      <c r="L334"/>
      <c r="AA334" s="82"/>
      <c r="AB334" s="75"/>
      <c r="AC334" s="75"/>
      <c r="AD334" s="166"/>
      <c r="AE334" s="75">
        <v>1.147</v>
      </c>
      <c r="AF334" s="82">
        <v>1</v>
      </c>
      <c r="AG334" s="82">
        <v>1</v>
      </c>
      <c r="AH334" s="82">
        <v>2</v>
      </c>
      <c r="AI334" s="82">
        <v>1.000000000003638</v>
      </c>
      <c r="AJ334" s="166">
        <v>1.1472100000000001</v>
      </c>
      <c r="AK334" s="82">
        <v>1.1471100000000001</v>
      </c>
      <c r="AL334" s="162">
        <v>0</v>
      </c>
      <c r="AM334" s="162">
        <v>0</v>
      </c>
      <c r="AN334" s="162">
        <v>0</v>
      </c>
      <c r="AO334" s="162">
        <v>0</v>
      </c>
      <c r="AP334" s="162">
        <v>0</v>
      </c>
      <c r="AQ334" s="162">
        <v>0</v>
      </c>
      <c r="AR334" s="710" t="str">
        <v>1613.par</v>
      </c>
      <c r="AV334" s="82" t="str">
        <v>255,127,0</v>
      </c>
      <c r="AW334" s="947">
        <v>84.970117416838434</v>
      </c>
      <c r="AX334" s="947">
        <v>84.970117416838434</v>
      </c>
      <c r="AY334" s="947">
        <v>0</v>
      </c>
    </row>
    <row r="335" spans="12:51" x14ac:dyDescent="0.25">
      <c r="L335"/>
      <c r="AA335" s="82"/>
      <c r="AB335" s="75"/>
      <c r="AC335" s="75"/>
      <c r="AD335" s="166"/>
      <c r="AE335" s="75">
        <v>1.141</v>
      </c>
      <c r="AF335" s="82">
        <v>1</v>
      </c>
      <c r="AG335" s="82">
        <v>1</v>
      </c>
      <c r="AH335" s="82">
        <v>2</v>
      </c>
      <c r="AI335" s="82">
        <v>1.000000000003638</v>
      </c>
      <c r="AJ335" s="166">
        <v>1.1412100000000001</v>
      </c>
      <c r="AK335" s="82">
        <v>1.1411100000000001</v>
      </c>
      <c r="AL335" s="162">
        <v>0</v>
      </c>
      <c r="AM335" s="162">
        <v>0</v>
      </c>
      <c r="AN335" s="162">
        <v>0</v>
      </c>
      <c r="AO335" s="162">
        <v>0</v>
      </c>
      <c r="AP335" s="162">
        <v>0</v>
      </c>
      <c r="AQ335" s="162">
        <v>0</v>
      </c>
      <c r="AR335" s="710" t="str">
        <v>1613.par</v>
      </c>
      <c r="AV335" s="82" t="str">
        <v>255,127,0</v>
      </c>
      <c r="AW335" s="947">
        <v>84.96994937215598</v>
      </c>
      <c r="AX335" s="947">
        <v>84.96994937215598</v>
      </c>
      <c r="AY335" s="947">
        <v>0</v>
      </c>
    </row>
    <row r="336" spans="12:51" x14ac:dyDescent="0.25">
      <c r="L336"/>
      <c r="AA336" s="82"/>
      <c r="AB336" s="75"/>
      <c r="AC336" s="75"/>
      <c r="AD336" s="166"/>
      <c r="AE336" s="75">
        <v>1.135</v>
      </c>
      <c r="AF336" s="82">
        <v>1</v>
      </c>
      <c r="AG336" s="82">
        <v>1</v>
      </c>
      <c r="AH336" s="82">
        <v>2</v>
      </c>
      <c r="AI336" s="82">
        <v>1.000000000003638</v>
      </c>
      <c r="AJ336" s="166">
        <v>1.1352100000000001</v>
      </c>
      <c r="AK336" s="82">
        <v>1.1351100000000001</v>
      </c>
      <c r="AL336" s="162">
        <v>0</v>
      </c>
      <c r="AM336" s="162">
        <v>0</v>
      </c>
      <c r="AN336" s="162">
        <v>0</v>
      </c>
      <c r="AO336" s="162">
        <v>0</v>
      </c>
      <c r="AP336" s="162">
        <v>0</v>
      </c>
      <c r="AQ336" s="162">
        <v>0</v>
      </c>
      <c r="AR336" s="710" t="str">
        <v>1613.par</v>
      </c>
      <c r="AV336" s="82" t="str">
        <v>255,127,0</v>
      </c>
      <c r="AW336" s="947">
        <v>69.53293472939626</v>
      </c>
      <c r="AX336" s="947">
        <v>69.53293472939626</v>
      </c>
      <c r="AY336" s="947">
        <v>0</v>
      </c>
    </row>
    <row r="337" spans="12:51" x14ac:dyDescent="0.25">
      <c r="L337"/>
      <c r="AA337" s="82"/>
      <c r="AB337" s="75"/>
      <c r="AC337" s="75"/>
      <c r="AD337" s="166"/>
      <c r="AE337" s="75">
        <v>1.129</v>
      </c>
      <c r="AF337" s="82">
        <v>1</v>
      </c>
      <c r="AG337" s="82">
        <v>1</v>
      </c>
      <c r="AH337" s="82">
        <v>2</v>
      </c>
      <c r="AI337" s="82">
        <v>1.000000000003638</v>
      </c>
      <c r="AJ337" s="166">
        <v>1.12921</v>
      </c>
      <c r="AK337" s="82">
        <v>1.1291100000000001</v>
      </c>
      <c r="AL337" s="162">
        <v>0</v>
      </c>
      <c r="AM337" s="162">
        <v>0</v>
      </c>
      <c r="AN337" s="162">
        <v>0</v>
      </c>
      <c r="AO337" s="162">
        <v>0</v>
      </c>
      <c r="AP337" s="162">
        <v>0</v>
      </c>
      <c r="AQ337" s="162">
        <v>0</v>
      </c>
      <c r="AR337" s="710" t="str">
        <v>1613.par</v>
      </c>
      <c r="AV337" s="82" t="str">
        <v>255,127,0</v>
      </c>
      <c r="AW337" s="947">
        <v>50.943025181030578</v>
      </c>
      <c r="AX337" s="947">
        <v>50.943025181030578</v>
      </c>
      <c r="AY337" s="947">
        <v>0</v>
      </c>
    </row>
    <row r="338" spans="12:51" x14ac:dyDescent="0.25">
      <c r="L338"/>
      <c r="AA338" s="82"/>
      <c r="AB338" s="75"/>
      <c r="AC338" s="75"/>
      <c r="AD338" s="166"/>
      <c r="AE338" s="75">
        <v>1.123</v>
      </c>
      <c r="AF338" s="82">
        <v>1</v>
      </c>
      <c r="AG338" s="82">
        <v>1</v>
      </c>
      <c r="AH338" s="82">
        <v>2</v>
      </c>
      <c r="AI338" s="82">
        <v>1.000000000003638</v>
      </c>
      <c r="AJ338" s="166">
        <v>1.12321</v>
      </c>
      <c r="AK338" s="82">
        <v>1.1231100000000001</v>
      </c>
      <c r="AL338" s="162">
        <v>0</v>
      </c>
      <c r="AM338" s="162">
        <v>0</v>
      </c>
      <c r="AN338" s="162">
        <v>0</v>
      </c>
      <c r="AO338" s="162">
        <v>0</v>
      </c>
      <c r="AP338" s="162">
        <v>0</v>
      </c>
      <c r="AQ338" s="162">
        <v>0</v>
      </c>
      <c r="AR338" s="710" t="str">
        <v>1613.par</v>
      </c>
      <c r="AV338" s="82" t="str">
        <v>255,127,0</v>
      </c>
      <c r="AW338" s="947">
        <v>32.228901208944677</v>
      </c>
      <c r="AX338" s="947">
        <v>32.228901208944677</v>
      </c>
      <c r="AY338" s="947">
        <v>0</v>
      </c>
    </row>
    <row r="339" spans="12:51" x14ac:dyDescent="0.25">
      <c r="L339"/>
      <c r="AA339" s="82"/>
      <c r="AB339" s="75"/>
      <c r="AC339" s="75"/>
      <c r="AD339" s="166"/>
      <c r="AE339" s="75">
        <v>1.117</v>
      </c>
      <c r="AF339" s="82">
        <v>1</v>
      </c>
      <c r="AG339" s="82">
        <v>1</v>
      </c>
      <c r="AH339" s="82">
        <v>2</v>
      </c>
      <c r="AI339" s="82">
        <v>1.000000000003638</v>
      </c>
      <c r="AJ339" s="166">
        <v>1.11721</v>
      </c>
      <c r="AK339" s="82">
        <v>1.11711</v>
      </c>
      <c r="AL339" s="162">
        <v>0</v>
      </c>
      <c r="AM339" s="162">
        <v>0</v>
      </c>
      <c r="AN339" s="162">
        <v>0</v>
      </c>
      <c r="AO339" s="162">
        <v>0</v>
      </c>
      <c r="AP339" s="162">
        <v>0</v>
      </c>
      <c r="AQ339" s="162">
        <v>0</v>
      </c>
      <c r="AR339" s="710" t="str">
        <v>1613 Ripper.par</v>
      </c>
      <c r="AV339" s="82" t="str">
        <v>255,127,0</v>
      </c>
      <c r="AW339" s="947">
        <v>13.374429842880255</v>
      </c>
      <c r="AX339" s="947">
        <v>13.374429842880255</v>
      </c>
      <c r="AY339" s="947">
        <v>0</v>
      </c>
    </row>
    <row r="340" spans="12:51" x14ac:dyDescent="0.25">
      <c r="L340"/>
      <c r="AA340" s="82"/>
      <c r="AB340" s="75"/>
      <c r="AC340" s="75"/>
      <c r="AD340" s="166"/>
      <c r="AE340" s="75">
        <v>1.111</v>
      </c>
      <c r="AF340" s="82">
        <v>1</v>
      </c>
      <c r="AG340" s="82">
        <v>1</v>
      </c>
      <c r="AH340" s="82">
        <v>2</v>
      </c>
      <c r="AI340" s="82">
        <v>1.000000000003638</v>
      </c>
      <c r="AJ340" s="166">
        <v>1.11121</v>
      </c>
      <c r="AK340" s="82">
        <v>1.11111</v>
      </c>
      <c r="AL340" s="162">
        <v>0</v>
      </c>
      <c r="AM340" s="162">
        <v>0</v>
      </c>
      <c r="AN340" s="162">
        <v>0</v>
      </c>
      <c r="AO340" s="162">
        <v>0</v>
      </c>
      <c r="AP340" s="162">
        <v>0</v>
      </c>
      <c r="AQ340" s="162">
        <v>0</v>
      </c>
      <c r="AR340" s="710" t="str">
        <v>1613 Ripper.par</v>
      </c>
      <c r="AV340" s="82" t="str">
        <v>255,127,0</v>
      </c>
      <c r="AW340" s="947">
        <v>-5.4571267998021593</v>
      </c>
      <c r="AX340" s="947">
        <v>-5.4571267998021593</v>
      </c>
      <c r="AY340" s="947">
        <v>0</v>
      </c>
    </row>
    <row r="341" spans="12:51" x14ac:dyDescent="0.25">
      <c r="L341"/>
      <c r="AA341" s="82"/>
      <c r="AB341" s="75"/>
      <c r="AC341" s="75"/>
      <c r="AD341" s="166"/>
      <c r="AE341" s="75">
        <v>1.107</v>
      </c>
      <c r="AF341" s="82">
        <v>1</v>
      </c>
      <c r="AG341" s="82">
        <v>1</v>
      </c>
      <c r="AH341" s="82">
        <v>2</v>
      </c>
      <c r="AI341" s="82">
        <v>1.000000000003638</v>
      </c>
      <c r="AJ341" s="166">
        <v>1.10721</v>
      </c>
      <c r="AK341" s="82">
        <v>1.10711</v>
      </c>
      <c r="AL341" s="162">
        <v>0</v>
      </c>
      <c r="AM341" s="162">
        <v>0</v>
      </c>
      <c r="AN341" s="162">
        <v>0</v>
      </c>
      <c r="AO341" s="162">
        <v>0</v>
      </c>
      <c r="AP341" s="162">
        <v>0</v>
      </c>
      <c r="AQ341" s="162">
        <v>0</v>
      </c>
      <c r="AR341" s="710" t="str">
        <v>1613 Ripper.par</v>
      </c>
      <c r="AV341" s="82" t="str">
        <v>255,127,0</v>
      </c>
      <c r="AW341" s="947">
        <v>-12.188363844259069</v>
      </c>
      <c r="AX341" s="947">
        <v>-12.188363844259069</v>
      </c>
      <c r="AY341" s="947">
        <v>0</v>
      </c>
    </row>
    <row r="342" spans="12:51" x14ac:dyDescent="0.25">
      <c r="L342"/>
      <c r="AA342" s="82"/>
      <c r="AB342" s="75"/>
      <c r="AC342" s="75"/>
      <c r="AD342" s="166"/>
      <c r="AE342" s="75">
        <v>1.1040000000000001</v>
      </c>
      <c r="AF342" s="82">
        <v>1</v>
      </c>
      <c r="AG342" s="82">
        <v>1</v>
      </c>
      <c r="AH342" s="82">
        <v>2</v>
      </c>
      <c r="AI342" s="82">
        <v>1.0000000000218279</v>
      </c>
      <c r="AJ342" s="166">
        <v>1.1042100000000001</v>
      </c>
      <c r="AK342" s="82">
        <v>1.1041100000000001</v>
      </c>
      <c r="AL342" s="162">
        <v>0</v>
      </c>
      <c r="AM342" s="162">
        <v>0</v>
      </c>
      <c r="AN342" s="162">
        <v>0</v>
      </c>
      <c r="AO342" s="162">
        <v>0</v>
      </c>
      <c r="AP342" s="162">
        <v>0</v>
      </c>
      <c r="AQ342" s="162">
        <v>0</v>
      </c>
      <c r="AR342" s="710" t="str">
        <v>1613 Ripper.par</v>
      </c>
      <c r="AV342" s="82" t="str">
        <v>255,127,0</v>
      </c>
      <c r="AW342" s="947">
        <v>-13.592723484172373</v>
      </c>
      <c r="AX342" s="947">
        <v>-13.592723484172373</v>
      </c>
      <c r="AY342" s="947">
        <v>0</v>
      </c>
    </row>
    <row r="343" spans="12:51" x14ac:dyDescent="0.25">
      <c r="L343"/>
      <c r="AA343" s="82"/>
      <c r="AB343" s="75"/>
      <c r="AC343" s="75"/>
      <c r="AD343" s="166"/>
      <c r="AE343" s="75">
        <v>1.101</v>
      </c>
      <c r="AF343" s="82">
        <v>1</v>
      </c>
      <c r="AG343" s="82">
        <v>1</v>
      </c>
      <c r="AH343" s="82">
        <v>2</v>
      </c>
      <c r="AI343" s="82">
        <v>1.000000000003638</v>
      </c>
      <c r="AJ343" s="166">
        <v>1.10121</v>
      </c>
      <c r="AK343" s="82">
        <v>1.10111</v>
      </c>
      <c r="AL343" s="162">
        <v>0</v>
      </c>
      <c r="AM343" s="162">
        <v>0</v>
      </c>
      <c r="AN343" s="162">
        <v>0</v>
      </c>
      <c r="AO343" s="162">
        <v>0</v>
      </c>
      <c r="AP343" s="162">
        <v>0</v>
      </c>
      <c r="AQ343" s="162">
        <v>0</v>
      </c>
      <c r="AR343" s="710" t="str">
        <v>1613.par</v>
      </c>
      <c r="AV343" s="82" t="str">
        <v>255,127,0</v>
      </c>
      <c r="AW343" s="947">
        <v>-18.141294048916745</v>
      </c>
      <c r="AX343" s="947">
        <v>-18.141294048916745</v>
      </c>
      <c r="AY343" s="947">
        <v>0</v>
      </c>
    </row>
    <row r="344" spans="12:51" x14ac:dyDescent="0.25">
      <c r="L344"/>
      <c r="AA344" s="82"/>
      <c r="AB344" s="75"/>
      <c r="AC344" s="75"/>
      <c r="AD344" s="166"/>
      <c r="AE344" s="75">
        <v>6.2539999999999996</v>
      </c>
      <c r="AF344" s="82">
        <v>6</v>
      </c>
      <c r="AG344" s="82">
        <v>2</v>
      </c>
      <c r="AH344" s="82">
        <v>1</v>
      </c>
      <c r="AI344" s="82">
        <v>1.9999999999708962</v>
      </c>
      <c r="AJ344" s="166">
        <v>6.2541199999999995</v>
      </c>
      <c r="AK344" s="82" t="str">
        <v>Base</v>
      </c>
      <c r="AL344" s="162">
        <v>-17.25</v>
      </c>
      <c r="AM344" s="162">
        <v>-5.1223779559634774</v>
      </c>
      <c r="AN344" s="162">
        <v>-9.3963284688600286</v>
      </c>
      <c r="AO344" s="162">
        <v>100.03561890671624</v>
      </c>
      <c r="AP344" s="162">
        <v>-39.831236627249652</v>
      </c>
      <c r="AQ344" s="162">
        <v>0</v>
      </c>
      <c r="AR344" s="710" t="str">
        <v>1313.par</v>
      </c>
      <c r="AV344" s="82" t="str">
        <v>188,121,255</v>
      </c>
      <c r="AW344" s="947">
        <v>100.03561890671624</v>
      </c>
      <c r="AX344" s="947">
        <v>100.03561890671624</v>
      </c>
      <c r="AY344" s="947">
        <v>0</v>
      </c>
    </row>
    <row r="345" spans="12:51" x14ac:dyDescent="0.25">
      <c r="L345"/>
      <c r="AA345" s="82"/>
      <c r="AB345" s="75"/>
      <c r="AC345" s="75"/>
      <c r="AD345" s="166"/>
      <c r="AE345" s="75">
        <v>6.2480000000000002</v>
      </c>
      <c r="AF345" s="82">
        <v>6</v>
      </c>
      <c r="AG345" s="82">
        <v>2</v>
      </c>
      <c r="AH345" s="82">
        <v>1</v>
      </c>
      <c r="AI345" s="82">
        <v>2.0000000000436557</v>
      </c>
      <c r="AJ345" s="166">
        <v>6.2481200000000001</v>
      </c>
      <c r="AK345" s="82" t="str">
        <v>Base</v>
      </c>
      <c r="AL345" s="162">
        <v>-17.25</v>
      </c>
      <c r="AM345" s="162">
        <v>-5.02087479466259</v>
      </c>
      <c r="AN345" s="162">
        <v>-3.3474651622620417</v>
      </c>
      <c r="AO345" s="162">
        <v>89.999987005609597</v>
      </c>
      <c r="AP345" s="162">
        <v>0</v>
      </c>
      <c r="AQ345" s="162">
        <v>0</v>
      </c>
      <c r="AR345" s="710" t="str">
        <v>32193r1.par</v>
      </c>
      <c r="AV345" s="82" t="str">
        <v>188,121,255</v>
      </c>
      <c r="AW345" s="947">
        <v>89.999987005609597</v>
      </c>
      <c r="AX345" s="947">
        <v>89.999987005609597</v>
      </c>
      <c r="AY345" s="947">
        <v>0</v>
      </c>
    </row>
    <row r="346" spans="12:51" x14ac:dyDescent="0.25">
      <c r="L346"/>
      <c r="AA346" s="82"/>
      <c r="AB346" s="75"/>
      <c r="AC346" s="75"/>
      <c r="AD346" s="166"/>
      <c r="AE346" s="75">
        <v>6.242</v>
      </c>
      <c r="AF346" s="82">
        <v>6</v>
      </c>
      <c r="AG346" s="82">
        <v>2</v>
      </c>
      <c r="AH346" s="82">
        <v>1</v>
      </c>
      <c r="AI346" s="82">
        <v>1.9999999999708962</v>
      </c>
      <c r="AJ346" s="166">
        <v>6.2421199999999999</v>
      </c>
      <c r="AK346" s="82" t="str">
        <v>Base</v>
      </c>
      <c r="AL346" s="162">
        <v>-17.25</v>
      </c>
      <c r="AM346" s="162">
        <v>-4.9927899012947687</v>
      </c>
      <c r="AN346" s="162">
        <v>-2.5960829184713603</v>
      </c>
      <c r="AO346" s="162">
        <v>89.999987005609626</v>
      </c>
      <c r="AP346" s="162">
        <v>0</v>
      </c>
      <c r="AQ346" s="162">
        <v>0</v>
      </c>
      <c r="AR346" s="710" t="str">
        <v>32193r1.par</v>
      </c>
      <c r="AV346" s="82" t="str">
        <v>188,121,255</v>
      </c>
      <c r="AW346" s="947">
        <v>89.999987005609626</v>
      </c>
      <c r="AX346" s="947">
        <v>89.999987005609626</v>
      </c>
      <c r="AY346" s="947">
        <v>0</v>
      </c>
    </row>
    <row r="347" spans="12:51" x14ac:dyDescent="0.25">
      <c r="L347"/>
      <c r="AA347" s="82"/>
      <c r="AB347" s="75"/>
      <c r="AC347" s="75"/>
      <c r="AD347" s="166"/>
      <c r="AE347" s="75">
        <v>6.2359999999999998</v>
      </c>
      <c r="AF347" s="82">
        <v>6</v>
      </c>
      <c r="AG347" s="82">
        <v>2</v>
      </c>
      <c r="AH347" s="82">
        <v>1</v>
      </c>
      <c r="AI347" s="82">
        <v>1.9999999999708962</v>
      </c>
      <c r="AJ347" s="166">
        <v>6.2361199999999997</v>
      </c>
      <c r="AK347" s="82" t="str">
        <v>Base</v>
      </c>
      <c r="AL347" s="162">
        <v>-17.25</v>
      </c>
      <c r="AM347" s="162">
        <v>-4.9489444380016616</v>
      </c>
      <c r="AN347" s="162">
        <v>-1.8409083573305995</v>
      </c>
      <c r="AO347" s="162">
        <v>75.999989026959227</v>
      </c>
      <c r="AP347" s="162">
        <v>0</v>
      </c>
      <c r="AQ347" s="162">
        <v>0</v>
      </c>
      <c r="AR347" s="710" t="str">
        <v>32193r1.par</v>
      </c>
      <c r="AV347" s="82" t="str">
        <v>188,121,255</v>
      </c>
      <c r="AW347" s="947">
        <v>75.999989026959227</v>
      </c>
      <c r="AX347" s="947">
        <v>75.999989026959227</v>
      </c>
      <c r="AY347" s="947">
        <v>0</v>
      </c>
    </row>
    <row r="348" spans="12:51" x14ac:dyDescent="0.25">
      <c r="L348"/>
      <c r="AA348" s="82"/>
      <c r="AB348" s="75"/>
      <c r="AC348" s="75"/>
      <c r="AD348" s="166"/>
      <c r="AE348" s="75">
        <v>6.23</v>
      </c>
      <c r="AF348" s="82">
        <v>6</v>
      </c>
      <c r="AG348" s="82">
        <v>2</v>
      </c>
      <c r="AH348" s="82">
        <v>1</v>
      </c>
      <c r="AI348" s="82">
        <v>2.0000000000436557</v>
      </c>
      <c r="AJ348" s="166">
        <v>6.2301200000000003</v>
      </c>
      <c r="AK348" s="82" t="str">
        <v>Base</v>
      </c>
      <c r="AL348" s="162">
        <v>-17.25</v>
      </c>
      <c r="AM348" s="162">
        <v>-4.6587367544457434</v>
      </c>
      <c r="AN348" s="162">
        <v>-1.1401676119515824</v>
      </c>
      <c r="AO348" s="162">
        <v>54.999992058983658</v>
      </c>
      <c r="AP348" s="162">
        <v>0</v>
      </c>
      <c r="AQ348" s="162">
        <v>0</v>
      </c>
      <c r="AR348" s="710" t="str">
        <v>32193r1.par</v>
      </c>
      <c r="AV348" s="82" t="str">
        <v>188,121,255</v>
      </c>
      <c r="AW348" s="947">
        <v>54.999992058983658</v>
      </c>
      <c r="AX348" s="947">
        <v>54.999992058983658</v>
      </c>
      <c r="AY348" s="947">
        <v>0</v>
      </c>
    </row>
    <row r="349" spans="12:51" x14ac:dyDescent="0.25">
      <c r="L349"/>
      <c r="AA349" s="82"/>
      <c r="AB349" s="75"/>
      <c r="AC349" s="75"/>
      <c r="AD349" s="166"/>
      <c r="AE349" s="75">
        <v>6.2240000000000002</v>
      </c>
      <c r="AF349" s="82">
        <v>6</v>
      </c>
      <c r="AG349" s="82">
        <v>2</v>
      </c>
      <c r="AH349" s="82">
        <v>1</v>
      </c>
      <c r="AI349" s="82">
        <v>2.0000000000436557</v>
      </c>
      <c r="AJ349" s="166">
        <v>6.2241200000000001</v>
      </c>
      <c r="AK349" s="82" t="str">
        <v>Base</v>
      </c>
      <c r="AL349" s="162">
        <v>-17.25</v>
      </c>
      <c r="AM349" s="162">
        <v>-4.1347966802298517</v>
      </c>
      <c r="AN349" s="162">
        <v>-0.58847282599557826</v>
      </c>
      <c r="AO349" s="162">
        <v>33.999995091008067</v>
      </c>
      <c r="AP349" s="162">
        <v>0</v>
      </c>
      <c r="AQ349" s="162">
        <v>0</v>
      </c>
      <c r="AR349" s="710" t="str">
        <v>32193r1.par</v>
      </c>
      <c r="AV349" s="82" t="str">
        <v>188,121,255</v>
      </c>
      <c r="AW349" s="947">
        <v>33.999995091008067</v>
      </c>
      <c r="AX349" s="947">
        <v>33.999995091008067</v>
      </c>
      <c r="AY349" s="947">
        <v>0</v>
      </c>
    </row>
    <row r="350" spans="12:51" x14ac:dyDescent="0.25">
      <c r="L350"/>
      <c r="AA350" s="82"/>
      <c r="AB350" s="75"/>
      <c r="AC350" s="75"/>
      <c r="AD350" s="166"/>
      <c r="AE350" s="75">
        <v>6.218</v>
      </c>
      <c r="AF350" s="82">
        <v>6</v>
      </c>
      <c r="AG350" s="82">
        <v>2</v>
      </c>
      <c r="AH350" s="82">
        <v>1</v>
      </c>
      <c r="AI350" s="82">
        <v>1.9999999999708962</v>
      </c>
      <c r="AJ350" s="166">
        <v>6.2181199999999999</v>
      </c>
      <c r="AK350" s="82" t="str">
        <v>Base</v>
      </c>
      <c r="AL350" s="162">
        <v>-17.25</v>
      </c>
      <c r="AM350" s="162">
        <v>-3.4452199378410095</v>
      </c>
      <c r="AN350" s="162">
        <v>-0.2607948903210574</v>
      </c>
      <c r="AO350" s="162">
        <v>12.999998123032499</v>
      </c>
      <c r="AP350" s="162">
        <v>0</v>
      </c>
      <c r="AQ350" s="162">
        <v>0</v>
      </c>
      <c r="AR350" s="710" t="str">
        <v>32193r1.par</v>
      </c>
      <c r="AV350" s="82" t="str">
        <v>188,121,255</v>
      </c>
      <c r="AW350" s="947">
        <v>12.999998123032499</v>
      </c>
      <c r="AX350" s="947">
        <v>12.999998123032499</v>
      </c>
      <c r="AY350" s="947">
        <v>0</v>
      </c>
    </row>
    <row r="351" spans="12:51" x14ac:dyDescent="0.25">
      <c r="L351"/>
      <c r="AA351" s="82"/>
      <c r="AB351" s="75"/>
      <c r="AC351" s="75"/>
      <c r="AD351" s="166"/>
      <c r="AE351" s="75">
        <v>6.1479999999999997</v>
      </c>
      <c r="AF351" s="82">
        <v>6</v>
      </c>
      <c r="AG351" s="82">
        <v>1</v>
      </c>
      <c r="AH351" s="82">
        <v>1</v>
      </c>
      <c r="AI351" s="82">
        <v>1.9999999999708962</v>
      </c>
      <c r="AJ351" s="166">
        <v>6.1481199999999996</v>
      </c>
      <c r="AK351" s="82" t="str">
        <v>Base</v>
      </c>
      <c r="AL351" s="162">
        <v>-16.5</v>
      </c>
      <c r="AM351" s="162">
        <v>-5.0550887932628417</v>
      </c>
      <c r="AN351" s="162">
        <v>-3.3407576245757653</v>
      </c>
      <c r="AO351" s="162">
        <v>84.970117416838406</v>
      </c>
      <c r="AP351" s="162">
        <v>-29.785208788526884</v>
      </c>
      <c r="AQ351" s="162">
        <v>0</v>
      </c>
      <c r="AR351" s="710" t="str">
        <v>1613.par</v>
      </c>
      <c r="AV351" s="82" t="str">
        <v>127,0,255</v>
      </c>
      <c r="AW351" s="947">
        <v>84.970117416838406</v>
      </c>
      <c r="AX351" s="947">
        <v>84.970117416838406</v>
      </c>
      <c r="AY351" s="947">
        <v>0</v>
      </c>
    </row>
    <row r="352" spans="12:51" x14ac:dyDescent="0.25">
      <c r="L352"/>
      <c r="AA352" s="82"/>
      <c r="AB352" s="75"/>
      <c r="AC352" s="75"/>
      <c r="AD352" s="166"/>
      <c r="AE352" s="75">
        <v>6.1420000000000003</v>
      </c>
      <c r="AF352" s="82">
        <v>6</v>
      </c>
      <c r="AG352" s="82">
        <v>1</v>
      </c>
      <c r="AH352" s="82">
        <v>1</v>
      </c>
      <c r="AI352" s="82">
        <v>2.0000000000436557</v>
      </c>
      <c r="AJ352" s="166">
        <v>6.1421200000000002</v>
      </c>
      <c r="AK352" s="82" t="str">
        <v>Base</v>
      </c>
      <c r="AL352" s="162">
        <v>-16.5</v>
      </c>
      <c r="AM352" s="162">
        <v>-5.0270040657372705</v>
      </c>
      <c r="AN352" s="162">
        <v>-2.5893543456970076</v>
      </c>
      <c r="AO352" s="162">
        <v>84.96994937215598</v>
      </c>
      <c r="AP352" s="162">
        <v>-29.78411602484832</v>
      </c>
      <c r="AQ352" s="162">
        <v>0</v>
      </c>
      <c r="AR352" s="710" t="str">
        <v>1613.par</v>
      </c>
      <c r="AV352" s="82" t="str">
        <v>127,0,255</v>
      </c>
      <c r="AW352" s="947">
        <v>84.96994937215598</v>
      </c>
      <c r="AX352" s="947">
        <v>84.96994937215598</v>
      </c>
      <c r="AY352" s="947">
        <v>0</v>
      </c>
    </row>
    <row r="353" spans="12:51" x14ac:dyDescent="0.25">
      <c r="L353"/>
      <c r="AA353" s="82"/>
      <c r="AB353" s="75"/>
      <c r="AC353" s="75"/>
      <c r="AD353" s="166"/>
      <c r="AE353" s="75">
        <v>6.1360000000000001</v>
      </c>
      <c r="AF353" s="82">
        <v>6</v>
      </c>
      <c r="AG353" s="82">
        <v>1</v>
      </c>
      <c r="AH353" s="82">
        <v>1</v>
      </c>
      <c r="AI353" s="82">
        <v>1.9999999999708962</v>
      </c>
      <c r="AJ353" s="166">
        <v>6.13612</v>
      </c>
      <c r="AK353" s="82" t="str">
        <v>Base</v>
      </c>
      <c r="AL353" s="162">
        <v>-16.5</v>
      </c>
      <c r="AM353" s="162">
        <v>-4.9750965181077582</v>
      </c>
      <c r="AN353" s="162">
        <v>-1.82900841644728</v>
      </c>
      <c r="AO353" s="162">
        <v>72.623499997444313</v>
      </c>
      <c r="AP353" s="162">
        <v>-27.122431911212644</v>
      </c>
      <c r="AQ353" s="162">
        <v>0</v>
      </c>
      <c r="AR353" s="710" t="str">
        <v>1613.par</v>
      </c>
      <c r="AV353" s="82" t="str">
        <v>127,0,255</v>
      </c>
      <c r="AW353" s="947">
        <v>72.623499997444313</v>
      </c>
      <c r="AX353" s="947">
        <v>72.623499997444313</v>
      </c>
      <c r="AY353" s="947">
        <v>0</v>
      </c>
    </row>
    <row r="354" spans="12:51" x14ac:dyDescent="0.25">
      <c r="L354"/>
      <c r="AA354" s="82"/>
      <c r="AB354" s="75"/>
      <c r="AC354" s="75"/>
      <c r="AD354" s="166"/>
      <c r="AE354" s="75">
        <v>6.13</v>
      </c>
      <c r="AF354" s="82">
        <v>6</v>
      </c>
      <c r="AG354" s="82">
        <v>1</v>
      </c>
      <c r="AH354" s="82">
        <v>1</v>
      </c>
      <c r="AI354" s="82">
        <v>1.9999999999708962</v>
      </c>
      <c r="AJ354" s="166">
        <v>6.1301199999999998</v>
      </c>
      <c r="AK354" s="82" t="str">
        <v>Base</v>
      </c>
      <c r="AL354" s="162">
        <v>-16.5</v>
      </c>
      <c r="AM354" s="162">
        <v>-4.6734295163530577</v>
      </c>
      <c r="AN354" s="162">
        <v>-1.1256115992827511</v>
      </c>
      <c r="AO354" s="162">
        <v>54.048010045486649</v>
      </c>
      <c r="AP354" s="162">
        <v>-23.140655756290503</v>
      </c>
      <c r="AQ354" s="162">
        <v>0</v>
      </c>
      <c r="AR354" s="710" t="str">
        <v>1613.par</v>
      </c>
      <c r="AV354" s="82" t="str">
        <v>127,0,255</v>
      </c>
      <c r="AW354" s="947">
        <v>54.048010045486649</v>
      </c>
      <c r="AX354" s="947">
        <v>54.048010045486649</v>
      </c>
      <c r="AY354" s="947">
        <v>0</v>
      </c>
    </row>
    <row r="355" spans="12:51" x14ac:dyDescent="0.25">
      <c r="L355"/>
      <c r="AA355" s="82"/>
      <c r="AB355" s="75"/>
      <c r="AC355" s="75"/>
      <c r="AD355" s="166"/>
      <c r="AE355" s="75">
        <v>6.1239999999999997</v>
      </c>
      <c r="AF355" s="82">
        <v>6</v>
      </c>
      <c r="AG355" s="82">
        <v>1</v>
      </c>
      <c r="AH355" s="82">
        <v>1</v>
      </c>
      <c r="AI355" s="82">
        <v>1.9999999999708962</v>
      </c>
      <c r="AJ355" s="166">
        <v>6.1241199999999996</v>
      </c>
      <c r="AK355" s="82" t="str">
        <v>Base</v>
      </c>
      <c r="AL355" s="162">
        <v>-16.5</v>
      </c>
      <c r="AM355" s="162">
        <v>-4.1407800265276293</v>
      </c>
      <c r="AN355" s="162">
        <v>-0.57569867248103401</v>
      </c>
      <c r="AO355" s="162">
        <v>35.360276952469491</v>
      </c>
      <c r="AP355" s="162">
        <v>-19.176506828006705</v>
      </c>
      <c r="AQ355" s="162">
        <v>0</v>
      </c>
      <c r="AR355" s="710" t="str">
        <v>1613.par</v>
      </c>
      <c r="AV355" s="82" t="str">
        <v>127,0,255</v>
      </c>
      <c r="AW355" s="947">
        <v>35.360276952469491</v>
      </c>
      <c r="AX355" s="947">
        <v>35.360276952469491</v>
      </c>
      <c r="AY355" s="947">
        <v>0</v>
      </c>
    </row>
    <row r="356" spans="12:51" x14ac:dyDescent="0.25">
      <c r="L356"/>
      <c r="AA356" s="82"/>
      <c r="AB356" s="75"/>
      <c r="AC356" s="75"/>
      <c r="AD356" s="166"/>
      <c r="AE356" s="75">
        <v>6.1180000000000003</v>
      </c>
      <c r="AF356" s="82">
        <v>6</v>
      </c>
      <c r="AG356" s="82">
        <v>1</v>
      </c>
      <c r="AH356" s="82">
        <v>1</v>
      </c>
      <c r="AI356" s="82">
        <v>2.0000000000436557</v>
      </c>
      <c r="AJ356" s="166">
        <v>6.1181200000000002</v>
      </c>
      <c r="AK356" s="82" t="str">
        <v>Base</v>
      </c>
      <c r="AL356" s="162">
        <v>-16.5</v>
      </c>
      <c r="AM356" s="162">
        <v>-3.4466194971855479</v>
      </c>
      <c r="AN356" s="162">
        <v>-0.25120865351604504</v>
      </c>
      <c r="AO356" s="162">
        <v>16.504059297615232</v>
      </c>
      <c r="AP356" s="162">
        <v>-15.806279282856705</v>
      </c>
      <c r="AQ356" s="162">
        <v>0</v>
      </c>
      <c r="AR356" s="710" t="str">
        <v>1613 Ripper.par</v>
      </c>
      <c r="AV356" s="82" t="str">
        <v>127,0,255</v>
      </c>
      <c r="AW356" s="947">
        <v>16.504059297615232</v>
      </c>
      <c r="AX356" s="947">
        <v>16.504059297615232</v>
      </c>
      <c r="AY356" s="947">
        <v>0</v>
      </c>
    </row>
    <row r="357" spans="12:51" x14ac:dyDescent="0.25">
      <c r="L357"/>
      <c r="AA357" s="82"/>
      <c r="AB357" s="75"/>
      <c r="AC357" s="75"/>
      <c r="AD357" s="166"/>
      <c r="AE357" s="75">
        <v>6.1120000000000001</v>
      </c>
      <c r="AF357" s="82">
        <v>6</v>
      </c>
      <c r="AG357" s="82">
        <v>1</v>
      </c>
      <c r="AH357" s="82">
        <v>1</v>
      </c>
      <c r="AI357" s="82">
        <v>1.9999999999708962</v>
      </c>
      <c r="AJ357" s="166">
        <v>6.11212</v>
      </c>
      <c r="AK357" s="82" t="str">
        <v>Base</v>
      </c>
      <c r="AL357" s="162">
        <v>-16.5</v>
      </c>
      <c r="AM357" s="162">
        <v>-2.6817598405224108</v>
      </c>
      <c r="AN357" s="162">
        <v>-0.19529753875409361</v>
      </c>
      <c r="AO357" s="162">
        <v>-2.3119637600075813</v>
      </c>
      <c r="AP357" s="162">
        <v>-15.311212110967897</v>
      </c>
      <c r="AQ357" s="162">
        <v>0</v>
      </c>
      <c r="AR357" s="710" t="str">
        <v>1613 Ripper.par</v>
      </c>
      <c r="AV357" s="82" t="str">
        <v>127,0,255</v>
      </c>
      <c r="AW357" s="947">
        <v>-2.3119637600075813</v>
      </c>
      <c r="AX357" s="947">
        <v>-2.3119637600075813</v>
      </c>
      <c r="AY357" s="947">
        <v>0</v>
      </c>
    </row>
    <row r="358" spans="12:51" x14ac:dyDescent="0.25">
      <c r="L358"/>
      <c r="AA358" s="82"/>
      <c r="AB358" s="75"/>
      <c r="AC358" s="75"/>
      <c r="AD358" s="166"/>
      <c r="AE358" s="75">
        <v>5.2549999999999999</v>
      </c>
      <c r="AF358" s="82">
        <v>5</v>
      </c>
      <c r="AG358" s="82">
        <v>2</v>
      </c>
      <c r="AH358" s="82">
        <v>1</v>
      </c>
      <c r="AI358" s="82">
        <v>1.9999999999708962</v>
      </c>
      <c r="AJ358" s="166">
        <v>5.2551199999999998</v>
      </c>
      <c r="AK358" s="82" t="str">
        <v>Base</v>
      </c>
      <c r="AL358" s="162">
        <v>-15.75</v>
      </c>
      <c r="AM358" s="162">
        <v>-5.1223779559634766</v>
      </c>
      <c r="AN358" s="162">
        <v>-9.8129951475585351</v>
      </c>
      <c r="AO358" s="162">
        <v>100.03561890671617</v>
      </c>
      <c r="AP358" s="162">
        <v>-39.831236627249673</v>
      </c>
      <c r="AQ358" s="162">
        <v>0</v>
      </c>
      <c r="AR358" s="710" t="str">
        <v>1313.par</v>
      </c>
      <c r="AV358" s="82" t="str">
        <v>121,188,255</v>
      </c>
      <c r="AW358" s="947">
        <v>100.03561890671617</v>
      </c>
      <c r="AX358" s="947">
        <v>100.03561890671617</v>
      </c>
      <c r="AY358" s="947">
        <v>0</v>
      </c>
    </row>
    <row r="359" spans="12:51" x14ac:dyDescent="0.25">
      <c r="L359"/>
      <c r="AA359" s="82"/>
      <c r="AB359" s="75"/>
      <c r="AC359" s="75"/>
      <c r="AD359" s="166"/>
      <c r="AE359" s="75">
        <v>5.2489999999999997</v>
      </c>
      <c r="AF359" s="82">
        <v>5</v>
      </c>
      <c r="AG359" s="82">
        <v>2</v>
      </c>
      <c r="AH359" s="82">
        <v>1</v>
      </c>
      <c r="AI359" s="82">
        <v>1.9999999999708962</v>
      </c>
      <c r="AJ359" s="166">
        <v>5.2491199999999996</v>
      </c>
      <c r="AK359" s="82" t="str">
        <v>Base</v>
      </c>
      <c r="AL359" s="162">
        <v>-15.75</v>
      </c>
      <c r="AM359" s="162">
        <v>-5.0208747946625891</v>
      </c>
      <c r="AN359" s="162">
        <v>-3.525465746265251</v>
      </c>
      <c r="AO359" s="162">
        <v>89.999987005609597</v>
      </c>
      <c r="AP359" s="162">
        <v>0</v>
      </c>
      <c r="AQ359" s="162">
        <v>0</v>
      </c>
      <c r="AR359" s="710" t="str">
        <v>32193r1.par</v>
      </c>
      <c r="AV359" s="82" t="str">
        <v>121,188,255</v>
      </c>
      <c r="AW359" s="947">
        <v>89.999987005609597</v>
      </c>
      <c r="AX359" s="947">
        <v>89.999987005609597</v>
      </c>
      <c r="AY359" s="947">
        <v>0</v>
      </c>
    </row>
    <row r="360" spans="12:51" x14ac:dyDescent="0.25">
      <c r="L360"/>
      <c r="AA360" s="82"/>
      <c r="AB360" s="75"/>
      <c r="AC360" s="75"/>
      <c r="AD360" s="166"/>
      <c r="AE360" s="75">
        <v>5.2430000000000003</v>
      </c>
      <c r="AF360" s="82">
        <v>5</v>
      </c>
      <c r="AG360" s="82">
        <v>2</v>
      </c>
      <c r="AH360" s="82">
        <v>1</v>
      </c>
      <c r="AI360" s="82">
        <v>2.0000000000436557</v>
      </c>
      <c r="AJ360" s="166">
        <v>5.2431200000000002</v>
      </c>
      <c r="AK360" s="82" t="str">
        <v>Base</v>
      </c>
      <c r="AL360" s="162">
        <v>-15.75</v>
      </c>
      <c r="AM360" s="162">
        <v>-4.9927899012947661</v>
      </c>
      <c r="AN360" s="162">
        <v>-2.7740835025473274</v>
      </c>
      <c r="AO360" s="162">
        <v>89.999987005609597</v>
      </c>
      <c r="AP360" s="162">
        <v>0</v>
      </c>
      <c r="AQ360" s="162">
        <v>0</v>
      </c>
      <c r="AR360" s="710" t="str">
        <v>32193r1.par</v>
      </c>
      <c r="AV360" s="82" t="str">
        <v>121,188,255</v>
      </c>
      <c r="AW360" s="947">
        <v>89.999987005609597</v>
      </c>
      <c r="AX360" s="947">
        <v>89.999987005609597</v>
      </c>
      <c r="AY360" s="947">
        <v>0</v>
      </c>
    </row>
    <row r="361" spans="12:51" x14ac:dyDescent="0.25">
      <c r="L361"/>
      <c r="AA361" s="82"/>
      <c r="AB361" s="75"/>
      <c r="AC361" s="75"/>
      <c r="AD361" s="166"/>
      <c r="AE361" s="75">
        <v>5.2370000000000001</v>
      </c>
      <c r="AF361" s="82">
        <v>5</v>
      </c>
      <c r="AG361" s="82">
        <v>2</v>
      </c>
      <c r="AH361" s="82">
        <v>1</v>
      </c>
      <c r="AI361" s="82">
        <v>1.9999999999708962</v>
      </c>
      <c r="AJ361" s="166">
        <v>5.23712</v>
      </c>
      <c r="AK361" s="82" t="str">
        <v>Base</v>
      </c>
      <c r="AL361" s="162">
        <v>-15.75</v>
      </c>
      <c r="AM361" s="162">
        <v>-5.023018431596987</v>
      </c>
      <c r="AN361" s="162">
        <v>-2.004201258709128</v>
      </c>
      <c r="AO361" s="162">
        <v>75.733702256223253</v>
      </c>
      <c r="AP361" s="162">
        <v>-32.798058394827343</v>
      </c>
      <c r="AQ361" s="162">
        <v>0</v>
      </c>
      <c r="AR361" s="710" t="str">
        <v>1313.par</v>
      </c>
      <c r="AV361" s="82" t="str">
        <v>121,188,255</v>
      </c>
      <c r="AW361" s="947">
        <v>75.733702256223253</v>
      </c>
      <c r="AX361" s="947">
        <v>75.733702256223253</v>
      </c>
      <c r="AY361" s="947">
        <v>0</v>
      </c>
    </row>
    <row r="362" spans="12:51" x14ac:dyDescent="0.25">
      <c r="L362"/>
      <c r="AD362" s="166"/>
      <c r="AE362" s="75">
        <v>5.2309999999999999</v>
      </c>
      <c r="AF362" s="82">
        <v>5</v>
      </c>
      <c r="AG362" s="82">
        <v>2</v>
      </c>
      <c r="AH362" s="82">
        <v>1</v>
      </c>
      <c r="AI362" s="82">
        <v>1.9999999999708962</v>
      </c>
      <c r="AJ362" s="166">
        <v>5.2311199999999998</v>
      </c>
      <c r="AK362" s="82" t="str">
        <v>Base</v>
      </c>
      <c r="AL362" s="162">
        <v>-15.75</v>
      </c>
      <c r="AM362" s="162">
        <v>-4.7615552860265158</v>
      </c>
      <c r="AN362" s="162">
        <v>-1.2768590585587074</v>
      </c>
      <c r="AO362" s="162">
        <v>57.213428741154814</v>
      </c>
      <c r="AP362" s="162">
        <v>-28.811854872966187</v>
      </c>
      <c r="AQ362" s="162">
        <v>0</v>
      </c>
      <c r="AR362" s="710" t="str">
        <v>1313.par</v>
      </c>
      <c r="AV362" s="82" t="str">
        <v>121,188,255</v>
      </c>
      <c r="AW362" s="947">
        <v>57.213428741154814</v>
      </c>
      <c r="AX362" s="947">
        <v>57.213428741154814</v>
      </c>
      <c r="AY362" s="947">
        <v>0</v>
      </c>
    </row>
    <row r="363" spans="12:51" x14ac:dyDescent="0.25">
      <c r="L363"/>
      <c r="AD363" s="166"/>
      <c r="AE363" s="75">
        <v>5.2249999999999996</v>
      </c>
      <c r="AF363" s="82">
        <v>5</v>
      </c>
      <c r="AG363" s="82">
        <v>2</v>
      </c>
      <c r="AH363" s="82">
        <v>1</v>
      </c>
      <c r="AI363" s="82">
        <v>1.9999999999708962</v>
      </c>
      <c r="AJ363" s="166">
        <v>5.2251199999999995</v>
      </c>
      <c r="AK363" s="82" t="str">
        <v>Base</v>
      </c>
      <c r="AL363" s="162">
        <v>-15.75</v>
      </c>
      <c r="AM363" s="162">
        <v>-4.258030881484971</v>
      </c>
      <c r="AN363" s="162">
        <v>-0.69034836521711918</v>
      </c>
      <c r="AO363" s="162">
        <v>38.623227592362632</v>
      </c>
      <c r="AP363" s="162">
        <v>-24.841583228699903</v>
      </c>
      <c r="AQ363" s="162">
        <v>0</v>
      </c>
      <c r="AR363" s="710" t="str">
        <v>1313.par</v>
      </c>
      <c r="AV363" s="82" t="str">
        <v>121,188,255</v>
      </c>
      <c r="AW363" s="947">
        <v>38.623227592362632</v>
      </c>
      <c r="AX363" s="947">
        <v>38.623227592362632</v>
      </c>
      <c r="AY363" s="947">
        <v>0</v>
      </c>
    </row>
    <row r="364" spans="12:51" x14ac:dyDescent="0.25">
      <c r="L364"/>
      <c r="AD364" s="166"/>
      <c r="AE364" s="75">
        <v>5.2190000000000003</v>
      </c>
      <c r="AF364" s="82">
        <v>5</v>
      </c>
      <c r="AG364" s="82">
        <v>2</v>
      </c>
      <c r="AH364" s="82">
        <v>1</v>
      </c>
      <c r="AI364" s="82">
        <v>2.0000000000436557</v>
      </c>
      <c r="AJ364" s="166">
        <v>5.2191200000000002</v>
      </c>
      <c r="AK364" s="82" t="str">
        <v>Base</v>
      </c>
      <c r="AL364" s="162">
        <v>-15.75</v>
      </c>
      <c r="AM364" s="162">
        <v>-3.5682539723265454</v>
      </c>
      <c r="AN364" s="162">
        <v>-0.34932214157191976</v>
      </c>
      <c r="AO364" s="162">
        <v>12.999998123032507</v>
      </c>
      <c r="AP364" s="162">
        <v>0</v>
      </c>
      <c r="AQ364" s="162">
        <v>0</v>
      </c>
      <c r="AR364" s="710" t="str">
        <v>32193r1.par</v>
      </c>
      <c r="AV364" s="82" t="str">
        <v>121,188,255</v>
      </c>
      <c r="AW364" s="947">
        <v>12.999998123032507</v>
      </c>
      <c r="AX364" s="947">
        <v>12.999998123032507</v>
      </c>
      <c r="AY364" s="947">
        <v>0</v>
      </c>
    </row>
    <row r="365" spans="12:51" x14ac:dyDescent="0.25">
      <c r="L365"/>
      <c r="AD365" s="166"/>
      <c r="AE365" s="75">
        <v>5.149</v>
      </c>
      <c r="AF365" s="82">
        <v>5</v>
      </c>
      <c r="AG365" s="82">
        <v>1</v>
      </c>
      <c r="AH365" s="82">
        <v>1</v>
      </c>
      <c r="AI365" s="82">
        <v>1.9999999999708962</v>
      </c>
      <c r="AJ365" s="166">
        <v>5.1491199999999999</v>
      </c>
      <c r="AK365" s="82" t="str">
        <v>Base</v>
      </c>
      <c r="AL365" s="162">
        <v>-15</v>
      </c>
      <c r="AM365" s="162">
        <v>-5.0550887932628417</v>
      </c>
      <c r="AN365" s="162">
        <v>-3.518758208615353</v>
      </c>
      <c r="AO365" s="162">
        <v>84.97011741683842</v>
      </c>
      <c r="AP365" s="162">
        <v>-29.785208788526919</v>
      </c>
      <c r="AQ365" s="162">
        <v>0</v>
      </c>
      <c r="AR365" s="710" t="str">
        <v>1613.par</v>
      </c>
      <c r="AV365" s="82" t="str">
        <v>0,102,204</v>
      </c>
      <c r="AW365" s="947">
        <v>84.97011741683842</v>
      </c>
      <c r="AX365" s="947">
        <v>84.97011741683842</v>
      </c>
      <c r="AY365" s="947">
        <v>0</v>
      </c>
    </row>
    <row r="366" spans="12:51" x14ac:dyDescent="0.25">
      <c r="L366"/>
      <c r="AD366" s="166"/>
      <c r="AE366" s="75">
        <v>5.1429999999999998</v>
      </c>
      <c r="AF366" s="82">
        <v>5</v>
      </c>
      <c r="AG366" s="82">
        <v>1</v>
      </c>
      <c r="AH366" s="82">
        <v>1</v>
      </c>
      <c r="AI366" s="82">
        <v>1.9999999999708962</v>
      </c>
      <c r="AJ366" s="166">
        <v>5.1431199999999997</v>
      </c>
      <c r="AK366" s="82" t="str">
        <v>Base</v>
      </c>
      <c r="AL366" s="162">
        <v>-15</v>
      </c>
      <c r="AM366" s="162">
        <v>-5.0270040657372679</v>
      </c>
      <c r="AN366" s="162">
        <v>-2.7673549297002151</v>
      </c>
      <c r="AO366" s="162">
        <v>84.969949372155952</v>
      </c>
      <c r="AP366" s="162">
        <v>-29.784116024848295</v>
      </c>
      <c r="AQ366" s="162">
        <v>0</v>
      </c>
      <c r="AR366" s="710" t="str">
        <v>1613.par</v>
      </c>
      <c r="AV366" s="82" t="str">
        <v>0,102,204</v>
      </c>
      <c r="AW366" s="947">
        <v>84.969949372155952</v>
      </c>
      <c r="AX366" s="947">
        <v>84.969949372155952</v>
      </c>
      <c r="AY366" s="947">
        <v>0</v>
      </c>
    </row>
    <row r="367" spans="12:51" x14ac:dyDescent="0.25">
      <c r="L367"/>
      <c r="AD367" s="166"/>
      <c r="AE367" s="75">
        <v>5.1369999999999996</v>
      </c>
      <c r="AF367" s="82">
        <v>5</v>
      </c>
      <c r="AG367" s="82">
        <v>1</v>
      </c>
      <c r="AH367" s="82">
        <v>1</v>
      </c>
      <c r="AI367" s="82">
        <v>1.9999999999708962</v>
      </c>
      <c r="AJ367" s="166">
        <v>5.1371199999999995</v>
      </c>
      <c r="AK367" s="82" t="str">
        <v>Base</v>
      </c>
      <c r="AL367" s="162">
        <v>-15</v>
      </c>
      <c r="AM367" s="162">
        <v>-4.9996635239022913</v>
      </c>
      <c r="AN367" s="162">
        <v>-2.0074359372910879</v>
      </c>
      <c r="AO367" s="162">
        <v>75.712346529077777</v>
      </c>
      <c r="AP367" s="162">
        <v>-27.787369752383814</v>
      </c>
      <c r="AQ367" s="162">
        <v>0</v>
      </c>
      <c r="AR367" s="710" t="str">
        <v>1613.par</v>
      </c>
      <c r="AV367" s="82" t="str">
        <v>0,102,204</v>
      </c>
      <c r="AW367" s="947">
        <v>75.712346529077777</v>
      </c>
      <c r="AX367" s="947">
        <v>75.712346529077777</v>
      </c>
      <c r="AY367" s="947">
        <v>0</v>
      </c>
    </row>
    <row r="368" spans="12:51" x14ac:dyDescent="0.25">
      <c r="L368"/>
      <c r="AD368" s="166"/>
      <c r="AE368" s="75">
        <v>5.1310000000000002</v>
      </c>
      <c r="AF368" s="82">
        <v>5</v>
      </c>
      <c r="AG368" s="82">
        <v>1</v>
      </c>
      <c r="AH368" s="82">
        <v>1</v>
      </c>
      <c r="AI368" s="82">
        <v>2.0000000000436557</v>
      </c>
      <c r="AJ368" s="166">
        <v>5.1311200000000001</v>
      </c>
      <c r="AK368" s="82" t="str">
        <v>Base</v>
      </c>
      <c r="AL368" s="162">
        <v>-15</v>
      </c>
      <c r="AM368" s="162">
        <v>-4.7412121930234123</v>
      </c>
      <c r="AN368" s="162">
        <v>-1.2870418616175512</v>
      </c>
      <c r="AO368" s="162">
        <v>57.149982620263913</v>
      </c>
      <c r="AP368" s="162">
        <v>-23.803245732477407</v>
      </c>
      <c r="AQ368" s="162">
        <v>0</v>
      </c>
      <c r="AR368" s="710" t="str">
        <v>1613.par</v>
      </c>
      <c r="AV368" s="82" t="str">
        <v>0,102,204</v>
      </c>
      <c r="AW368" s="947">
        <v>57.149982620263913</v>
      </c>
      <c r="AX368" s="947">
        <v>57.149982620263913</v>
      </c>
      <c r="AY368" s="947">
        <v>0</v>
      </c>
    </row>
    <row r="369" spans="12:51" x14ac:dyDescent="0.25">
      <c r="L369"/>
      <c r="AD369" s="166"/>
      <c r="AE369" s="75">
        <v>5.125</v>
      </c>
      <c r="AF369" s="82">
        <v>5</v>
      </c>
      <c r="AG369" s="82">
        <v>1</v>
      </c>
      <c r="AH369" s="82">
        <v>1</v>
      </c>
      <c r="AI369" s="82">
        <v>1.9999999999708962</v>
      </c>
      <c r="AJ369" s="166">
        <v>5.1251199999999999</v>
      </c>
      <c r="AK369" s="82" t="str">
        <v>Base</v>
      </c>
      <c r="AL369" s="162">
        <v>-15</v>
      </c>
      <c r="AM369" s="162">
        <v>-4.242960581402202</v>
      </c>
      <c r="AN369" s="162">
        <v>-0.70578726027236316</v>
      </c>
      <c r="AO369" s="162">
        <v>38.485986851085471</v>
      </c>
      <c r="AP369" s="162">
        <v>-19.835624968950093</v>
      </c>
      <c r="AQ369" s="162">
        <v>0</v>
      </c>
      <c r="AR369" s="710" t="str">
        <v>1613.par</v>
      </c>
      <c r="AV369" s="82" t="str">
        <v>0,102,204</v>
      </c>
      <c r="AW369" s="947">
        <v>38.485986851085471</v>
      </c>
      <c r="AX369" s="947">
        <v>38.485986851085471</v>
      </c>
      <c r="AY369" s="947">
        <v>0</v>
      </c>
    </row>
    <row r="370" spans="12:51" x14ac:dyDescent="0.25">
      <c r="L370"/>
      <c r="AD370" s="166"/>
      <c r="AE370" s="75">
        <v>5.1189999999999998</v>
      </c>
      <c r="AF370" s="82">
        <v>5</v>
      </c>
      <c r="AG370" s="82">
        <v>1</v>
      </c>
      <c r="AH370" s="82">
        <v>1</v>
      </c>
      <c r="AI370" s="82">
        <v>1.9999999999708962</v>
      </c>
      <c r="AJ370" s="166">
        <v>5.1191199999999997</v>
      </c>
      <c r="AK370" s="82" t="str">
        <v>Base</v>
      </c>
      <c r="AL370" s="162">
        <v>-15</v>
      </c>
      <c r="AM370" s="162">
        <v>-3.5699296323723511</v>
      </c>
      <c r="AN370" s="162">
        <v>-0.33983471592309067</v>
      </c>
      <c r="AO370" s="162">
        <v>19.63131247542724</v>
      </c>
      <c r="AP370" s="162">
        <v>-15.893761035069243</v>
      </c>
      <c r="AQ370" s="162">
        <v>0</v>
      </c>
      <c r="AR370" s="710" t="str">
        <v>1613 Ripper.par</v>
      </c>
      <c r="AV370" s="82" t="str">
        <v>0,102,204</v>
      </c>
      <c r="AW370" s="947">
        <v>19.63131247542724</v>
      </c>
      <c r="AX370" s="947">
        <v>19.63131247542724</v>
      </c>
      <c r="AY370" s="947">
        <v>0</v>
      </c>
    </row>
    <row r="371" spans="12:51" x14ac:dyDescent="0.25">
      <c r="L371"/>
      <c r="AD371" s="166"/>
      <c r="AE371" s="75">
        <v>5.1130000000000004</v>
      </c>
      <c r="AF371" s="82">
        <v>5</v>
      </c>
      <c r="AG371" s="82">
        <v>1</v>
      </c>
      <c r="AH371" s="82">
        <v>1</v>
      </c>
      <c r="AI371" s="82">
        <v>2.0000000000436557</v>
      </c>
      <c r="AJ371" s="166">
        <v>5.1131200000000003</v>
      </c>
      <c r="AK371" s="82" t="str">
        <v>Base</v>
      </c>
      <c r="AL371" s="162">
        <v>-15</v>
      </c>
      <c r="AM371" s="162">
        <v>-2.8098738483217405</v>
      </c>
      <c r="AN371" s="162">
        <v>-0.23775372718018106</v>
      </c>
      <c r="AO371" s="162">
        <v>0.8306004126858153</v>
      </c>
      <c r="AP371" s="162">
        <v>-15.389399300523054</v>
      </c>
      <c r="AQ371" s="162">
        <v>0</v>
      </c>
      <c r="AR371" s="710" t="str">
        <v>1613 Ripper.par</v>
      </c>
      <c r="AV371" s="82" t="str">
        <v>0,102,204</v>
      </c>
      <c r="AW371" s="947">
        <v>0.8306004126858153</v>
      </c>
      <c r="AX371" s="947">
        <v>0.8306004126858153</v>
      </c>
      <c r="AY371" s="947">
        <v>0</v>
      </c>
    </row>
    <row r="372" spans="12:51" x14ac:dyDescent="0.25">
      <c r="L372"/>
      <c r="AD372" s="166"/>
      <c r="AE372" s="75">
        <v>5.1079999999999997</v>
      </c>
      <c r="AF372" s="82">
        <v>5</v>
      </c>
      <c r="AG372" s="82">
        <v>1</v>
      </c>
      <c r="AH372" s="82">
        <v>1</v>
      </c>
      <c r="AI372" s="82">
        <v>1.9999999999708962</v>
      </c>
      <c r="AJ372" s="166">
        <v>5.1081199999999995</v>
      </c>
      <c r="AK372" s="82" t="str">
        <v>Base</v>
      </c>
      <c r="AL372" s="162">
        <v>-15</v>
      </c>
      <c r="AM372" s="162">
        <v>-2.0775012168433507</v>
      </c>
      <c r="AN372" s="162">
        <v>-0.38385143779030734</v>
      </c>
      <c r="AO372" s="162">
        <v>-11.945289726695552</v>
      </c>
      <c r="AP372" s="162">
        <v>-15.101423636341977</v>
      </c>
      <c r="AQ372" s="162">
        <v>0</v>
      </c>
      <c r="AR372" s="710" t="str">
        <v>1613 Ripper.par</v>
      </c>
      <c r="AV372" s="82" t="str">
        <v>0,102,204</v>
      </c>
      <c r="AW372" s="947">
        <v>-11.945289726695552</v>
      </c>
      <c r="AX372" s="947">
        <v>-11.945289726695552</v>
      </c>
      <c r="AY372" s="947">
        <v>0</v>
      </c>
    </row>
    <row r="373" spans="12:51" x14ac:dyDescent="0.25">
      <c r="L373"/>
      <c r="AD373" s="166"/>
      <c r="AE373" s="75">
        <v>5.1050000000000004</v>
      </c>
      <c r="AF373" s="82">
        <v>5</v>
      </c>
      <c r="AG373" s="82">
        <v>1</v>
      </c>
      <c r="AH373" s="82">
        <v>1</v>
      </c>
      <c r="AI373" s="82">
        <v>2.0000000000436557</v>
      </c>
      <c r="AJ373" s="166">
        <v>5.1051200000000003</v>
      </c>
      <c r="AK373" s="82" t="str">
        <v>Base</v>
      </c>
      <c r="AL373" s="162">
        <v>-15</v>
      </c>
      <c r="AM373" s="162">
        <v>-1.3652437852151869</v>
      </c>
      <c r="AN373" s="162">
        <v>-0.57426650661576206</v>
      </c>
      <c r="AO373" s="162">
        <v>-12.949138827495569</v>
      </c>
      <c r="AP373" s="162">
        <v>-15.161341689710696</v>
      </c>
      <c r="AQ373" s="162">
        <v>0</v>
      </c>
      <c r="AR373" s="710" t="str">
        <v>1613 Ripper.par</v>
      </c>
      <c r="AV373" s="82" t="str">
        <v>0,102,204</v>
      </c>
      <c r="AW373" s="947">
        <v>-12.949138827495569</v>
      </c>
      <c r="AX373" s="947">
        <v>-12.949138827495569</v>
      </c>
      <c r="AY373" s="947">
        <v>0</v>
      </c>
    </row>
    <row r="374" spans="12:51" x14ac:dyDescent="0.25">
      <c r="L374"/>
      <c r="AD374" s="166"/>
      <c r="AE374" s="75">
        <v>5.1020000000000003</v>
      </c>
      <c r="AF374" s="82">
        <v>5</v>
      </c>
      <c r="AG374" s="82">
        <v>1</v>
      </c>
      <c r="AH374" s="82">
        <v>1</v>
      </c>
      <c r="AI374" s="82">
        <v>2.0000000000436557</v>
      </c>
      <c r="AJ374" s="166">
        <v>5.1021200000000002</v>
      </c>
      <c r="AK374" s="82" t="str">
        <v>Base</v>
      </c>
      <c r="AL374" s="162">
        <v>-15</v>
      </c>
      <c r="AM374" s="162">
        <v>-0.60804725265242798</v>
      </c>
      <c r="AN374" s="162">
        <v>-0.776722075636881</v>
      </c>
      <c r="AO374" s="162">
        <v>-15.496960293563548</v>
      </c>
      <c r="AP374" s="162">
        <v>-17.89717637438029</v>
      </c>
      <c r="AQ374" s="162">
        <v>0</v>
      </c>
      <c r="AR374" s="710" t="str">
        <v>1613.par</v>
      </c>
      <c r="AV374" s="82" t="str">
        <v>0,102,204</v>
      </c>
      <c r="AW374" s="947">
        <v>-15.496960293563548</v>
      </c>
      <c r="AX374" s="947">
        <v>-15.496960293563548</v>
      </c>
      <c r="AY374" s="947">
        <v>0</v>
      </c>
    </row>
    <row r="375" spans="12:51" x14ac:dyDescent="0.25">
      <c r="L375"/>
      <c r="AD375" s="166"/>
      <c r="AE375" s="75">
        <v>4.25</v>
      </c>
      <c r="AF375" s="82">
        <v>4</v>
      </c>
      <c r="AG375" s="82">
        <v>2</v>
      </c>
      <c r="AH375" s="82">
        <v>1</v>
      </c>
      <c r="AI375" s="82">
        <v>1.9999999999708962</v>
      </c>
      <c r="AJ375" s="166">
        <v>4.2501199999999999</v>
      </c>
      <c r="AK375" s="82" t="str">
        <v>Base</v>
      </c>
      <c r="AL375" s="162">
        <v>-14.25</v>
      </c>
      <c r="AM375" s="162">
        <v>-5.1223779559634766</v>
      </c>
      <c r="AN375" s="162">
        <v>-9.7296618262570451</v>
      </c>
      <c r="AO375" s="162">
        <v>100.03561890671628</v>
      </c>
      <c r="AP375" s="162">
        <v>-39.831236627249659</v>
      </c>
      <c r="AQ375" s="162">
        <v>0</v>
      </c>
      <c r="AR375" s="710" t="str">
        <v>1313.par</v>
      </c>
      <c r="AV375" s="82" t="str">
        <v>91,255,255</v>
      </c>
      <c r="AW375" s="947">
        <v>100.03561890671628</v>
      </c>
      <c r="AX375" s="947">
        <v>100.03561890671628</v>
      </c>
      <c r="AY375" s="947">
        <v>0</v>
      </c>
    </row>
    <row r="376" spans="12:51" x14ac:dyDescent="0.25">
      <c r="L376"/>
      <c r="AD376" s="166"/>
      <c r="AE376" s="75">
        <v>4.2439999999999998</v>
      </c>
      <c r="AF376" s="82">
        <v>4</v>
      </c>
      <c r="AG376" s="82">
        <v>2</v>
      </c>
      <c r="AH376" s="82">
        <v>1</v>
      </c>
      <c r="AI376" s="82">
        <v>1.9999999999708962</v>
      </c>
      <c r="AJ376" s="166">
        <v>4.2441199999999997</v>
      </c>
      <c r="AK376" s="82" t="str">
        <v>Base</v>
      </c>
      <c r="AL376" s="162">
        <v>-14.25</v>
      </c>
      <c r="AM376" s="162">
        <v>-5.02087479466259</v>
      </c>
      <c r="AN376" s="162">
        <v>-3.0093510475015921</v>
      </c>
      <c r="AO376" s="162">
        <v>89.999987005609597</v>
      </c>
      <c r="AP376" s="162">
        <v>0</v>
      </c>
      <c r="AQ376" s="162">
        <v>0</v>
      </c>
      <c r="AR376" s="710" t="str">
        <v>32193r1.par</v>
      </c>
      <c r="AV376" s="82" t="str">
        <v>91,255,255</v>
      </c>
      <c r="AW376" s="947">
        <v>89.999987005609597</v>
      </c>
      <c r="AX376" s="947">
        <v>89.999987005609597</v>
      </c>
      <c r="AY376" s="947">
        <v>0</v>
      </c>
    </row>
    <row r="377" spans="12:51" x14ac:dyDescent="0.25">
      <c r="L377"/>
      <c r="AD377" s="166"/>
      <c r="AE377" s="75">
        <v>4.2380000000000004</v>
      </c>
      <c r="AF377" s="82">
        <v>4</v>
      </c>
      <c r="AG377" s="82">
        <v>2</v>
      </c>
      <c r="AH377" s="82">
        <v>1</v>
      </c>
      <c r="AI377" s="82">
        <v>2.0000000000436557</v>
      </c>
      <c r="AJ377" s="166">
        <v>4.2381200000000003</v>
      </c>
      <c r="AK377" s="82" t="str">
        <v>Base</v>
      </c>
      <c r="AL377" s="162">
        <v>-14.25</v>
      </c>
      <c r="AM377" s="162">
        <v>-4.9862408383831154</v>
      </c>
      <c r="AN377" s="162">
        <v>-2.2556277271063752</v>
      </c>
      <c r="AO377" s="162">
        <v>82.999988016284419</v>
      </c>
      <c r="AP377" s="162">
        <v>0</v>
      </c>
      <c r="AQ377" s="162">
        <v>0</v>
      </c>
      <c r="AR377" s="710" t="str">
        <v>32193r1.par</v>
      </c>
      <c r="AV377" s="82" t="str">
        <v>91,255,255</v>
      </c>
      <c r="AW377" s="947">
        <v>82.999988016284419</v>
      </c>
      <c r="AX377" s="947">
        <v>82.999988016284419</v>
      </c>
      <c r="AY377" s="947">
        <v>0</v>
      </c>
    </row>
    <row r="378" spans="12:51" x14ac:dyDescent="0.25">
      <c r="L378"/>
      <c r="AD378" s="166"/>
      <c r="AE378" s="75">
        <v>4.2320000000000002</v>
      </c>
      <c r="AF378" s="82">
        <v>4</v>
      </c>
      <c r="AG378" s="82">
        <v>2</v>
      </c>
      <c r="AH378" s="82">
        <v>1</v>
      </c>
      <c r="AI378" s="82">
        <v>2.0000000000436557</v>
      </c>
      <c r="AJ378" s="166">
        <v>4.2321200000000001</v>
      </c>
      <c r="AK378" s="82" t="str">
        <v>Base</v>
      </c>
      <c r="AL378" s="162">
        <v>-14.25</v>
      </c>
      <c r="AM378" s="162">
        <v>-4.7840043854517713</v>
      </c>
      <c r="AN378" s="162">
        <v>-1.5254114070471592</v>
      </c>
      <c r="AO378" s="162">
        <v>61.99999104830885</v>
      </c>
      <c r="AP378" s="162">
        <v>0</v>
      </c>
      <c r="AQ378" s="162">
        <v>0</v>
      </c>
      <c r="AR378" s="710" t="str">
        <v>32193r1.par</v>
      </c>
      <c r="AV378" s="82" t="str">
        <v>91,255,255</v>
      </c>
      <c r="AW378" s="947">
        <v>61.99999104830885</v>
      </c>
      <c r="AX378" s="947">
        <v>61.99999104830885</v>
      </c>
      <c r="AY378" s="947">
        <v>0</v>
      </c>
    </row>
    <row r="379" spans="12:51" x14ac:dyDescent="0.25">
      <c r="L379"/>
      <c r="AD379" s="166"/>
      <c r="AE379" s="75">
        <v>4.226</v>
      </c>
      <c r="AF379" s="82">
        <v>4</v>
      </c>
      <c r="AG379" s="82">
        <v>2</v>
      </c>
      <c r="AH379" s="82">
        <v>1</v>
      </c>
      <c r="AI379" s="82">
        <v>1.9999999999708962</v>
      </c>
      <c r="AJ379" s="166">
        <v>4.2261199999999999</v>
      </c>
      <c r="AK379" s="82" t="str">
        <v>Base</v>
      </c>
      <c r="AL379" s="162">
        <v>-14.25</v>
      </c>
      <c r="AM379" s="162">
        <v>-4.3146862511636366</v>
      </c>
      <c r="AN379" s="162">
        <v>-0.89971956418724486</v>
      </c>
      <c r="AO379" s="162">
        <v>40.999994080333266</v>
      </c>
      <c r="AP379" s="162">
        <v>0</v>
      </c>
      <c r="AQ379" s="162">
        <v>0</v>
      </c>
      <c r="AR379" s="710" t="str">
        <v>32193r1.par</v>
      </c>
      <c r="AV379" s="82" t="str">
        <v>91,255,255</v>
      </c>
      <c r="AW379" s="947">
        <v>40.999994080333266</v>
      </c>
      <c r="AX379" s="947">
        <v>40.999994080333266</v>
      </c>
      <c r="AY379" s="947">
        <v>0</v>
      </c>
    </row>
    <row r="380" spans="12:51" x14ac:dyDescent="0.25">
      <c r="L380"/>
      <c r="AD380" s="166"/>
      <c r="AE380" s="75">
        <v>4.22</v>
      </c>
      <c r="AF380" s="82">
        <v>4</v>
      </c>
      <c r="AG380" s="82">
        <v>2</v>
      </c>
      <c r="AH380" s="82">
        <v>1</v>
      </c>
      <c r="AI380" s="82">
        <v>1.9999999999708962</v>
      </c>
      <c r="AJ380" s="166">
        <v>4.2201199999999996</v>
      </c>
      <c r="AK380" s="82" t="str">
        <v>Base</v>
      </c>
      <c r="AL380" s="162">
        <v>-14.25</v>
      </c>
      <c r="AM380" s="162">
        <v>-3.6883533304226974</v>
      </c>
      <c r="AN380" s="162">
        <v>-0.50497251955050038</v>
      </c>
      <c r="AO380" s="162">
        <v>19.99999711235769</v>
      </c>
      <c r="AP380" s="162">
        <v>0</v>
      </c>
      <c r="AQ380" s="162">
        <v>0</v>
      </c>
      <c r="AR380" s="710" t="str">
        <v>32193r1.par</v>
      </c>
      <c r="AV380" s="82" t="str">
        <v>91,255,255</v>
      </c>
      <c r="AW380" s="947">
        <v>19.99999711235769</v>
      </c>
      <c r="AX380" s="947">
        <v>19.99999711235769</v>
      </c>
      <c r="AY380" s="947">
        <v>0</v>
      </c>
    </row>
    <row r="381" spans="12:51" x14ac:dyDescent="0.25">
      <c r="L381"/>
      <c r="AD381" s="166"/>
      <c r="AE381" s="75">
        <v>4.1440000000000001</v>
      </c>
      <c r="AF381" s="82">
        <v>4</v>
      </c>
      <c r="AG381" s="82">
        <v>1</v>
      </c>
      <c r="AH381" s="82">
        <v>1</v>
      </c>
      <c r="AI381" s="82">
        <v>1.9999999999708962</v>
      </c>
      <c r="AJ381" s="166">
        <v>4.14412</v>
      </c>
      <c r="AK381" s="82" t="str">
        <v>Base</v>
      </c>
      <c r="AL381" s="162">
        <v>-13.5</v>
      </c>
      <c r="AM381" s="162">
        <v>-5.0550887932628399</v>
      </c>
      <c r="AN381" s="162">
        <v>-3.0026435098516928</v>
      </c>
      <c r="AO381" s="162">
        <v>84.970117416838406</v>
      </c>
      <c r="AP381" s="162">
        <v>-29.785208788526909</v>
      </c>
      <c r="AQ381" s="162">
        <v>0</v>
      </c>
      <c r="AR381" s="710" t="str">
        <v>1613.par</v>
      </c>
      <c r="AV381" s="82" t="str">
        <v>0,204,204</v>
      </c>
      <c r="AW381" s="947">
        <v>84.970117416838406</v>
      </c>
      <c r="AX381" s="947">
        <v>84.970117416838406</v>
      </c>
      <c r="AY381" s="947">
        <v>0</v>
      </c>
    </row>
    <row r="382" spans="12:51" x14ac:dyDescent="0.25">
      <c r="L382"/>
      <c r="AD382" s="166"/>
      <c r="AE382" s="75">
        <v>4.1379999999999999</v>
      </c>
      <c r="AF382" s="82">
        <v>4</v>
      </c>
      <c r="AG382" s="82">
        <v>1</v>
      </c>
      <c r="AH382" s="82">
        <v>1</v>
      </c>
      <c r="AI382" s="82">
        <v>1.9999999999708962</v>
      </c>
      <c r="AJ382" s="166">
        <v>4.1381199999999998</v>
      </c>
      <c r="AK382" s="82" t="str">
        <v>Base</v>
      </c>
      <c r="AL382" s="162">
        <v>-13.5</v>
      </c>
      <c r="AM382" s="162">
        <v>-5.0164523963688259</v>
      </c>
      <c r="AN382" s="162">
        <v>-2.2459408042593645</v>
      </c>
      <c r="AO382" s="162">
        <v>78.799617313561896</v>
      </c>
      <c r="AP382" s="162">
        <v>-28.452633559226971</v>
      </c>
      <c r="AQ382" s="162">
        <v>0</v>
      </c>
      <c r="AR382" s="710" t="str">
        <v>1613.par</v>
      </c>
      <c r="AV382" s="82" t="str">
        <v>0,204,204</v>
      </c>
      <c r="AW382" s="947">
        <v>78.799617313561896</v>
      </c>
      <c r="AX382" s="947">
        <v>78.799617313561896</v>
      </c>
      <c r="AY382" s="947">
        <v>0</v>
      </c>
    </row>
    <row r="383" spans="12:51" x14ac:dyDescent="0.25">
      <c r="L383"/>
      <c r="AD383" s="166"/>
      <c r="AE383" s="75">
        <v>4.1319999999999997</v>
      </c>
      <c r="AF383" s="82">
        <v>4</v>
      </c>
      <c r="AG383" s="82">
        <v>1</v>
      </c>
      <c r="AH383" s="82">
        <v>1</v>
      </c>
      <c r="AI383" s="82">
        <v>1.9999999999708962</v>
      </c>
      <c r="AJ383" s="166">
        <v>4.1321199999999996</v>
      </c>
      <c r="AK383" s="82" t="str">
        <v>Base</v>
      </c>
      <c r="AL383" s="162">
        <v>-13.5</v>
      </c>
      <c r="AM383" s="162">
        <v>-4.8023031901750297</v>
      </c>
      <c r="AN383" s="162">
        <v>-1.5111397270949374</v>
      </c>
      <c r="AO383" s="162">
        <v>60.249226457616452</v>
      </c>
      <c r="AP383" s="162">
        <v>-24.466285540690528</v>
      </c>
      <c r="AQ383" s="162">
        <v>0</v>
      </c>
      <c r="AR383" s="710" t="str">
        <v>1613.par</v>
      </c>
      <c r="AV383" s="82" t="str">
        <v>0,204,204</v>
      </c>
      <c r="AW383" s="947">
        <v>60.249226457616452</v>
      </c>
      <c r="AX383" s="947">
        <v>60.249226457616452</v>
      </c>
      <c r="AY383" s="947">
        <v>0</v>
      </c>
    </row>
    <row r="384" spans="12:51" x14ac:dyDescent="0.25">
      <c r="L384"/>
      <c r="AD384" s="166"/>
      <c r="AE384" s="75">
        <v>4.1260000000000003</v>
      </c>
      <c r="AF384" s="82">
        <v>4</v>
      </c>
      <c r="AG384" s="82">
        <v>1</v>
      </c>
      <c r="AH384" s="82">
        <v>1</v>
      </c>
      <c r="AI384" s="82">
        <v>2.0000000000436557</v>
      </c>
      <c r="AJ384" s="166">
        <v>4.1261200000000002</v>
      </c>
      <c r="AK384" s="82" t="str">
        <v>Base</v>
      </c>
      <c r="AL384" s="162">
        <v>-13.5</v>
      </c>
      <c r="AM384" s="162">
        <v>-4.340235968178817</v>
      </c>
      <c r="AN384" s="162">
        <v>-0.90083648762715829</v>
      </c>
      <c r="AO384" s="162">
        <v>41.606624611766414</v>
      </c>
      <c r="AP384" s="162">
        <v>-20.495439001035297</v>
      </c>
      <c r="AQ384" s="162">
        <v>0</v>
      </c>
      <c r="AR384" s="710" t="str">
        <v>1613.par</v>
      </c>
      <c r="AV384" s="82" t="str">
        <v>0,204,204</v>
      </c>
      <c r="AW384" s="947">
        <v>41.606624611766414</v>
      </c>
      <c r="AX384" s="947">
        <v>41.606624611766414</v>
      </c>
      <c r="AY384" s="947">
        <v>0</v>
      </c>
    </row>
    <row r="385" spans="12:51" x14ac:dyDescent="0.25">
      <c r="L385"/>
      <c r="AD385" s="166"/>
      <c r="AE385" s="75">
        <v>4.12</v>
      </c>
      <c r="AF385" s="82">
        <v>4</v>
      </c>
      <c r="AG385" s="82">
        <v>1</v>
      </c>
      <c r="AH385" s="82">
        <v>1</v>
      </c>
      <c r="AI385" s="82">
        <v>1.9999999999708962</v>
      </c>
      <c r="AJ385" s="166">
        <v>4.12012</v>
      </c>
      <c r="AK385" s="82" t="str">
        <v>Base</v>
      </c>
      <c r="AL385" s="162">
        <v>-13.5</v>
      </c>
      <c r="AM385" s="162">
        <v>-3.690665647678546</v>
      </c>
      <c r="AN385" s="162">
        <v>-0.49479072909129151</v>
      </c>
      <c r="AO385" s="162">
        <v>22.793338283804125</v>
      </c>
      <c r="AP385" s="162">
        <v>-16.548323321314136</v>
      </c>
      <c r="AQ385" s="162">
        <v>0</v>
      </c>
      <c r="AR385" s="710" t="str">
        <v>1613 Ripper.par</v>
      </c>
      <c r="AV385" s="82" t="str">
        <v>0,204,204</v>
      </c>
      <c r="AW385" s="947">
        <v>22.793338283804125</v>
      </c>
      <c r="AX385" s="947">
        <v>22.793338283804125</v>
      </c>
      <c r="AY385" s="947">
        <v>0</v>
      </c>
    </row>
    <row r="386" spans="12:51" x14ac:dyDescent="0.25">
      <c r="L386"/>
      <c r="AD386" s="166"/>
      <c r="AE386" s="75">
        <v>4.1139999999999999</v>
      </c>
      <c r="AF386" s="82">
        <v>4</v>
      </c>
      <c r="AG386" s="82">
        <v>1</v>
      </c>
      <c r="AH386" s="82">
        <v>1</v>
      </c>
      <c r="AI386" s="82">
        <v>1.9999999999708962</v>
      </c>
      <c r="AJ386" s="166">
        <v>4.1141199999999998</v>
      </c>
      <c r="AK386" s="82" t="str">
        <v>Base</v>
      </c>
      <c r="AL386" s="162">
        <v>-13.5</v>
      </c>
      <c r="AM386" s="162">
        <v>-2.9383851347705265</v>
      </c>
      <c r="AN386" s="162">
        <v>-0.34688165867548304</v>
      </c>
      <c r="AO386" s="162">
        <v>3.9705087662236287</v>
      </c>
      <c r="AP386" s="162">
        <v>-15.469551353298518</v>
      </c>
      <c r="AQ386" s="162">
        <v>0</v>
      </c>
      <c r="AR386" s="710" t="str">
        <v>1613 Ripper.par</v>
      </c>
      <c r="AV386" s="82" t="str">
        <v>0,204,204</v>
      </c>
      <c r="AW386" s="947">
        <v>3.9705087662236287</v>
      </c>
      <c r="AX386" s="947">
        <v>3.9705087662236287</v>
      </c>
      <c r="AY386" s="947">
        <v>0</v>
      </c>
    </row>
    <row r="387" spans="12:51" x14ac:dyDescent="0.25">
      <c r="L387"/>
      <c r="AD387" s="166"/>
      <c r="AE387" s="75">
        <v>3.2509999999999999</v>
      </c>
      <c r="AF387" s="82">
        <v>3</v>
      </c>
      <c r="AG387" s="82">
        <v>2</v>
      </c>
      <c r="AH387" s="82">
        <v>1</v>
      </c>
      <c r="AI387" s="82">
        <v>1.9999999999708962</v>
      </c>
      <c r="AJ387" s="166">
        <v>3.2511199999999998</v>
      </c>
      <c r="AK387" s="82" t="str">
        <v>Base</v>
      </c>
      <c r="AL387" s="162">
        <v>-12.75</v>
      </c>
      <c r="AM387" s="162">
        <v>-5.1223779559634783</v>
      </c>
      <c r="AN387" s="162">
        <v>-9.6532729483973476</v>
      </c>
      <c r="AO387" s="162">
        <v>100.03561890671625</v>
      </c>
      <c r="AP387" s="162">
        <v>-39.831236627249623</v>
      </c>
      <c r="AQ387" s="162">
        <v>0</v>
      </c>
      <c r="AR387" s="710" t="str">
        <v>1313.par</v>
      </c>
      <c r="AV387" s="82" t="str">
        <v>97,255,97</v>
      </c>
      <c r="AW387" s="947">
        <v>100.03561890671625</v>
      </c>
      <c r="AX387" s="947">
        <v>100.03561890671625</v>
      </c>
      <c r="AY387" s="947">
        <v>0</v>
      </c>
    </row>
    <row r="388" spans="12:51" x14ac:dyDescent="0.25">
      <c r="L388"/>
      <c r="AD388" s="166"/>
      <c r="AE388" s="75">
        <v>3.2450000000000001</v>
      </c>
      <c r="AF388" s="82">
        <v>3</v>
      </c>
      <c r="AG388" s="82">
        <v>2</v>
      </c>
      <c r="AH388" s="82">
        <v>1</v>
      </c>
      <c r="AI388" s="82">
        <v>2.000000000007276</v>
      </c>
      <c r="AJ388" s="166">
        <v>3.24512</v>
      </c>
      <c r="AK388" s="82" t="str">
        <v>Base</v>
      </c>
      <c r="AL388" s="162">
        <v>-12.75</v>
      </c>
      <c r="AM388" s="162">
        <v>-5.0208747946625891</v>
      </c>
      <c r="AN388" s="162">
        <v>-3.1831848933032481</v>
      </c>
      <c r="AO388" s="162">
        <v>89.999987005609611</v>
      </c>
      <c r="AP388" s="162">
        <v>0</v>
      </c>
      <c r="AQ388" s="162">
        <v>0</v>
      </c>
      <c r="AR388" s="710" t="str">
        <v>32193r1.par</v>
      </c>
      <c r="AV388" s="82" t="str">
        <v>97,255,97</v>
      </c>
      <c r="AW388" s="947">
        <v>89.999987005609611</v>
      </c>
      <c r="AX388" s="947">
        <v>89.999987005609611</v>
      </c>
      <c r="AY388" s="947">
        <v>0</v>
      </c>
    </row>
    <row r="389" spans="12:51" x14ac:dyDescent="0.25">
      <c r="L389"/>
      <c r="AD389" s="166"/>
      <c r="AE389" s="75">
        <v>3.2389999999999999</v>
      </c>
      <c r="AF389" s="82">
        <v>3</v>
      </c>
      <c r="AG389" s="82">
        <v>2</v>
      </c>
      <c r="AH389" s="82">
        <v>1</v>
      </c>
      <c r="AI389" s="82">
        <v>1.9999999999708962</v>
      </c>
      <c r="AJ389" s="166">
        <v>3.2391199999999998</v>
      </c>
      <c r="AK389" s="82" t="str">
        <v>Base</v>
      </c>
      <c r="AL389" s="162">
        <v>-12.75</v>
      </c>
      <c r="AM389" s="162">
        <v>-4.9934378719711736</v>
      </c>
      <c r="AN389" s="162">
        <v>-2.4305818403319508</v>
      </c>
      <c r="AO389" s="162">
        <v>82.999988016284419</v>
      </c>
      <c r="AP389" s="162">
        <v>0</v>
      </c>
      <c r="AQ389" s="162">
        <v>0</v>
      </c>
      <c r="AR389" s="710" t="str">
        <v>32193r1.par</v>
      </c>
      <c r="AV389" s="82" t="str">
        <v>97,255,97</v>
      </c>
      <c r="AW389" s="947">
        <v>82.999988016284419</v>
      </c>
      <c r="AX389" s="947">
        <v>82.999988016284419</v>
      </c>
      <c r="AY389" s="947">
        <v>0</v>
      </c>
    </row>
    <row r="390" spans="12:51" x14ac:dyDescent="0.25">
      <c r="L390"/>
      <c r="AD390" s="166"/>
      <c r="AE390" s="75">
        <v>3.2330000000000001</v>
      </c>
      <c r="AF390" s="82">
        <v>3</v>
      </c>
      <c r="AG390" s="82">
        <v>2</v>
      </c>
      <c r="AH390" s="82">
        <v>1</v>
      </c>
      <c r="AI390" s="82">
        <v>2.000000000007276</v>
      </c>
      <c r="AJ390" s="166">
        <v>3.23312</v>
      </c>
      <c r="AK390" s="82" t="str">
        <v>Base</v>
      </c>
      <c r="AL390" s="162">
        <v>-12.75</v>
      </c>
      <c r="AM390" s="162">
        <v>-4.8780303852724725</v>
      </c>
      <c r="AN390" s="162">
        <v>-1.6677543034432047</v>
      </c>
      <c r="AO390" s="162">
        <v>63.392943063786667</v>
      </c>
      <c r="AP390" s="162">
        <v>-30.139109350595657</v>
      </c>
      <c r="AQ390" s="162">
        <v>0</v>
      </c>
      <c r="AR390" s="710" t="str">
        <v>1313.par</v>
      </c>
      <c r="AV390" s="82" t="str">
        <v>97,255,97</v>
      </c>
      <c r="AW390" s="947">
        <v>63.392943063786667</v>
      </c>
      <c r="AX390" s="947">
        <v>63.392943063786667</v>
      </c>
      <c r="AY390" s="947">
        <v>0</v>
      </c>
    </row>
    <row r="391" spans="12:51" x14ac:dyDescent="0.25">
      <c r="L391"/>
      <c r="AD391" s="166"/>
      <c r="AE391" s="75">
        <v>3.2269999999999999</v>
      </c>
      <c r="AF391" s="82">
        <v>3</v>
      </c>
      <c r="AG391" s="82">
        <v>2</v>
      </c>
      <c r="AH391" s="82">
        <v>1</v>
      </c>
      <c r="AI391" s="82">
        <v>1.9999999999708962</v>
      </c>
      <c r="AJ391" s="166">
        <v>3.2271199999999998</v>
      </c>
      <c r="AK391" s="82" t="str">
        <v>Base</v>
      </c>
      <c r="AL391" s="162">
        <v>-12.75</v>
      </c>
      <c r="AM391" s="162">
        <v>-4.4493480813053772</v>
      </c>
      <c r="AN391" s="162">
        <v>-1.0246696393079859</v>
      </c>
      <c r="AO391" s="162">
        <v>44.830187859593472</v>
      </c>
      <c r="AP391" s="162">
        <v>-26.16280668690904</v>
      </c>
      <c r="AQ391" s="162">
        <v>0</v>
      </c>
      <c r="AR391" s="710" t="str">
        <v>1313.par</v>
      </c>
      <c r="AV391" s="82" t="str">
        <v>97,255,97</v>
      </c>
      <c r="AW391" s="947">
        <v>44.830187859593472</v>
      </c>
      <c r="AX391" s="947">
        <v>44.830187859593472</v>
      </c>
      <c r="AY391" s="947">
        <v>0</v>
      </c>
    </row>
    <row r="392" spans="12:51" x14ac:dyDescent="0.25">
      <c r="L392"/>
      <c r="AD392" s="166"/>
      <c r="AE392" s="75">
        <v>3.2210000000000001</v>
      </c>
      <c r="AF392" s="82">
        <v>3</v>
      </c>
      <c r="AG392" s="82">
        <v>2</v>
      </c>
      <c r="AH392" s="82">
        <v>1</v>
      </c>
      <c r="AI392" s="82">
        <v>2.000000000007276</v>
      </c>
      <c r="AJ392" s="166">
        <v>3.22112</v>
      </c>
      <c r="AK392" s="82" t="str">
        <v>Base</v>
      </c>
      <c r="AL392" s="162">
        <v>-12.75</v>
      </c>
      <c r="AM392" s="162">
        <v>-3.8192371295293186</v>
      </c>
      <c r="AN392" s="162">
        <v>-0.57645791545956737</v>
      </c>
      <c r="AO392" s="162">
        <v>26.167511622001179</v>
      </c>
      <c r="AP392" s="162">
        <v>-22.20779132657719</v>
      </c>
      <c r="AQ392" s="162">
        <v>0</v>
      </c>
      <c r="AR392" s="710" t="str">
        <v>1313.par</v>
      </c>
      <c r="AV392" s="82" t="str">
        <v>97,255,97</v>
      </c>
      <c r="AW392" s="947">
        <v>26.167511622001179</v>
      </c>
      <c r="AX392" s="947">
        <v>26.167511622001179</v>
      </c>
      <c r="AY392" s="947">
        <v>0</v>
      </c>
    </row>
    <row r="393" spans="12:51" x14ac:dyDescent="0.25">
      <c r="L393"/>
      <c r="AD393" s="166"/>
      <c r="AE393" s="75">
        <v>3.2149999999999999</v>
      </c>
      <c r="AF393" s="82">
        <v>3</v>
      </c>
      <c r="AG393" s="82">
        <v>2</v>
      </c>
      <c r="AH393" s="82">
        <v>1</v>
      </c>
      <c r="AI393" s="82">
        <v>1.9999999999708962</v>
      </c>
      <c r="AJ393" s="166">
        <v>3.2151199999999998</v>
      </c>
      <c r="AK393" s="82" t="str">
        <v>Base</v>
      </c>
      <c r="AL393" s="162">
        <v>-12.75</v>
      </c>
      <c r="AM393" s="162">
        <v>-3.0661488581587393</v>
      </c>
      <c r="AN393" s="162">
        <v>-0.41060499591582089</v>
      </c>
      <c r="AO393" s="162">
        <v>-0.99999985561788196</v>
      </c>
      <c r="AP393" s="162">
        <v>0</v>
      </c>
      <c r="AQ393" s="162">
        <v>0</v>
      </c>
      <c r="AR393" s="710" t="str">
        <v>32193r1.par</v>
      </c>
      <c r="AV393" s="82" t="str">
        <v>97,255,97</v>
      </c>
      <c r="AW393" s="947">
        <v>-0.99999985561788196</v>
      </c>
      <c r="AX393" s="947">
        <v>-0.99999985561788196</v>
      </c>
      <c r="AY393" s="947">
        <v>0</v>
      </c>
    </row>
    <row r="394" spans="12:51" x14ac:dyDescent="0.25">
      <c r="L394"/>
      <c r="AD394" s="166"/>
      <c r="AE394" s="75">
        <v>3.145</v>
      </c>
      <c r="AF394" s="82">
        <v>3</v>
      </c>
      <c r="AG394" s="82">
        <v>1</v>
      </c>
      <c r="AH394" s="82">
        <v>1</v>
      </c>
      <c r="AI394" s="82">
        <v>2.000000000007276</v>
      </c>
      <c r="AJ394" s="166">
        <v>3.1451199999999999</v>
      </c>
      <c r="AK394" s="82" t="str">
        <v>Base</v>
      </c>
      <c r="AL394" s="162">
        <v>-12</v>
      </c>
      <c r="AM394" s="162">
        <v>-5.0550887932628417</v>
      </c>
      <c r="AN394" s="162">
        <v>-3.176477355653351</v>
      </c>
      <c r="AO394" s="162">
        <v>84.97011741683842</v>
      </c>
      <c r="AP394" s="162">
        <v>-29.785208788526909</v>
      </c>
      <c r="AQ394" s="162">
        <v>0</v>
      </c>
      <c r="AR394" s="710" t="str">
        <v>1613.par</v>
      </c>
      <c r="AV394" s="82" t="str">
        <v>0,204,0</v>
      </c>
      <c r="AW394" s="947">
        <v>84.97011741683842</v>
      </c>
      <c r="AX394" s="947">
        <v>84.97011741683842</v>
      </c>
      <c r="AY394" s="947">
        <v>0</v>
      </c>
    </row>
    <row r="395" spans="12:51" x14ac:dyDescent="0.25">
      <c r="L395"/>
      <c r="AD395" s="166"/>
      <c r="AE395" s="75">
        <v>3.1389999999999998</v>
      </c>
      <c r="AF395" s="82">
        <v>3</v>
      </c>
      <c r="AG395" s="82">
        <v>1</v>
      </c>
      <c r="AH395" s="82">
        <v>1</v>
      </c>
      <c r="AI395" s="82">
        <v>1.9999999999708962</v>
      </c>
      <c r="AJ395" s="166">
        <v>3.1391199999999997</v>
      </c>
      <c r="AK395" s="82" t="str">
        <v>Base</v>
      </c>
      <c r="AL395" s="162">
        <v>-12</v>
      </c>
      <c r="AM395" s="162">
        <v>-5.0256652349223865</v>
      </c>
      <c r="AN395" s="162">
        <v>-2.4222790116612467</v>
      </c>
      <c r="AO395" s="162">
        <v>81.885446807640747</v>
      </c>
      <c r="AP395" s="162">
        <v>-29.118222259814257</v>
      </c>
      <c r="AQ395" s="162">
        <v>0</v>
      </c>
      <c r="AR395" s="710" t="str">
        <v>1613.par</v>
      </c>
      <c r="AV395" s="82" t="str">
        <v>0,204,0</v>
      </c>
      <c r="AW395" s="947">
        <v>81.885446807640747</v>
      </c>
      <c r="AX395" s="947">
        <v>81.885446807640747</v>
      </c>
      <c r="AY395" s="947">
        <v>0</v>
      </c>
    </row>
    <row r="396" spans="12:51" x14ac:dyDescent="0.25">
      <c r="L396"/>
      <c r="AD396" s="166"/>
      <c r="AE396" s="75">
        <v>3.133</v>
      </c>
      <c r="AF396" s="82">
        <v>3</v>
      </c>
      <c r="AG396" s="82">
        <v>1</v>
      </c>
      <c r="AH396" s="82">
        <v>1</v>
      </c>
      <c r="AI396" s="82">
        <v>2.000000000007276</v>
      </c>
      <c r="AJ396" s="166">
        <v>3.1331199999999999</v>
      </c>
      <c r="AK396" s="82" t="str">
        <v>Base</v>
      </c>
      <c r="AL396" s="162">
        <v>-12</v>
      </c>
      <c r="AM396" s="162">
        <v>-4.8564048247187852</v>
      </c>
      <c r="AN396" s="162">
        <v>-1.6757630211670513</v>
      </c>
      <c r="AO396" s="162">
        <v>63.345987496311885</v>
      </c>
      <c r="AP396" s="162">
        <v>-25.129745570941751</v>
      </c>
      <c r="AQ396" s="162">
        <v>0</v>
      </c>
      <c r="AR396" s="710" t="str">
        <v>1613.par</v>
      </c>
      <c r="AV396" s="82" t="str">
        <v>0,204,0</v>
      </c>
      <c r="AW396" s="947">
        <v>63.345987496311885</v>
      </c>
      <c r="AX396" s="947">
        <v>63.345987496311885</v>
      </c>
      <c r="AY396" s="947">
        <v>0</v>
      </c>
    </row>
    <row r="397" spans="12:51" x14ac:dyDescent="0.25">
      <c r="L397"/>
      <c r="AD397" s="166"/>
      <c r="AE397" s="75">
        <v>3.1269999999999998</v>
      </c>
      <c r="AF397" s="82">
        <v>3</v>
      </c>
      <c r="AG397" s="82">
        <v>1</v>
      </c>
      <c r="AH397" s="82">
        <v>1</v>
      </c>
      <c r="AI397" s="82">
        <v>1.9999999999708962</v>
      </c>
      <c r="AJ397" s="166">
        <v>3.1271199999999997</v>
      </c>
      <c r="AK397" s="82" t="str">
        <v>Base</v>
      </c>
      <c r="AL397" s="162">
        <v>-12</v>
      </c>
      <c r="AM397" s="162">
        <v>-4.4323083330046469</v>
      </c>
      <c r="AN397" s="162">
        <v>-1.0385991159910424</v>
      </c>
      <c r="AO397" s="162">
        <v>44.722719194276351</v>
      </c>
      <c r="AP397" s="162">
        <v>-21.155897053638178</v>
      </c>
      <c r="AQ397" s="162">
        <v>0</v>
      </c>
      <c r="AR397" s="710" t="str">
        <v>1613.par</v>
      </c>
      <c r="AV397" s="82" t="str">
        <v>0,204,0</v>
      </c>
      <c r="AW397" s="947">
        <v>44.722719194276351</v>
      </c>
      <c r="AX397" s="947">
        <v>44.722719194276351</v>
      </c>
      <c r="AY397" s="947">
        <v>0</v>
      </c>
    </row>
    <row r="398" spans="12:51" x14ac:dyDescent="0.25">
      <c r="L398"/>
      <c r="AD398" s="166"/>
      <c r="AE398" s="75">
        <v>3.121</v>
      </c>
      <c r="AF398" s="82">
        <v>3</v>
      </c>
      <c r="AG398" s="82">
        <v>1</v>
      </c>
      <c r="AH398" s="82">
        <v>1</v>
      </c>
      <c r="AI398" s="82">
        <v>2.000000000007276</v>
      </c>
      <c r="AJ398" s="166">
        <v>3.1211199999999999</v>
      </c>
      <c r="AK398" s="82" t="str">
        <v>Base</v>
      </c>
      <c r="AL398" s="162">
        <v>-12</v>
      </c>
      <c r="AM398" s="162">
        <v>-3.8085869115984403</v>
      </c>
      <c r="AN398" s="162">
        <v>-0.59405316080681403</v>
      </c>
      <c r="AO398" s="162">
        <v>25.946275176386688</v>
      </c>
      <c r="AP398" s="162">
        <v>-17.203971811334654</v>
      </c>
      <c r="AQ398" s="162">
        <v>0</v>
      </c>
      <c r="AR398" s="710" t="str">
        <v>1613 Ripper.par</v>
      </c>
      <c r="AV398" s="82" t="str">
        <v>0,204,0</v>
      </c>
      <c r="AW398" s="947">
        <v>25.946275176386688</v>
      </c>
      <c r="AX398" s="947">
        <v>25.946275176386688</v>
      </c>
      <c r="AY398" s="947">
        <v>0</v>
      </c>
    </row>
    <row r="399" spans="12:51" x14ac:dyDescent="0.25">
      <c r="L399"/>
      <c r="AD399" s="166"/>
      <c r="AE399" s="75">
        <v>3.1150000000000002</v>
      </c>
      <c r="AF399" s="82">
        <v>3</v>
      </c>
      <c r="AG399" s="82">
        <v>1</v>
      </c>
      <c r="AH399" s="82">
        <v>1</v>
      </c>
      <c r="AI399" s="82">
        <v>2.000000000007276</v>
      </c>
      <c r="AJ399" s="166">
        <v>3.1151200000000001</v>
      </c>
      <c r="AK399" s="82" t="str">
        <v>Base</v>
      </c>
      <c r="AL399" s="162">
        <v>-12</v>
      </c>
      <c r="AM399" s="162">
        <v>-3.0667945084187682</v>
      </c>
      <c r="AN399" s="162">
        <v>-0.40071380945598212</v>
      </c>
      <c r="AO399" s="162">
        <v>7.1077563806310833</v>
      </c>
      <c r="AP399" s="162">
        <v>-15.551478149906009</v>
      </c>
      <c r="AQ399" s="162">
        <v>0</v>
      </c>
      <c r="AR399" s="710" t="str">
        <v>1613 Ripper.par</v>
      </c>
      <c r="AV399" s="82" t="str">
        <v>0,204,0</v>
      </c>
      <c r="AW399" s="947">
        <v>7.1077563806310833</v>
      </c>
      <c r="AX399" s="947">
        <v>7.1077563806310833</v>
      </c>
      <c r="AY399" s="947">
        <v>0</v>
      </c>
    </row>
    <row r="400" spans="12:51" x14ac:dyDescent="0.25">
      <c r="L400"/>
      <c r="AD400" s="166"/>
      <c r="AE400" s="75">
        <v>3.109</v>
      </c>
      <c r="AF400" s="82">
        <v>3</v>
      </c>
      <c r="AG400" s="82">
        <v>1</v>
      </c>
      <c r="AH400" s="82">
        <v>1</v>
      </c>
      <c r="AI400" s="82">
        <v>1.9999999999708962</v>
      </c>
      <c r="AJ400" s="166">
        <v>3.1091199999999999</v>
      </c>
      <c r="AK400" s="82" t="str">
        <v>Base</v>
      </c>
      <c r="AL400" s="162">
        <v>-12</v>
      </c>
      <c r="AM400" s="162">
        <v>-2.3048937266229794</v>
      </c>
      <c r="AN400" s="162">
        <v>-0.48274625259854104</v>
      </c>
      <c r="AO400" s="162">
        <v>-11.754573914654843</v>
      </c>
      <c r="AP400" s="162">
        <v>-15.090629431527974</v>
      </c>
      <c r="AQ400" s="162">
        <v>0</v>
      </c>
      <c r="AR400" s="710" t="str">
        <v>1613 Ripper.par</v>
      </c>
      <c r="AV400" s="82" t="str">
        <v>0,204,0</v>
      </c>
      <c r="AW400" s="947">
        <v>-11.754573914654843</v>
      </c>
      <c r="AX400" s="947">
        <v>-11.754573914654843</v>
      </c>
      <c r="AY400" s="947">
        <v>0</v>
      </c>
    </row>
    <row r="401" spans="12:51" x14ac:dyDescent="0.25">
      <c r="L401"/>
      <c r="AD401" s="166"/>
      <c r="AE401" s="75">
        <v>3.1059999999999999</v>
      </c>
      <c r="AF401" s="82">
        <v>3</v>
      </c>
      <c r="AG401" s="82">
        <v>1</v>
      </c>
      <c r="AH401" s="82">
        <v>1</v>
      </c>
      <c r="AI401" s="82">
        <v>1.9999999999708962</v>
      </c>
      <c r="AJ401" s="166">
        <v>3.1061199999999998</v>
      </c>
      <c r="AK401" s="82" t="str">
        <v>Base</v>
      </c>
      <c r="AL401" s="162">
        <v>-12</v>
      </c>
      <c r="AM401" s="162">
        <v>-1.6077246308135538</v>
      </c>
      <c r="AN401" s="162">
        <v>-0.66925813675129087</v>
      </c>
      <c r="AO401" s="162">
        <v>-12.508515021959289</v>
      </c>
      <c r="AP401" s="162">
        <v>-15.134396576192788</v>
      </c>
      <c r="AQ401" s="162">
        <v>0</v>
      </c>
      <c r="AR401" s="710" t="str">
        <v>1613 Ripper.par</v>
      </c>
      <c r="AV401" s="82" t="str">
        <v>0,204,0</v>
      </c>
      <c r="AW401" s="947">
        <v>-12.508515021959289</v>
      </c>
      <c r="AX401" s="947">
        <v>-12.508515021959289</v>
      </c>
      <c r="AY401" s="947">
        <v>0</v>
      </c>
    </row>
    <row r="402" spans="12:51" x14ac:dyDescent="0.25">
      <c r="L402"/>
      <c r="AD402" s="166"/>
      <c r="AE402" s="75">
        <v>3.1030000000000002</v>
      </c>
      <c r="AF402" s="82">
        <v>3</v>
      </c>
      <c r="AG402" s="82">
        <v>1</v>
      </c>
      <c r="AH402" s="82">
        <v>1</v>
      </c>
      <c r="AI402" s="82">
        <v>2.000000000007276</v>
      </c>
      <c r="AJ402" s="166">
        <v>3.1031200000000001</v>
      </c>
      <c r="AK402" s="82" t="str">
        <v>Base</v>
      </c>
      <c r="AL402" s="162">
        <v>-12</v>
      </c>
      <c r="AM402" s="162">
        <v>-0.86547604771679154</v>
      </c>
      <c r="AN402" s="162">
        <v>-0.86767898610834782</v>
      </c>
      <c r="AO402" s="162">
        <v>-14.302653650703496</v>
      </c>
      <c r="AP402" s="162">
        <v>-16.268123573021061</v>
      </c>
      <c r="AQ402" s="162">
        <v>0</v>
      </c>
      <c r="AR402" s="710" t="str">
        <v>1613.par</v>
      </c>
      <c r="AV402" s="82" t="str">
        <v>0,204,0</v>
      </c>
      <c r="AW402" s="947">
        <v>-14.302653650703496</v>
      </c>
      <c r="AX402" s="947">
        <v>-14.302653650703496</v>
      </c>
      <c r="AY402" s="947">
        <v>0</v>
      </c>
    </row>
    <row r="403" spans="12:51" x14ac:dyDescent="0.25">
      <c r="L403"/>
      <c r="AD403" s="166"/>
      <c r="AE403" s="75">
        <v>2.2519999999999998</v>
      </c>
      <c r="AF403" s="82">
        <v>2</v>
      </c>
      <c r="AG403" s="82">
        <v>2</v>
      </c>
      <c r="AH403" s="82">
        <v>1</v>
      </c>
      <c r="AI403" s="82">
        <v>1.9999999999708962</v>
      </c>
      <c r="AJ403" s="166">
        <v>2.2521199999999997</v>
      </c>
      <c r="AK403" s="82" t="str">
        <v>Base</v>
      </c>
      <c r="AL403" s="162">
        <v>-11.25</v>
      </c>
      <c r="AM403" s="162">
        <v>-5.1223779559634774</v>
      </c>
      <c r="AN403" s="162">
        <v>-10.065772961030783</v>
      </c>
      <c r="AO403" s="162">
        <v>100.03561890671624</v>
      </c>
      <c r="AP403" s="162">
        <v>-39.831236627249659</v>
      </c>
      <c r="AQ403" s="162">
        <v>0</v>
      </c>
      <c r="AR403" s="710" t="str">
        <v>1313.par</v>
      </c>
      <c r="AV403" s="82" t="str">
        <v>255,255,91</v>
      </c>
      <c r="AW403" s="947">
        <v>100.03561890671624</v>
      </c>
      <c r="AX403" s="947">
        <v>100.03561890671624</v>
      </c>
      <c r="AY403" s="947">
        <v>0</v>
      </c>
    </row>
    <row r="404" spans="12:51" x14ac:dyDescent="0.25">
      <c r="L404"/>
      <c r="AD404" s="166"/>
      <c r="AE404" s="75">
        <v>2.246</v>
      </c>
      <c r="AF404" s="82">
        <v>2</v>
      </c>
      <c r="AG404" s="82">
        <v>2</v>
      </c>
      <c r="AH404" s="82">
        <v>1</v>
      </c>
      <c r="AI404" s="82">
        <v>2.000000000007276</v>
      </c>
      <c r="AJ404" s="166">
        <v>2.2461199999999999</v>
      </c>
      <c r="AK404" s="82" t="str">
        <v>Base</v>
      </c>
      <c r="AL404" s="162">
        <v>-11.25</v>
      </c>
      <c r="AM404" s="162">
        <v>-5.0208747946625891</v>
      </c>
      <c r="AN404" s="162">
        <v>-3.4270191800979295</v>
      </c>
      <c r="AO404" s="162">
        <v>89.999987005609626</v>
      </c>
      <c r="AP404" s="162">
        <v>0</v>
      </c>
      <c r="AQ404" s="162">
        <v>0</v>
      </c>
      <c r="AR404" s="710" t="str">
        <v>32193r1.par</v>
      </c>
      <c r="AV404" s="82" t="str">
        <v>255,255,91</v>
      </c>
      <c r="AW404" s="947">
        <v>89.999987005609626</v>
      </c>
      <c r="AX404" s="947">
        <v>89.999987005609626</v>
      </c>
      <c r="AY404" s="947">
        <v>0</v>
      </c>
    </row>
    <row r="405" spans="12:51" x14ac:dyDescent="0.25">
      <c r="L405"/>
      <c r="AD405" s="166"/>
      <c r="AE405" s="75">
        <v>2.2400000000000002</v>
      </c>
      <c r="AF405" s="82">
        <v>2</v>
      </c>
      <c r="AG405" s="82">
        <v>2</v>
      </c>
      <c r="AH405" s="82">
        <v>1</v>
      </c>
      <c r="AI405" s="82">
        <v>2.000000000007276</v>
      </c>
      <c r="AJ405" s="166">
        <v>2.2401200000000001</v>
      </c>
      <c r="AK405" s="82" t="str">
        <v>Base</v>
      </c>
      <c r="AL405" s="162">
        <v>-11.25</v>
      </c>
      <c r="AM405" s="162">
        <v>-4.9927899012947679</v>
      </c>
      <c r="AN405" s="162">
        <v>-2.6756369363436283</v>
      </c>
      <c r="AO405" s="162">
        <v>89.999987005609611</v>
      </c>
      <c r="AP405" s="162">
        <v>0</v>
      </c>
      <c r="AQ405" s="162">
        <v>0</v>
      </c>
      <c r="AR405" s="710" t="str">
        <v>32193r1.par</v>
      </c>
      <c r="AV405" s="82" t="str">
        <v>255,255,91</v>
      </c>
      <c r="AW405" s="947">
        <v>89.999987005609611</v>
      </c>
      <c r="AX405" s="947">
        <v>89.999987005609611</v>
      </c>
      <c r="AY405" s="947">
        <v>0</v>
      </c>
    </row>
    <row r="406" spans="12:51" x14ac:dyDescent="0.25">
      <c r="L406"/>
      <c r="AD406" s="166"/>
      <c r="AE406" s="75">
        <v>2.234</v>
      </c>
      <c r="AF406" s="82">
        <v>2</v>
      </c>
      <c r="AG406" s="82">
        <v>2</v>
      </c>
      <c r="AH406" s="82">
        <v>1</v>
      </c>
      <c r="AI406" s="82">
        <v>1.9999999999708962</v>
      </c>
      <c r="AJ406" s="166">
        <v>2.2341199999999999</v>
      </c>
      <c r="AK406" s="82" t="str">
        <v>Base</v>
      </c>
      <c r="AL406" s="162">
        <v>-11.25</v>
      </c>
      <c r="AM406" s="162">
        <v>-4.8811717254525888</v>
      </c>
      <c r="AN406" s="162">
        <v>-1.926878051540746</v>
      </c>
      <c r="AO406" s="162">
        <v>68.999990037634035</v>
      </c>
      <c r="AP406" s="162">
        <v>0</v>
      </c>
      <c r="AQ406" s="162">
        <v>0</v>
      </c>
      <c r="AR406" s="710" t="str">
        <v>32193r1.par</v>
      </c>
      <c r="AV406" s="82" t="str">
        <v>255,255,91</v>
      </c>
      <c r="AW406" s="947">
        <v>68.999990037634035</v>
      </c>
      <c r="AX406" s="947">
        <v>68.999990037634035</v>
      </c>
      <c r="AY406" s="947">
        <v>0</v>
      </c>
    </row>
    <row r="407" spans="12:51" x14ac:dyDescent="0.25">
      <c r="L407"/>
      <c r="AD407" s="166"/>
      <c r="AE407" s="75">
        <v>2.2280000000000002</v>
      </c>
      <c r="AF407" s="82">
        <v>2</v>
      </c>
      <c r="AG407" s="82">
        <v>2</v>
      </c>
      <c r="AH407" s="82">
        <v>1</v>
      </c>
      <c r="AI407" s="82">
        <v>2.000000000007276</v>
      </c>
      <c r="AJ407" s="166">
        <v>2.2281200000000001</v>
      </c>
      <c r="AK407" s="82" t="str">
        <v>Base</v>
      </c>
      <c r="AL407" s="162">
        <v>-11.25</v>
      </c>
      <c r="AM407" s="162">
        <v>-4.5041623974577867</v>
      </c>
      <c r="AN407" s="162">
        <v>-1.2626175399596193</v>
      </c>
      <c r="AO407" s="162">
        <v>47.999993069658451</v>
      </c>
      <c r="AP407" s="162">
        <v>0</v>
      </c>
      <c r="AQ407" s="162">
        <v>0</v>
      </c>
      <c r="AR407" s="710" t="str">
        <v>32193r1.par</v>
      </c>
      <c r="AV407" s="82" t="str">
        <v>255,255,91</v>
      </c>
      <c r="AW407" s="947">
        <v>47.999993069658451</v>
      </c>
      <c r="AX407" s="947">
        <v>47.999993069658451</v>
      </c>
      <c r="AY407" s="947">
        <v>0</v>
      </c>
    </row>
    <row r="408" spans="12:51" x14ac:dyDescent="0.25">
      <c r="L408"/>
      <c r="AD408" s="166"/>
      <c r="AE408" s="75">
        <v>2.222</v>
      </c>
      <c r="AF408" s="82">
        <v>2</v>
      </c>
      <c r="AG408" s="82">
        <v>2</v>
      </c>
      <c r="AH408" s="82">
        <v>1</v>
      </c>
      <c r="AI408" s="82">
        <v>1.9999999999708962</v>
      </c>
      <c r="AJ408" s="166">
        <v>2.2221199999999999</v>
      </c>
      <c r="AK408" s="82" t="str">
        <v>Base</v>
      </c>
      <c r="AL408" s="162">
        <v>-11.25</v>
      </c>
      <c r="AM408" s="162">
        <v>-3.9192729222602507</v>
      </c>
      <c r="AN408" s="162">
        <v>-0.78188739389105733</v>
      </c>
      <c r="AO408" s="162">
        <v>26.999996101682878</v>
      </c>
      <c r="AP408" s="162">
        <v>0</v>
      </c>
      <c r="AQ408" s="162">
        <v>0</v>
      </c>
      <c r="AR408" s="710" t="str">
        <v>32193r1.par</v>
      </c>
      <c r="AV408" s="82" t="str">
        <v>255,255,91</v>
      </c>
      <c r="AW408" s="947">
        <v>26.999996101682878</v>
      </c>
      <c r="AX408" s="947">
        <v>26.999996101682878</v>
      </c>
      <c r="AY408" s="947">
        <v>0</v>
      </c>
    </row>
    <row r="409" spans="12:51" x14ac:dyDescent="0.25">
      <c r="L409"/>
      <c r="AD409" s="166"/>
      <c r="AE409" s="75">
        <v>2.2160000000000002</v>
      </c>
      <c r="AF409" s="82">
        <v>2</v>
      </c>
      <c r="AG409" s="82">
        <v>2</v>
      </c>
      <c r="AH409" s="82">
        <v>1</v>
      </c>
      <c r="AI409" s="82">
        <v>2.000000000007276</v>
      </c>
      <c r="AJ409" s="166">
        <v>2.2161200000000001</v>
      </c>
      <c r="AK409" s="82" t="str">
        <v>Base</v>
      </c>
      <c r="AL409" s="162">
        <v>-11.25</v>
      </c>
      <c r="AM409" s="162">
        <v>-3.1937190736100054</v>
      </c>
      <c r="AN409" s="162">
        <v>-0.54208232603314532</v>
      </c>
      <c r="AO409" s="162">
        <v>5.9999991337073082</v>
      </c>
      <c r="AP409" s="162">
        <v>0</v>
      </c>
      <c r="AQ409" s="162">
        <v>0</v>
      </c>
      <c r="AR409" s="710" t="str">
        <v>32193r1.par</v>
      </c>
      <c r="AV409" s="82" t="str">
        <v>255,255,91</v>
      </c>
      <c r="AW409" s="947">
        <v>5.9999991337073082</v>
      </c>
      <c r="AX409" s="947">
        <v>5.9999991337073082</v>
      </c>
      <c r="AY409" s="947">
        <v>0</v>
      </c>
    </row>
    <row r="410" spans="12:51" x14ac:dyDescent="0.25">
      <c r="L410"/>
      <c r="AD410" s="166"/>
      <c r="AE410" s="75">
        <v>2.1459999999999999</v>
      </c>
      <c r="AF410" s="82">
        <v>2</v>
      </c>
      <c r="AG410" s="82">
        <v>1</v>
      </c>
      <c r="AH410" s="82">
        <v>1</v>
      </c>
      <c r="AI410" s="82">
        <v>1.9999999999708962</v>
      </c>
      <c r="AJ410" s="166">
        <v>2.1461199999999998</v>
      </c>
      <c r="AK410" s="82" t="str">
        <v>Base</v>
      </c>
      <c r="AL410" s="162">
        <v>-10.5</v>
      </c>
      <c r="AM410" s="162">
        <v>-5.0550887932628417</v>
      </c>
      <c r="AN410" s="162">
        <v>-3.4203116424298425</v>
      </c>
      <c r="AO410" s="162">
        <v>84.97011741683842</v>
      </c>
      <c r="AP410" s="162">
        <v>-29.785208788526894</v>
      </c>
      <c r="AQ410" s="162">
        <v>0</v>
      </c>
      <c r="AR410" s="710" t="str">
        <v>1613.par</v>
      </c>
      <c r="AV410" s="82" t="str">
        <v>204,204,0</v>
      </c>
      <c r="AW410" s="947">
        <v>84.97011741683842</v>
      </c>
      <c r="AX410" s="947">
        <v>84.97011741683842</v>
      </c>
      <c r="AY410" s="947">
        <v>0</v>
      </c>
    </row>
    <row r="411" spans="12:51" x14ac:dyDescent="0.25">
      <c r="L411"/>
      <c r="AD411" s="166"/>
      <c r="AE411" s="75">
        <v>2.14</v>
      </c>
      <c r="AF411" s="82">
        <v>2</v>
      </c>
      <c r="AG411" s="82">
        <v>1</v>
      </c>
      <c r="AH411" s="82">
        <v>1</v>
      </c>
      <c r="AI411" s="82">
        <v>2.000000000007276</v>
      </c>
      <c r="AJ411" s="166">
        <v>2.14012</v>
      </c>
      <c r="AK411" s="82" t="str">
        <v>Base</v>
      </c>
      <c r="AL411" s="162">
        <v>-10.5</v>
      </c>
      <c r="AM411" s="162">
        <v>-5.0270040657372688</v>
      </c>
      <c r="AN411" s="162">
        <v>-2.6689083635328954</v>
      </c>
      <c r="AO411" s="162">
        <v>84.969949372155938</v>
      </c>
      <c r="AP411" s="162">
        <v>-29.784116024848295</v>
      </c>
      <c r="AQ411" s="162">
        <v>0</v>
      </c>
      <c r="AR411" s="710" t="str">
        <v>1613.par</v>
      </c>
      <c r="AV411" s="82" t="str">
        <v>204,204,0</v>
      </c>
      <c r="AW411" s="947">
        <v>84.969949372155938</v>
      </c>
      <c r="AX411" s="947">
        <v>84.969949372155938</v>
      </c>
      <c r="AY411" s="947">
        <v>0</v>
      </c>
    </row>
    <row r="412" spans="12:51" x14ac:dyDescent="0.25">
      <c r="L412"/>
      <c r="AD412" s="166"/>
      <c r="AE412" s="75">
        <v>2.1339999999999999</v>
      </c>
      <c r="AF412" s="82">
        <v>2</v>
      </c>
      <c r="AG412" s="82">
        <v>1</v>
      </c>
      <c r="AH412" s="82">
        <v>1</v>
      </c>
      <c r="AI412" s="82">
        <v>1.9999999999708962</v>
      </c>
      <c r="AJ412" s="166">
        <v>2.1341199999999998</v>
      </c>
      <c r="AK412" s="82" t="str">
        <v>Base</v>
      </c>
      <c r="AL412" s="162">
        <v>-10.5</v>
      </c>
      <c r="AM412" s="162">
        <v>-4.9033194043169575</v>
      </c>
      <c r="AN412" s="162">
        <v>-1.9134686474253333</v>
      </c>
      <c r="AO412" s="162">
        <v>66.440489504246187</v>
      </c>
      <c r="AP412" s="162">
        <v>-25.793602252313281</v>
      </c>
      <c r="AQ412" s="162">
        <v>0</v>
      </c>
      <c r="AR412" s="710" t="str">
        <v>1613.par</v>
      </c>
      <c r="AV412" s="82" t="str">
        <v>204,204,0</v>
      </c>
      <c r="AW412" s="947">
        <v>66.440489504246187</v>
      </c>
      <c r="AX412" s="947">
        <v>66.440489504246187</v>
      </c>
      <c r="AY412" s="947">
        <v>0</v>
      </c>
    </row>
    <row r="413" spans="12:51" x14ac:dyDescent="0.25">
      <c r="L413"/>
      <c r="AD413" s="166"/>
      <c r="AE413" s="75">
        <v>2.1280000000000001</v>
      </c>
      <c r="AF413" s="82">
        <v>2</v>
      </c>
      <c r="AG413" s="82">
        <v>1</v>
      </c>
      <c r="AH413" s="82">
        <v>1</v>
      </c>
      <c r="AI413" s="82">
        <v>2.000000000007276</v>
      </c>
      <c r="AJ413" s="166">
        <v>2.12812</v>
      </c>
      <c r="AK413" s="82" t="str">
        <v>Base</v>
      </c>
      <c r="AL413" s="162">
        <v>-10.5</v>
      </c>
      <c r="AM413" s="162">
        <v>-4.5186798771013077</v>
      </c>
      <c r="AN413" s="162">
        <v>-1.2517352833098603</v>
      </c>
      <c r="AO413" s="162">
        <v>47.834713669325687</v>
      </c>
      <c r="AP413" s="162">
        <v>-21.816944784593154</v>
      </c>
      <c r="AQ413" s="162">
        <v>0</v>
      </c>
      <c r="AR413" s="710" t="str">
        <v>1613.par</v>
      </c>
      <c r="AV413" s="82" t="str">
        <v>204,204,0</v>
      </c>
      <c r="AW413" s="947">
        <v>47.834713669325687</v>
      </c>
      <c r="AX413" s="947">
        <v>47.834713669325687</v>
      </c>
      <c r="AY413" s="947">
        <v>0</v>
      </c>
    </row>
    <row r="414" spans="12:51" x14ac:dyDescent="0.25">
      <c r="L414"/>
      <c r="AD414" s="166"/>
      <c r="AE414" s="75">
        <v>2.1219999999999999</v>
      </c>
      <c r="AF414" s="82">
        <v>2</v>
      </c>
      <c r="AG414" s="82">
        <v>1</v>
      </c>
      <c r="AH414" s="82">
        <v>1</v>
      </c>
      <c r="AI414" s="82">
        <v>1.9999999999708962</v>
      </c>
      <c r="AJ414" s="166">
        <v>2.1221199999999998</v>
      </c>
      <c r="AK414" s="82" t="str">
        <v>Base</v>
      </c>
      <c r="AL414" s="162">
        <v>-10.5</v>
      </c>
      <c r="AM414" s="162">
        <v>-3.923195158347927</v>
      </c>
      <c r="AN414" s="162">
        <v>-0.77027722253898734</v>
      </c>
      <c r="AO414" s="162">
        <v>29.091158349317926</v>
      </c>
      <c r="AP414" s="162">
        <v>-17.860607850540081</v>
      </c>
      <c r="AQ414" s="162">
        <v>0</v>
      </c>
      <c r="AR414" s="710" t="str">
        <v>1613.par</v>
      </c>
      <c r="AV414" s="82" t="str">
        <v>204,204,0</v>
      </c>
      <c r="AW414" s="947">
        <v>29.091158349317926</v>
      </c>
      <c r="AX414" s="947">
        <v>29.091158349317926</v>
      </c>
      <c r="AY414" s="947">
        <v>0</v>
      </c>
    </row>
    <row r="415" spans="12:51" x14ac:dyDescent="0.25">
      <c r="L415"/>
      <c r="AD415" s="166"/>
      <c r="AE415" s="75">
        <v>2.1160000000000001</v>
      </c>
      <c r="AF415" s="82">
        <v>2</v>
      </c>
      <c r="AG415" s="82">
        <v>1</v>
      </c>
      <c r="AH415" s="82">
        <v>1</v>
      </c>
      <c r="AI415" s="82">
        <v>2.000000000007276</v>
      </c>
      <c r="AJ415" s="166">
        <v>2.11612</v>
      </c>
      <c r="AK415" s="82" t="str">
        <v>Base</v>
      </c>
      <c r="AL415" s="162">
        <v>-10.5</v>
      </c>
      <c r="AM415" s="162">
        <v>-3.1946027962538608</v>
      </c>
      <c r="AN415" s="162">
        <v>-0.53229688040547463</v>
      </c>
      <c r="AO415" s="162">
        <v>10.242376499105918</v>
      </c>
      <c r="AP415" s="162">
        <v>-15.635007982189849</v>
      </c>
      <c r="AQ415" s="162">
        <v>0</v>
      </c>
      <c r="AR415" s="710" t="str">
        <v>1613 Ripper.par</v>
      </c>
      <c r="AV415" s="82" t="str">
        <v>204,204,0</v>
      </c>
      <c r="AW415" s="947">
        <v>10.242376499105918</v>
      </c>
      <c r="AX415" s="947">
        <v>10.242376499105918</v>
      </c>
      <c r="AY415" s="947">
        <v>0</v>
      </c>
    </row>
    <row r="416" spans="12:51" x14ac:dyDescent="0.25">
      <c r="L416"/>
      <c r="AD416" s="166"/>
      <c r="AE416" s="75">
        <v>2.11</v>
      </c>
      <c r="AF416" s="82">
        <v>2</v>
      </c>
      <c r="AG416" s="82">
        <v>1</v>
      </c>
      <c r="AH416" s="82">
        <v>1</v>
      </c>
      <c r="AI416" s="82">
        <v>1.9999999999708962</v>
      </c>
      <c r="AJ416" s="166">
        <v>2.1101199999999998</v>
      </c>
      <c r="AK416" s="82" t="str">
        <v>Base</v>
      </c>
      <c r="AL416" s="162">
        <v>-10.5</v>
      </c>
      <c r="AM416" s="162">
        <v>-2.4286205357576263</v>
      </c>
      <c r="AN416" s="162">
        <v>-0.5690880930347455</v>
      </c>
      <c r="AO416" s="162">
        <v>-8.604830320611164</v>
      </c>
      <c r="AP416" s="162">
        <v>-15.161593068640046</v>
      </c>
      <c r="AQ416" s="162">
        <v>0</v>
      </c>
      <c r="AR416" s="710" t="str">
        <v>1613 Ripper.par</v>
      </c>
      <c r="AV416" s="82" t="str">
        <v>204,204,0</v>
      </c>
      <c r="AW416" s="947">
        <v>-8.604830320611164</v>
      </c>
      <c r="AX416" s="947">
        <v>-8.604830320611164</v>
      </c>
      <c r="AY416" s="947">
        <v>0</v>
      </c>
    </row>
    <row r="417" spans="12:51" x14ac:dyDescent="0.25">
      <c r="L417"/>
      <c r="AD417" s="166"/>
      <c r="AE417" s="75">
        <v>1.2529999999999999</v>
      </c>
      <c r="AF417" s="82">
        <v>1</v>
      </c>
      <c r="AG417" s="82">
        <v>2</v>
      </c>
      <c r="AH417" s="82">
        <v>1</v>
      </c>
      <c r="AI417" s="82">
        <v>1.9999999999708962</v>
      </c>
      <c r="AJ417" s="166">
        <v>1.2531199999999998</v>
      </c>
      <c r="AK417" s="82" t="str">
        <v>Base</v>
      </c>
      <c r="AL417" s="162">
        <v>-9.75</v>
      </c>
      <c r="AM417" s="162">
        <v>-5.1223779559634792</v>
      </c>
      <c r="AN417" s="162">
        <v>-9.9866063057943677</v>
      </c>
      <c r="AO417" s="162">
        <v>100.03561890671624</v>
      </c>
      <c r="AP417" s="162">
        <v>-39.831236627249616</v>
      </c>
      <c r="AQ417" s="162">
        <v>0</v>
      </c>
      <c r="AR417" s="710" t="str">
        <v>1313.par</v>
      </c>
      <c r="AV417" s="82" t="str">
        <v>255,188,121</v>
      </c>
      <c r="AW417" s="947">
        <v>100.03561890671624</v>
      </c>
      <c r="AX417" s="947">
        <v>100.03561890671624</v>
      </c>
      <c r="AY417" s="947">
        <v>0</v>
      </c>
    </row>
    <row r="418" spans="12:51" x14ac:dyDescent="0.25">
      <c r="L418"/>
      <c r="AD418" s="166"/>
      <c r="AE418" s="75">
        <v>1.2470000000000001</v>
      </c>
      <c r="AF418" s="82">
        <v>1</v>
      </c>
      <c r="AG418" s="82">
        <v>2</v>
      </c>
      <c r="AH418" s="82">
        <v>1</v>
      </c>
      <c r="AI418" s="82">
        <v>2.000000000007276</v>
      </c>
      <c r="AJ418" s="166">
        <v>1.24712</v>
      </c>
      <c r="AK418" s="82" t="str">
        <v>Base</v>
      </c>
      <c r="AL418" s="162">
        <v>-9.75</v>
      </c>
      <c r="AM418" s="162">
        <v>-5.0208747946625891</v>
      </c>
      <c r="AN418" s="162">
        <v>-3.6077976137052934</v>
      </c>
      <c r="AO418" s="162">
        <v>89.999987005609597</v>
      </c>
      <c r="AP418" s="162">
        <v>0</v>
      </c>
      <c r="AQ418" s="162">
        <v>0</v>
      </c>
      <c r="AR418" s="710" t="str">
        <v>32193r1.par</v>
      </c>
      <c r="AV418" s="82" t="str">
        <v>255,188,121</v>
      </c>
      <c r="AW418" s="947">
        <v>89.999987005609597</v>
      </c>
      <c r="AX418" s="947">
        <v>89.999987005609597</v>
      </c>
      <c r="AY418" s="947">
        <v>0</v>
      </c>
    </row>
    <row r="419" spans="12:51" x14ac:dyDescent="0.25">
      <c r="L419"/>
      <c r="AD419" s="166"/>
      <c r="AE419" s="75">
        <v>1.2410000000000001</v>
      </c>
      <c r="AF419" s="82">
        <v>1</v>
      </c>
      <c r="AG419" s="82">
        <v>2</v>
      </c>
      <c r="AH419" s="82">
        <v>1</v>
      </c>
      <c r="AI419" s="82">
        <v>2.000000000007276</v>
      </c>
      <c r="AJ419" s="166">
        <v>1.24112</v>
      </c>
      <c r="AK419" s="82" t="str">
        <v>Base</v>
      </c>
      <c r="AL419" s="162">
        <v>-9.75</v>
      </c>
      <c r="AM419" s="162">
        <v>-4.9927899012947687</v>
      </c>
      <c r="AN419" s="162">
        <v>-2.8564153699509904</v>
      </c>
      <c r="AO419" s="162">
        <v>89.999987005609611</v>
      </c>
      <c r="AP419" s="162">
        <v>0</v>
      </c>
      <c r="AQ419" s="162">
        <v>0</v>
      </c>
      <c r="AR419" s="710" t="str">
        <v>32193r1.par</v>
      </c>
      <c r="AV419" s="82" t="str">
        <v>255,188,121</v>
      </c>
      <c r="AW419" s="947">
        <v>89.999987005609611</v>
      </c>
      <c r="AX419" s="947">
        <v>89.999987005609611</v>
      </c>
      <c r="AY419" s="947">
        <v>0</v>
      </c>
    </row>
    <row r="420" spans="12:51" x14ac:dyDescent="0.25">
      <c r="L420"/>
      <c r="AD420" s="166"/>
      <c r="AE420" s="75">
        <v>1.2350000000000001</v>
      </c>
      <c r="AF420" s="82">
        <v>1</v>
      </c>
      <c r="AG420" s="82">
        <v>2</v>
      </c>
      <c r="AH420" s="82">
        <v>1</v>
      </c>
      <c r="AI420" s="82">
        <v>2.000000000007276</v>
      </c>
      <c r="AJ420" s="166">
        <v>1.23512</v>
      </c>
      <c r="AK420" s="82" t="str">
        <v>Base</v>
      </c>
      <c r="AL420" s="162">
        <v>-9.75</v>
      </c>
      <c r="AM420" s="162">
        <v>-4.9655836720076438</v>
      </c>
      <c r="AN420" s="162">
        <v>-2.0850220210179384</v>
      </c>
      <c r="AO420" s="162">
        <v>69.566043588691343</v>
      </c>
      <c r="AP420" s="162">
        <v>-31.467894876304182</v>
      </c>
      <c r="AQ420" s="162">
        <v>0</v>
      </c>
      <c r="AR420" s="710" t="str">
        <v>1313.par</v>
      </c>
      <c r="AV420" s="82" t="str">
        <v>255,188,121</v>
      </c>
      <c r="AW420" s="947">
        <v>69.566043588691343</v>
      </c>
      <c r="AX420" s="947">
        <v>69.566043588691343</v>
      </c>
      <c r="AY420" s="947">
        <v>0</v>
      </c>
    </row>
    <row r="421" spans="12:51" x14ac:dyDescent="0.25">
      <c r="L421"/>
      <c r="AD421" s="166"/>
      <c r="AE421" s="75">
        <v>1.2290000000000001</v>
      </c>
      <c r="AF421" s="82">
        <v>1</v>
      </c>
      <c r="AG421" s="82">
        <v>2</v>
      </c>
      <c r="AH421" s="82">
        <v>1</v>
      </c>
      <c r="AI421" s="82">
        <v>2.000000000007276</v>
      </c>
      <c r="AJ421" s="166">
        <v>1.22912</v>
      </c>
      <c r="AK421" s="82" t="str">
        <v>Base</v>
      </c>
      <c r="AL421" s="162">
        <v>-9.75</v>
      </c>
      <c r="AM421" s="162">
        <v>-4.6179594043500742</v>
      </c>
      <c r="AN421" s="162">
        <v>-1.3947238131563959</v>
      </c>
      <c r="AO421" s="162">
        <v>51.026324417745535</v>
      </c>
      <c r="AP421" s="162">
        <v>-27.48633572036287</v>
      </c>
      <c r="AQ421" s="162">
        <v>0</v>
      </c>
      <c r="AR421" s="710" t="str">
        <v>1313.par</v>
      </c>
      <c r="AV421" s="82" t="str">
        <v>255,188,121</v>
      </c>
      <c r="AW421" s="947">
        <v>51.026324417745535</v>
      </c>
      <c r="AX421" s="947">
        <v>51.026324417745535</v>
      </c>
      <c r="AY421" s="947">
        <v>0</v>
      </c>
    </row>
    <row r="422" spans="12:51" x14ac:dyDescent="0.25">
      <c r="L422"/>
      <c r="AD422" s="166"/>
      <c r="AE422" s="75">
        <v>1.2230000000000001</v>
      </c>
      <c r="AF422" s="82">
        <v>1</v>
      </c>
      <c r="AG422" s="82">
        <v>2</v>
      </c>
      <c r="AH422" s="82">
        <v>1</v>
      </c>
      <c r="AI422" s="82">
        <v>2.000000000007276</v>
      </c>
      <c r="AJ422" s="166">
        <v>1.22312</v>
      </c>
      <c r="AK422" s="82" t="str">
        <v>Base</v>
      </c>
      <c r="AL422" s="162">
        <v>-9.75</v>
      </c>
      <c r="AM422" s="162">
        <v>-4.0470214224005918</v>
      </c>
      <c r="AN422" s="162">
        <v>-0.87354092894357893</v>
      </c>
      <c r="AO422" s="162">
        <v>32.403257224374144</v>
      </c>
      <c r="AP422" s="162">
        <v>-23.52307731097898</v>
      </c>
      <c r="AQ422" s="162">
        <v>0</v>
      </c>
      <c r="AR422" s="710" t="str">
        <v>1313.par</v>
      </c>
      <c r="AV422" s="82" t="str">
        <v>255,188,121</v>
      </c>
      <c r="AW422" s="947">
        <v>32.403257224374144</v>
      </c>
      <c r="AX422" s="947">
        <v>32.403257224374144</v>
      </c>
      <c r="AY422" s="947">
        <v>0</v>
      </c>
    </row>
    <row r="423" spans="12:51" x14ac:dyDescent="0.25">
      <c r="L423"/>
      <c r="AD423" s="166"/>
      <c r="AE423" s="75">
        <v>1.2170000000000001</v>
      </c>
      <c r="AF423" s="82">
        <v>1</v>
      </c>
      <c r="AG423" s="82">
        <v>2</v>
      </c>
      <c r="AH423" s="82">
        <v>1</v>
      </c>
      <c r="AI423" s="82">
        <v>1.9999999999890861</v>
      </c>
      <c r="AJ423" s="166">
        <v>1.21712</v>
      </c>
      <c r="AK423" s="82" t="str">
        <v>Base</v>
      </c>
      <c r="AL423" s="162">
        <v>-9.75</v>
      </c>
      <c r="AM423" s="162">
        <v>-3.3201755508845281</v>
      </c>
      <c r="AN423" s="162">
        <v>-0.618163571202895</v>
      </c>
      <c r="AO423" s="162">
        <v>5.9999991337073153</v>
      </c>
      <c r="AP423" s="162">
        <v>0</v>
      </c>
      <c r="AQ423" s="162">
        <v>0</v>
      </c>
      <c r="AR423" s="710" t="str">
        <v>32193r1.par</v>
      </c>
      <c r="AV423" s="82" t="str">
        <v>255,188,121</v>
      </c>
      <c r="AW423" s="947">
        <v>5.9999991337073153</v>
      </c>
      <c r="AX423" s="947">
        <v>5.9999991337073153</v>
      </c>
      <c r="AY423" s="947">
        <v>0</v>
      </c>
    </row>
    <row r="424" spans="12:51" x14ac:dyDescent="0.25">
      <c r="L424"/>
      <c r="AD424" s="166"/>
      <c r="AE424" s="75">
        <v>1.147</v>
      </c>
      <c r="AF424" s="82">
        <v>1</v>
      </c>
      <c r="AG424" s="82">
        <v>1</v>
      </c>
      <c r="AH424" s="82">
        <v>1</v>
      </c>
      <c r="AI424" s="82">
        <v>1.9999999999890861</v>
      </c>
      <c r="AJ424" s="166">
        <v>1.1471199999999999</v>
      </c>
      <c r="AK424" s="82" t="str">
        <v>Base</v>
      </c>
      <c r="AL424" s="162">
        <v>-9</v>
      </c>
      <c r="AM424" s="162">
        <v>-5.0550887932628417</v>
      </c>
      <c r="AN424" s="162">
        <v>-3.6010900760463005</v>
      </c>
      <c r="AO424" s="162">
        <v>84.970117416838434</v>
      </c>
      <c r="AP424" s="162">
        <v>-29.785208788526894</v>
      </c>
      <c r="AQ424" s="162">
        <v>0</v>
      </c>
      <c r="AR424" s="710" t="str">
        <v>1613.par</v>
      </c>
      <c r="AV424" s="82" t="str">
        <v>255,127,0</v>
      </c>
      <c r="AW424" s="947">
        <v>84.970117416838434</v>
      </c>
      <c r="AX424" s="947">
        <v>84.970117416838434</v>
      </c>
      <c r="AY424" s="947">
        <v>0</v>
      </c>
    </row>
    <row r="425" spans="12:51" x14ac:dyDescent="0.25">
      <c r="L425"/>
      <c r="AD425" s="166"/>
      <c r="AE425" s="75">
        <v>1.141</v>
      </c>
      <c r="AF425" s="82">
        <v>1</v>
      </c>
      <c r="AG425" s="82">
        <v>1</v>
      </c>
      <c r="AH425" s="82">
        <v>1</v>
      </c>
      <c r="AI425" s="82">
        <v>1.9999999999890861</v>
      </c>
      <c r="AJ425" s="166">
        <v>1.1411199999999999</v>
      </c>
      <c r="AK425" s="82" t="str">
        <v>Base</v>
      </c>
      <c r="AL425" s="162">
        <v>-9</v>
      </c>
      <c r="AM425" s="162">
        <v>-5.0270040657372705</v>
      </c>
      <c r="AN425" s="162">
        <v>-2.849686797131163</v>
      </c>
      <c r="AO425" s="162">
        <v>84.96994937215598</v>
      </c>
      <c r="AP425" s="162">
        <v>-29.784116024848295</v>
      </c>
      <c r="AQ425" s="162">
        <v>0</v>
      </c>
      <c r="AR425" s="710" t="str">
        <v>1613.par</v>
      </c>
      <c r="AV425" s="82" t="str">
        <v>255,127,0</v>
      </c>
      <c r="AW425" s="947">
        <v>84.96994937215598</v>
      </c>
      <c r="AX425" s="947">
        <v>84.96994937215598</v>
      </c>
      <c r="AY425" s="947">
        <v>0</v>
      </c>
    </row>
    <row r="426" spans="12:51" x14ac:dyDescent="0.25">
      <c r="L426"/>
      <c r="AD426" s="166"/>
      <c r="AE426" s="75">
        <v>1.135</v>
      </c>
      <c r="AF426" s="82">
        <v>1</v>
      </c>
      <c r="AG426" s="82">
        <v>1</v>
      </c>
      <c r="AH426" s="82">
        <v>1</v>
      </c>
      <c r="AI426" s="82">
        <v>1.9999999999890861</v>
      </c>
      <c r="AJ426" s="166">
        <v>1.1351199999999999</v>
      </c>
      <c r="AK426" s="82" t="str">
        <v>Base</v>
      </c>
      <c r="AL426" s="162">
        <v>-9</v>
      </c>
      <c r="AM426" s="162">
        <v>-4.9429492165422184</v>
      </c>
      <c r="AN426" s="162">
        <v>-2.0907023273766954</v>
      </c>
      <c r="AO426" s="162">
        <v>69.53293472939626</v>
      </c>
      <c r="AP426" s="162">
        <v>-26.457837763909776</v>
      </c>
      <c r="AQ426" s="162">
        <v>0</v>
      </c>
      <c r="AR426" s="710" t="str">
        <v>1613.par</v>
      </c>
      <c r="AV426" s="82" t="str">
        <v>255,127,0</v>
      </c>
      <c r="AW426" s="947">
        <v>69.53293472939626</v>
      </c>
      <c r="AX426" s="947">
        <v>69.53293472939626</v>
      </c>
      <c r="AY426" s="947">
        <v>0</v>
      </c>
    </row>
    <row r="427" spans="12:51" x14ac:dyDescent="0.25">
      <c r="L427"/>
      <c r="AD427" s="166"/>
      <c r="AE427" s="75">
        <v>1.129</v>
      </c>
      <c r="AF427" s="82">
        <v>1</v>
      </c>
      <c r="AG427" s="82">
        <v>1</v>
      </c>
      <c r="AH427" s="82">
        <v>1</v>
      </c>
      <c r="AI427" s="82">
        <v>1.9999999999890861</v>
      </c>
      <c r="AJ427" s="166">
        <v>1.1291199999999999</v>
      </c>
      <c r="AK427" s="82" t="str">
        <v>Base</v>
      </c>
      <c r="AL427" s="162">
        <v>-9</v>
      </c>
      <c r="AM427" s="162">
        <v>-4.599152845196758</v>
      </c>
      <c r="AN427" s="162">
        <v>-1.4068911744517671</v>
      </c>
      <c r="AO427" s="162">
        <v>50.943025181030578</v>
      </c>
      <c r="AP427" s="162">
        <v>-22.478543785706282</v>
      </c>
      <c r="AQ427" s="162">
        <v>0</v>
      </c>
      <c r="AR427" s="710" t="str">
        <v>1613.par</v>
      </c>
      <c r="AV427" s="82" t="str">
        <v>255,127,0</v>
      </c>
      <c r="AW427" s="947">
        <v>50.943025181030578</v>
      </c>
      <c r="AX427" s="947">
        <v>50.943025181030578</v>
      </c>
      <c r="AY427" s="947">
        <v>0</v>
      </c>
    </row>
    <row r="428" spans="12:51" x14ac:dyDescent="0.25">
      <c r="L428"/>
      <c r="AD428" s="166"/>
      <c r="AE428" s="75">
        <v>1.123</v>
      </c>
      <c r="AF428" s="82">
        <v>1</v>
      </c>
      <c r="AG428" s="82">
        <v>1</v>
      </c>
      <c r="AH428" s="82">
        <v>1</v>
      </c>
      <c r="AI428" s="82">
        <v>1.9999999999890861</v>
      </c>
      <c r="AJ428" s="166">
        <v>1.1231199999999999</v>
      </c>
      <c r="AK428" s="82" t="str">
        <v>Base</v>
      </c>
      <c r="AL428" s="162">
        <v>-9</v>
      </c>
      <c r="AM428" s="162">
        <v>-4.0340922214204733</v>
      </c>
      <c r="AN428" s="162">
        <v>-0.89020968084970542</v>
      </c>
      <c r="AO428" s="162">
        <v>32.228901208944677</v>
      </c>
      <c r="AP428" s="162">
        <v>-18.518146153032774</v>
      </c>
      <c r="AQ428" s="162">
        <v>0</v>
      </c>
      <c r="AR428" s="710" t="str">
        <v>1613.par</v>
      </c>
      <c r="AV428" s="82" t="str">
        <v>255,127,0</v>
      </c>
      <c r="AW428" s="947">
        <v>32.228901208944677</v>
      </c>
      <c r="AX428" s="947">
        <v>32.228901208944677</v>
      </c>
      <c r="AY428" s="947">
        <v>0</v>
      </c>
    </row>
    <row r="429" spans="12:51" x14ac:dyDescent="0.25">
      <c r="L429"/>
      <c r="AD429" s="166"/>
      <c r="AE429" s="75">
        <v>1.117</v>
      </c>
      <c r="AF429" s="82">
        <v>1</v>
      </c>
      <c r="AG429" s="82">
        <v>1</v>
      </c>
      <c r="AH429" s="82">
        <v>1</v>
      </c>
      <c r="AI429" s="82">
        <v>1.9999999999890861</v>
      </c>
      <c r="AJ429" s="166">
        <v>1.1171199999999999</v>
      </c>
      <c r="AK429" s="82" t="str">
        <v>Base</v>
      </c>
      <c r="AL429" s="162">
        <v>-9</v>
      </c>
      <c r="AM429" s="162">
        <v>-3.3213108411312309</v>
      </c>
      <c r="AN429" s="162">
        <v>-0.60847875887563208</v>
      </c>
      <c r="AO429" s="162">
        <v>13.374429842880255</v>
      </c>
      <c r="AP429" s="162">
        <v>-15.719986249129448</v>
      </c>
      <c r="AQ429" s="162">
        <v>0</v>
      </c>
      <c r="AR429" s="710" t="str">
        <v>1613 Ripper.par</v>
      </c>
      <c r="AV429" s="82" t="str">
        <v>255,127,0</v>
      </c>
      <c r="AW429" s="947">
        <v>13.374429842880255</v>
      </c>
      <c r="AX429" s="947">
        <v>13.374429842880255</v>
      </c>
      <c r="AY429" s="947">
        <v>0</v>
      </c>
    </row>
    <row r="430" spans="12:51" x14ac:dyDescent="0.25">
      <c r="L430"/>
      <c r="AD430" s="166"/>
      <c r="AE430" s="75">
        <v>1.111</v>
      </c>
      <c r="AF430" s="82">
        <v>1</v>
      </c>
      <c r="AG430" s="82">
        <v>1</v>
      </c>
      <c r="AH430" s="82">
        <v>1</v>
      </c>
      <c r="AI430" s="82">
        <v>1.9999999999890861</v>
      </c>
      <c r="AJ430" s="166">
        <v>1.1111199999999999</v>
      </c>
      <c r="AK430" s="82" t="str">
        <v>Base</v>
      </c>
      <c r="AL430" s="162">
        <v>-9</v>
      </c>
      <c r="AM430" s="162">
        <v>-2.5545423236824747</v>
      </c>
      <c r="AN430" s="162">
        <v>-0.59885694229176978</v>
      </c>
      <c r="AO430" s="162">
        <v>-5.4571267998021593</v>
      </c>
      <c r="AP430" s="162">
        <v>-15.23519930996278</v>
      </c>
      <c r="AQ430" s="162">
        <v>0</v>
      </c>
      <c r="AR430" s="710" t="str">
        <v>1613 Ripper.par</v>
      </c>
      <c r="AV430" s="82" t="str">
        <v>255,127,0</v>
      </c>
      <c r="AW430" s="947">
        <v>-5.4571267998021593</v>
      </c>
      <c r="AX430" s="947">
        <v>-5.4571267998021593</v>
      </c>
      <c r="AY430" s="947">
        <v>0</v>
      </c>
    </row>
    <row r="431" spans="12:51" x14ac:dyDescent="0.25">
      <c r="L431"/>
      <c r="AD431" s="166"/>
      <c r="AE431" s="75">
        <v>1.107</v>
      </c>
      <c r="AF431" s="82">
        <v>1</v>
      </c>
      <c r="AG431" s="82">
        <v>1</v>
      </c>
      <c r="AH431" s="82">
        <v>1</v>
      </c>
      <c r="AI431" s="82">
        <v>1.9999999999890861</v>
      </c>
      <c r="AJ431" s="166">
        <v>1.1071199999999999</v>
      </c>
      <c r="AK431" s="82" t="str">
        <v>Base</v>
      </c>
      <c r="AL431" s="162">
        <v>-9</v>
      </c>
      <c r="AM431" s="162">
        <v>-1.8451111286626787</v>
      </c>
      <c r="AN431" s="162">
        <v>-0.77939199011220728</v>
      </c>
      <c r="AO431" s="162">
        <v>-12.188363844259069</v>
      </c>
      <c r="AP431" s="162">
        <v>-15.1154526663362</v>
      </c>
      <c r="AQ431" s="162">
        <v>0</v>
      </c>
      <c r="AR431" s="710" t="str">
        <v>1613 Ripper.par</v>
      </c>
      <c r="AV431" s="82" t="str">
        <v>255,127,0</v>
      </c>
      <c r="AW431" s="947">
        <v>-12.188363844259069</v>
      </c>
      <c r="AX431" s="947">
        <v>-12.188363844259069</v>
      </c>
      <c r="AY431" s="947">
        <v>0</v>
      </c>
    </row>
    <row r="432" spans="12:51" x14ac:dyDescent="0.25">
      <c r="L432"/>
      <c r="AD432" s="166"/>
      <c r="AE432" s="75">
        <v>1.1040000000000001</v>
      </c>
      <c r="AF432" s="82">
        <v>1</v>
      </c>
      <c r="AG432" s="82">
        <v>1</v>
      </c>
      <c r="AH432" s="82">
        <v>1</v>
      </c>
      <c r="AI432" s="82">
        <v>2.000000000007276</v>
      </c>
      <c r="AJ432" s="166">
        <v>1.10412</v>
      </c>
      <c r="AK432" s="82" t="str">
        <v>Base</v>
      </c>
      <c r="AL432" s="162">
        <v>-9</v>
      </c>
      <c r="AM432" s="162">
        <v>-1.117872544258617</v>
      </c>
      <c r="AN432" s="162">
        <v>-0.97375107917004677</v>
      </c>
      <c r="AO432" s="162">
        <v>-13.592723484172373</v>
      </c>
      <c r="AP432" s="162">
        <v>-15.202531777354526</v>
      </c>
      <c r="AQ432" s="162">
        <v>0</v>
      </c>
      <c r="AR432" s="710" t="str">
        <v>1613 Ripper.par</v>
      </c>
      <c r="AV432" s="82" t="str">
        <v>255,127,0</v>
      </c>
      <c r="AW432" s="947">
        <v>-13.592723484172373</v>
      </c>
      <c r="AX432" s="947">
        <v>-13.592723484172373</v>
      </c>
      <c r="AY432" s="947">
        <v>0</v>
      </c>
    </row>
    <row r="433" spans="12:51" x14ac:dyDescent="0.25">
      <c r="L433"/>
      <c r="AD433" s="166"/>
      <c r="AE433" s="75">
        <v>1.101</v>
      </c>
      <c r="AF433" s="82">
        <v>1</v>
      </c>
      <c r="AG433" s="82">
        <v>1</v>
      </c>
      <c r="AH433" s="82">
        <v>1</v>
      </c>
      <c r="AI433" s="82">
        <v>1.9999999999890861</v>
      </c>
      <c r="AJ433" s="166">
        <v>1.1011199999999999</v>
      </c>
      <c r="AK433" s="82" t="str">
        <v>Base</v>
      </c>
      <c r="AL433" s="162">
        <v>-9</v>
      </c>
      <c r="AM433" s="162">
        <v>-0.34590084040938435</v>
      </c>
      <c r="AN433" s="162">
        <v>-1.1794405376803043</v>
      </c>
      <c r="AO433" s="162">
        <v>-18.141294048916745</v>
      </c>
      <c r="AP433" s="162">
        <v>-20.759298132405352</v>
      </c>
      <c r="AQ433" s="162">
        <v>0</v>
      </c>
      <c r="AR433" s="710" t="str">
        <v>1613.par</v>
      </c>
      <c r="AV433" s="82" t="str">
        <v>255,127,0</v>
      </c>
      <c r="AW433" s="947">
        <v>-18.141294048916745</v>
      </c>
      <c r="AX433" s="947">
        <v>-18.141294048916745</v>
      </c>
      <c r="AY433" s="947">
        <v>0</v>
      </c>
    </row>
    <row r="434" spans="12:51" x14ac:dyDescent="0.25">
      <c r="L434"/>
      <c r="AD434" s="166"/>
      <c r="AE434" s="75">
        <v>6.2539999999999996</v>
      </c>
      <c r="AF434" s="82">
        <v>6</v>
      </c>
      <c r="AG434" s="82">
        <v>2</v>
      </c>
      <c r="AH434" s="82">
        <v>2</v>
      </c>
      <c r="AI434" s="82">
        <v>1.9999999998981366</v>
      </c>
      <c r="AJ434" s="166">
        <v>6.2542199999999992</v>
      </c>
      <c r="AK434" s="82">
        <v>6.2541199999999995</v>
      </c>
      <c r="AL434" s="162">
        <v>0</v>
      </c>
      <c r="AM434" s="162">
        <v>0</v>
      </c>
      <c r="AN434" s="162">
        <v>0</v>
      </c>
      <c r="AO434" s="162">
        <v>0</v>
      </c>
      <c r="AP434" s="162">
        <v>0</v>
      </c>
      <c r="AQ434" s="162">
        <v>0</v>
      </c>
      <c r="AR434" s="710" t="str">
        <v>1313.par</v>
      </c>
      <c r="AV434" s="82" t="str">
        <v>188,121,255</v>
      </c>
      <c r="AW434" s="947">
        <v>100.03561890671624</v>
      </c>
      <c r="AX434" s="947">
        <v>100.03561890671624</v>
      </c>
      <c r="AY434" s="947">
        <v>0</v>
      </c>
    </row>
    <row r="435" spans="12:51" x14ac:dyDescent="0.25">
      <c r="L435"/>
      <c r="AD435" s="166"/>
      <c r="AE435" s="75">
        <v>6.2480000000000002</v>
      </c>
      <c r="AF435" s="82">
        <v>6</v>
      </c>
      <c r="AG435" s="82">
        <v>2</v>
      </c>
      <c r="AH435" s="82">
        <v>2</v>
      </c>
      <c r="AI435" s="82">
        <v>1.9999999999708962</v>
      </c>
      <c r="AJ435" s="166">
        <v>6.2482199999999999</v>
      </c>
      <c r="AK435" s="82">
        <v>6.2481200000000001</v>
      </c>
      <c r="AL435" s="162">
        <v>0</v>
      </c>
      <c r="AM435" s="162">
        <v>0</v>
      </c>
      <c r="AN435" s="162">
        <v>0</v>
      </c>
      <c r="AO435" s="162">
        <v>0</v>
      </c>
      <c r="AP435" s="162">
        <v>0</v>
      </c>
      <c r="AQ435" s="162">
        <v>0</v>
      </c>
      <c r="AR435" s="710" t="str">
        <v>32193r1.par</v>
      </c>
      <c r="AV435" s="82" t="str">
        <v>188,121,255</v>
      </c>
      <c r="AW435" s="947">
        <v>89.999987005609597</v>
      </c>
      <c r="AX435" s="947">
        <v>89.999987005609597</v>
      </c>
      <c r="AY435" s="947">
        <v>0</v>
      </c>
    </row>
    <row r="436" spans="12:51" x14ac:dyDescent="0.25">
      <c r="L436"/>
      <c r="AD436" s="166"/>
      <c r="AE436" s="75">
        <v>6.242</v>
      </c>
      <c r="AF436" s="82">
        <v>6</v>
      </c>
      <c r="AG436" s="82">
        <v>2</v>
      </c>
      <c r="AH436" s="82">
        <v>2</v>
      </c>
      <c r="AI436" s="82">
        <v>1.9999999999708962</v>
      </c>
      <c r="AJ436" s="166">
        <v>6.2422199999999997</v>
      </c>
      <c r="AK436" s="82">
        <v>6.2421199999999999</v>
      </c>
      <c r="AL436" s="162">
        <v>0</v>
      </c>
      <c r="AM436" s="162">
        <v>0</v>
      </c>
      <c r="AN436" s="162">
        <v>0</v>
      </c>
      <c r="AO436" s="162">
        <v>0</v>
      </c>
      <c r="AP436" s="162">
        <v>0</v>
      </c>
      <c r="AQ436" s="162">
        <v>0</v>
      </c>
      <c r="AR436" s="710" t="str">
        <v>32193r1.par</v>
      </c>
      <c r="AV436" s="82" t="str">
        <v>188,121,255</v>
      </c>
      <c r="AW436" s="947">
        <v>89.999987005609626</v>
      </c>
      <c r="AX436" s="947">
        <v>89.999987005609626</v>
      </c>
      <c r="AY436" s="947">
        <v>0</v>
      </c>
    </row>
    <row r="437" spans="12:51" x14ac:dyDescent="0.25">
      <c r="L437"/>
      <c r="AD437" s="166"/>
      <c r="AE437" s="75">
        <v>6.2359999999999998</v>
      </c>
      <c r="AF437" s="82">
        <v>6</v>
      </c>
      <c r="AG437" s="82">
        <v>2</v>
      </c>
      <c r="AH437" s="82">
        <v>2</v>
      </c>
      <c r="AI437" s="82">
        <v>1.9999999999708962</v>
      </c>
      <c r="AJ437" s="166">
        <v>6.2362199999999994</v>
      </c>
      <c r="AK437" s="82">
        <v>6.2361199999999997</v>
      </c>
      <c r="AL437" s="162">
        <v>0</v>
      </c>
      <c r="AM437" s="162">
        <v>0</v>
      </c>
      <c r="AN437" s="162">
        <v>0</v>
      </c>
      <c r="AO437" s="162">
        <v>0</v>
      </c>
      <c r="AP437" s="162">
        <v>0</v>
      </c>
      <c r="AQ437" s="162">
        <v>0</v>
      </c>
      <c r="AR437" s="710" t="str">
        <v>32193r1.par</v>
      </c>
      <c r="AV437" s="82" t="str">
        <v>188,121,255</v>
      </c>
      <c r="AW437" s="947">
        <v>75.999989026959227</v>
      </c>
      <c r="AX437" s="947">
        <v>75.999989026959227</v>
      </c>
      <c r="AY437" s="947">
        <v>0</v>
      </c>
    </row>
    <row r="438" spans="12:51" x14ac:dyDescent="0.25">
      <c r="L438"/>
      <c r="AD438" s="166"/>
      <c r="AE438" s="75">
        <v>6.23</v>
      </c>
      <c r="AF438" s="82">
        <v>6</v>
      </c>
      <c r="AG438" s="82">
        <v>2</v>
      </c>
      <c r="AH438" s="82">
        <v>2</v>
      </c>
      <c r="AI438" s="82">
        <v>2.0000000000436557</v>
      </c>
      <c r="AJ438" s="166">
        <v>6.2302200000000001</v>
      </c>
      <c r="AK438" s="82">
        <v>6.2301200000000003</v>
      </c>
      <c r="AL438" s="162">
        <v>0</v>
      </c>
      <c r="AM438" s="162">
        <v>0</v>
      </c>
      <c r="AN438" s="162">
        <v>0</v>
      </c>
      <c r="AO438" s="162">
        <v>0</v>
      </c>
      <c r="AP438" s="162">
        <v>0</v>
      </c>
      <c r="AQ438" s="162">
        <v>0</v>
      </c>
      <c r="AR438" s="710" t="str">
        <v>32193r1.par</v>
      </c>
      <c r="AV438" s="82" t="str">
        <v>188,121,255</v>
      </c>
      <c r="AW438" s="947">
        <v>54.999992058983658</v>
      </c>
      <c r="AX438" s="947">
        <v>54.999992058983658</v>
      </c>
      <c r="AY438" s="947">
        <v>0</v>
      </c>
    </row>
    <row r="439" spans="12:51" x14ac:dyDescent="0.25">
      <c r="L439"/>
      <c r="AD439" s="166"/>
      <c r="AE439" s="75">
        <v>6.2240000000000002</v>
      </c>
      <c r="AF439" s="82">
        <v>6</v>
      </c>
      <c r="AG439" s="82">
        <v>2</v>
      </c>
      <c r="AH439" s="82">
        <v>2</v>
      </c>
      <c r="AI439" s="82">
        <v>1.9999999999708962</v>
      </c>
      <c r="AJ439" s="166">
        <v>6.2242199999999999</v>
      </c>
      <c r="AK439" s="82">
        <v>6.2241200000000001</v>
      </c>
      <c r="AL439" s="162">
        <v>0</v>
      </c>
      <c r="AM439" s="162">
        <v>0</v>
      </c>
      <c r="AN439" s="162">
        <v>0</v>
      </c>
      <c r="AO439" s="162">
        <v>0</v>
      </c>
      <c r="AP439" s="162">
        <v>0</v>
      </c>
      <c r="AQ439" s="162">
        <v>0</v>
      </c>
      <c r="AR439" s="710" t="str">
        <v>32193r1.par</v>
      </c>
      <c r="AV439" s="82" t="str">
        <v>188,121,255</v>
      </c>
      <c r="AW439" s="947">
        <v>33.999995091008067</v>
      </c>
      <c r="AX439" s="947">
        <v>33.999995091008067</v>
      </c>
      <c r="AY439" s="947">
        <v>0</v>
      </c>
    </row>
    <row r="440" spans="12:51" x14ac:dyDescent="0.25">
      <c r="L440"/>
      <c r="AD440" s="166"/>
      <c r="AE440" s="75">
        <v>6.218</v>
      </c>
      <c r="AF440" s="82">
        <v>6</v>
      </c>
      <c r="AG440" s="82">
        <v>2</v>
      </c>
      <c r="AH440" s="82">
        <v>2</v>
      </c>
      <c r="AI440" s="82">
        <v>1.9999999999708962</v>
      </c>
      <c r="AJ440" s="166">
        <v>6.2182199999999996</v>
      </c>
      <c r="AK440" s="82">
        <v>6.2181199999999999</v>
      </c>
      <c r="AL440" s="162">
        <v>0</v>
      </c>
      <c r="AM440" s="162">
        <v>0</v>
      </c>
      <c r="AN440" s="162">
        <v>0</v>
      </c>
      <c r="AO440" s="162">
        <v>0</v>
      </c>
      <c r="AP440" s="162">
        <v>0</v>
      </c>
      <c r="AQ440" s="162">
        <v>0</v>
      </c>
      <c r="AR440" s="710" t="str">
        <v>32193r1.par</v>
      </c>
      <c r="AV440" s="82" t="str">
        <v>188,121,255</v>
      </c>
      <c r="AW440" s="947">
        <v>12.999998123032499</v>
      </c>
      <c r="AX440" s="947">
        <v>12.999998123032499</v>
      </c>
      <c r="AY440" s="947">
        <v>0</v>
      </c>
    </row>
    <row r="441" spans="12:51" x14ac:dyDescent="0.25">
      <c r="L441"/>
      <c r="AD441" s="166"/>
      <c r="AE441" s="75">
        <v>6.1479999999999997</v>
      </c>
      <c r="AF441" s="82">
        <v>6</v>
      </c>
      <c r="AG441" s="82">
        <v>1</v>
      </c>
      <c r="AH441" s="82">
        <v>2</v>
      </c>
      <c r="AI441" s="82">
        <v>1.9999999999708962</v>
      </c>
      <c r="AJ441" s="166">
        <v>6.1482199999999994</v>
      </c>
      <c r="AK441" s="82">
        <v>6.1481199999999996</v>
      </c>
      <c r="AL441" s="162">
        <v>0</v>
      </c>
      <c r="AM441" s="162">
        <v>0</v>
      </c>
      <c r="AN441" s="162">
        <v>0</v>
      </c>
      <c r="AO441" s="162">
        <v>0</v>
      </c>
      <c r="AP441" s="162">
        <v>0</v>
      </c>
      <c r="AQ441" s="162">
        <v>0</v>
      </c>
      <c r="AR441" s="710" t="str">
        <v>1613.par</v>
      </c>
      <c r="AV441" s="82" t="str">
        <v>127,0,255</v>
      </c>
      <c r="AW441" s="947">
        <v>84.970117416838406</v>
      </c>
      <c r="AX441" s="947">
        <v>84.970117416838406</v>
      </c>
      <c r="AY441" s="947">
        <v>0</v>
      </c>
    </row>
    <row r="442" spans="12:51" x14ac:dyDescent="0.25">
      <c r="L442"/>
      <c r="AD442" s="166"/>
      <c r="AE442" s="75">
        <v>6.1420000000000003</v>
      </c>
      <c r="AF442" s="82">
        <v>6</v>
      </c>
      <c r="AG442" s="82">
        <v>1</v>
      </c>
      <c r="AH442" s="82">
        <v>2</v>
      </c>
      <c r="AI442" s="82">
        <v>1.9999999999708962</v>
      </c>
      <c r="AJ442" s="166">
        <v>6.14222</v>
      </c>
      <c r="AK442" s="82">
        <v>6.1421200000000002</v>
      </c>
      <c r="AL442" s="162">
        <v>0</v>
      </c>
      <c r="AM442" s="162">
        <v>0</v>
      </c>
      <c r="AN442" s="162">
        <v>0</v>
      </c>
      <c r="AO442" s="162">
        <v>0</v>
      </c>
      <c r="AP442" s="162">
        <v>0</v>
      </c>
      <c r="AQ442" s="162">
        <v>0</v>
      </c>
      <c r="AR442" s="710" t="str">
        <v>1613.par</v>
      </c>
      <c r="AV442" s="82" t="str">
        <v>127,0,255</v>
      </c>
      <c r="AW442" s="947">
        <v>84.96994937215598</v>
      </c>
      <c r="AX442" s="947">
        <v>84.96994937215598</v>
      </c>
      <c r="AY442" s="947">
        <v>0</v>
      </c>
    </row>
    <row r="443" spans="12:51" x14ac:dyDescent="0.25">
      <c r="L443"/>
      <c r="AD443" s="166"/>
      <c r="AE443" s="75">
        <v>6.1360000000000001</v>
      </c>
      <c r="AF443" s="82">
        <v>6</v>
      </c>
      <c r="AG443" s="82">
        <v>1</v>
      </c>
      <c r="AH443" s="82">
        <v>2</v>
      </c>
      <c r="AI443" s="82">
        <v>1.9999999999708962</v>
      </c>
      <c r="AJ443" s="166">
        <v>6.1362199999999998</v>
      </c>
      <c r="AK443" s="82">
        <v>6.13612</v>
      </c>
      <c r="AL443" s="162">
        <v>0</v>
      </c>
      <c r="AM443" s="162">
        <v>0</v>
      </c>
      <c r="AN443" s="162">
        <v>0</v>
      </c>
      <c r="AO443" s="162">
        <v>0</v>
      </c>
      <c r="AP443" s="162">
        <v>0</v>
      </c>
      <c r="AQ443" s="162">
        <v>0</v>
      </c>
      <c r="AR443" s="710" t="str">
        <v>1613.par</v>
      </c>
      <c r="AV443" s="82" t="str">
        <v>127,0,255</v>
      </c>
      <c r="AW443" s="947">
        <v>72.623499997444313</v>
      </c>
      <c r="AX443" s="947">
        <v>72.623499997444313</v>
      </c>
      <c r="AY443" s="947">
        <v>0</v>
      </c>
    </row>
    <row r="444" spans="12:51" x14ac:dyDescent="0.25">
      <c r="L444"/>
      <c r="AD444" s="166"/>
      <c r="AE444" s="75">
        <v>6.13</v>
      </c>
      <c r="AF444" s="82">
        <v>6</v>
      </c>
      <c r="AG444" s="82">
        <v>1</v>
      </c>
      <c r="AH444" s="82">
        <v>2</v>
      </c>
      <c r="AI444" s="82">
        <v>1.9999999999708962</v>
      </c>
      <c r="AJ444" s="166">
        <v>6.1302199999999996</v>
      </c>
      <c r="AK444" s="82">
        <v>6.1301199999999998</v>
      </c>
      <c r="AL444" s="162">
        <v>0</v>
      </c>
      <c r="AM444" s="162">
        <v>0</v>
      </c>
      <c r="AN444" s="162">
        <v>0</v>
      </c>
      <c r="AO444" s="162">
        <v>0</v>
      </c>
      <c r="AP444" s="162">
        <v>0</v>
      </c>
      <c r="AQ444" s="162">
        <v>0</v>
      </c>
      <c r="AR444" s="710" t="str">
        <v>1613.par</v>
      </c>
      <c r="AV444" s="82" t="str">
        <v>127,0,255</v>
      </c>
      <c r="AW444" s="947">
        <v>54.048010045486649</v>
      </c>
      <c r="AX444" s="947">
        <v>54.048010045486649</v>
      </c>
      <c r="AY444" s="947">
        <v>0</v>
      </c>
    </row>
    <row r="445" spans="12:51" x14ac:dyDescent="0.25">
      <c r="L445"/>
      <c r="AD445" s="166"/>
      <c r="AE445" s="75">
        <v>6.1239999999999997</v>
      </c>
      <c r="AF445" s="82">
        <v>6</v>
      </c>
      <c r="AG445" s="82">
        <v>1</v>
      </c>
      <c r="AH445" s="82">
        <v>2</v>
      </c>
      <c r="AI445" s="82">
        <v>1.9999999998981366</v>
      </c>
      <c r="AJ445" s="166">
        <v>6.1242199999999993</v>
      </c>
      <c r="AK445" s="82">
        <v>6.1241199999999996</v>
      </c>
      <c r="AL445" s="162">
        <v>0</v>
      </c>
      <c r="AM445" s="162">
        <v>0</v>
      </c>
      <c r="AN445" s="162">
        <v>0</v>
      </c>
      <c r="AO445" s="162">
        <v>0</v>
      </c>
      <c r="AP445" s="162">
        <v>0</v>
      </c>
      <c r="AQ445" s="162">
        <v>0</v>
      </c>
      <c r="AR445" s="710" t="str">
        <v>1613.par</v>
      </c>
      <c r="AV445" s="82" t="str">
        <v>127,0,255</v>
      </c>
      <c r="AW445" s="947">
        <v>35.360276952469491</v>
      </c>
      <c r="AX445" s="947">
        <v>35.360276952469491</v>
      </c>
      <c r="AY445" s="947">
        <v>0</v>
      </c>
    </row>
    <row r="446" spans="12:51" x14ac:dyDescent="0.25">
      <c r="L446"/>
      <c r="AD446" s="166"/>
      <c r="AE446" s="75">
        <v>6.1180000000000003</v>
      </c>
      <c r="AF446" s="82">
        <v>6</v>
      </c>
      <c r="AG446" s="82">
        <v>1</v>
      </c>
      <c r="AH446" s="82">
        <v>2</v>
      </c>
      <c r="AI446" s="82">
        <v>1.9999999999708962</v>
      </c>
      <c r="AJ446" s="166">
        <v>6.11822</v>
      </c>
      <c r="AK446" s="82">
        <v>6.1181200000000002</v>
      </c>
      <c r="AL446" s="162">
        <v>0</v>
      </c>
      <c r="AM446" s="162">
        <v>0</v>
      </c>
      <c r="AN446" s="162">
        <v>0</v>
      </c>
      <c r="AO446" s="162">
        <v>0</v>
      </c>
      <c r="AP446" s="162">
        <v>0</v>
      </c>
      <c r="AQ446" s="162">
        <v>0</v>
      </c>
      <c r="AR446" s="710" t="str">
        <v>1613 Ripper.par</v>
      </c>
      <c r="AV446" s="82" t="str">
        <v>127,0,255</v>
      </c>
      <c r="AW446" s="947">
        <v>16.504059297615232</v>
      </c>
      <c r="AX446" s="947">
        <v>16.504059297615232</v>
      </c>
      <c r="AY446" s="947">
        <v>0</v>
      </c>
    </row>
    <row r="447" spans="12:51" x14ac:dyDescent="0.25">
      <c r="L447"/>
      <c r="AD447" s="166"/>
      <c r="AE447" s="75">
        <v>6.1120000000000001</v>
      </c>
      <c r="AF447" s="82">
        <v>6</v>
      </c>
      <c r="AG447" s="82">
        <v>1</v>
      </c>
      <c r="AH447" s="82">
        <v>2</v>
      </c>
      <c r="AI447" s="82">
        <v>1.9999999999708962</v>
      </c>
      <c r="AJ447" s="166">
        <v>6.1122199999999998</v>
      </c>
      <c r="AK447" s="82">
        <v>6.11212</v>
      </c>
      <c r="AL447" s="162">
        <v>0</v>
      </c>
      <c r="AM447" s="162">
        <v>0</v>
      </c>
      <c r="AN447" s="162">
        <v>0</v>
      </c>
      <c r="AO447" s="162">
        <v>0</v>
      </c>
      <c r="AP447" s="162">
        <v>0</v>
      </c>
      <c r="AQ447" s="162">
        <v>0</v>
      </c>
      <c r="AR447" s="710" t="str">
        <v>1613 Ripper.par</v>
      </c>
      <c r="AV447" s="82" t="str">
        <v>127,0,255</v>
      </c>
      <c r="AW447" s="947">
        <v>-2.3119637600075813</v>
      </c>
      <c r="AX447" s="947">
        <v>-2.3119637600075813</v>
      </c>
      <c r="AY447" s="947">
        <v>0</v>
      </c>
    </row>
    <row r="448" spans="12:51" x14ac:dyDescent="0.25">
      <c r="L448"/>
      <c r="AD448" s="166"/>
      <c r="AE448" s="75">
        <v>5.2549999999999999</v>
      </c>
      <c r="AF448" s="82">
        <v>5</v>
      </c>
      <c r="AG448" s="82">
        <v>2</v>
      </c>
      <c r="AH448" s="82">
        <v>2</v>
      </c>
      <c r="AI448" s="82">
        <v>1.9999999999708962</v>
      </c>
      <c r="AJ448" s="166">
        <v>5.2552199999999996</v>
      </c>
      <c r="AK448" s="82">
        <v>5.2551199999999998</v>
      </c>
      <c r="AL448" s="162">
        <v>0</v>
      </c>
      <c r="AM448" s="162">
        <v>0</v>
      </c>
      <c r="AN448" s="162">
        <v>0</v>
      </c>
      <c r="AO448" s="162">
        <v>0</v>
      </c>
      <c r="AP448" s="162">
        <v>0</v>
      </c>
      <c r="AQ448" s="162">
        <v>0</v>
      </c>
      <c r="AR448" s="710" t="str">
        <v>1313.par</v>
      </c>
      <c r="AV448" s="82" t="str">
        <v>121,188,255</v>
      </c>
      <c r="AW448" s="947">
        <v>100.03561890671617</v>
      </c>
      <c r="AX448" s="947">
        <v>100.03561890671617</v>
      </c>
      <c r="AY448" s="947">
        <v>0</v>
      </c>
    </row>
    <row r="449" spans="12:51" x14ac:dyDescent="0.25">
      <c r="L449"/>
      <c r="AD449" s="166"/>
      <c r="AE449" s="75">
        <v>5.2489999999999997</v>
      </c>
      <c r="AF449" s="82">
        <v>5</v>
      </c>
      <c r="AG449" s="82">
        <v>2</v>
      </c>
      <c r="AH449" s="82">
        <v>2</v>
      </c>
      <c r="AI449" s="82">
        <v>1.9999999998981366</v>
      </c>
      <c r="AJ449" s="166">
        <v>5.2492199999999993</v>
      </c>
      <c r="AK449" s="82">
        <v>5.2491199999999996</v>
      </c>
      <c r="AL449" s="162">
        <v>0</v>
      </c>
      <c r="AM449" s="162">
        <v>0</v>
      </c>
      <c r="AN449" s="162">
        <v>0</v>
      </c>
      <c r="AO449" s="162">
        <v>0</v>
      </c>
      <c r="AP449" s="162">
        <v>0</v>
      </c>
      <c r="AQ449" s="162">
        <v>0</v>
      </c>
      <c r="AR449" s="710" t="str">
        <v>32193r1.par</v>
      </c>
      <c r="AV449" s="82" t="str">
        <v>121,188,255</v>
      </c>
      <c r="AW449" s="947">
        <v>89.999987005609597</v>
      </c>
      <c r="AX449" s="947">
        <v>89.999987005609597</v>
      </c>
      <c r="AY449" s="947">
        <v>0</v>
      </c>
    </row>
    <row r="450" spans="12:51" x14ac:dyDescent="0.25">
      <c r="L450"/>
      <c r="AD450" s="166"/>
      <c r="AE450" s="75">
        <v>5.2430000000000003</v>
      </c>
      <c r="AF450" s="82">
        <v>5</v>
      </c>
      <c r="AG450" s="82">
        <v>2</v>
      </c>
      <c r="AH450" s="82">
        <v>2</v>
      </c>
      <c r="AI450" s="82">
        <v>1.9999999999708962</v>
      </c>
      <c r="AJ450" s="166">
        <v>5.24322</v>
      </c>
      <c r="AK450" s="82">
        <v>5.2431200000000002</v>
      </c>
      <c r="AL450" s="162">
        <v>0</v>
      </c>
      <c r="AM450" s="162">
        <v>0</v>
      </c>
      <c r="AN450" s="162">
        <v>0</v>
      </c>
      <c r="AO450" s="162">
        <v>0</v>
      </c>
      <c r="AP450" s="162">
        <v>0</v>
      </c>
      <c r="AQ450" s="162">
        <v>0</v>
      </c>
      <c r="AR450" s="710" t="str">
        <v>32193r1.par</v>
      </c>
      <c r="AV450" s="82" t="str">
        <v>121,188,255</v>
      </c>
      <c r="AW450" s="947">
        <v>89.999987005609597</v>
      </c>
      <c r="AX450" s="947">
        <v>89.999987005609597</v>
      </c>
      <c r="AY450" s="947">
        <v>0</v>
      </c>
    </row>
    <row r="451" spans="12:51" x14ac:dyDescent="0.25">
      <c r="L451"/>
      <c r="AD451" s="166"/>
      <c r="AE451" s="75">
        <v>5.2370000000000001</v>
      </c>
      <c r="AF451" s="82">
        <v>5</v>
      </c>
      <c r="AG451" s="82">
        <v>2</v>
      </c>
      <c r="AH451" s="82">
        <v>2</v>
      </c>
      <c r="AI451" s="82">
        <v>1.9999999999708962</v>
      </c>
      <c r="AJ451" s="166">
        <v>5.2372199999999998</v>
      </c>
      <c r="AK451" s="82">
        <v>5.23712</v>
      </c>
      <c r="AL451" s="162">
        <v>0</v>
      </c>
      <c r="AM451" s="162">
        <v>0</v>
      </c>
      <c r="AN451" s="162">
        <v>0</v>
      </c>
      <c r="AO451" s="162">
        <v>0</v>
      </c>
      <c r="AP451" s="162">
        <v>0</v>
      </c>
      <c r="AQ451" s="162">
        <v>0</v>
      </c>
      <c r="AR451" s="710" t="str">
        <v>1313.par</v>
      </c>
      <c r="AV451" s="82" t="str">
        <v>121,188,255</v>
      </c>
      <c r="AW451" s="947">
        <v>75.733702256223253</v>
      </c>
      <c r="AX451" s="947">
        <v>75.733702256223253</v>
      </c>
      <c r="AY451" s="947">
        <v>0</v>
      </c>
    </row>
    <row r="452" spans="12:51" x14ac:dyDescent="0.25">
      <c r="L452"/>
      <c r="AD452" s="166"/>
      <c r="AE452" s="75">
        <v>5.2309999999999999</v>
      </c>
      <c r="AF452" s="82">
        <v>5</v>
      </c>
      <c r="AG452" s="82">
        <v>2</v>
      </c>
      <c r="AH452" s="82">
        <v>2</v>
      </c>
      <c r="AI452" s="82">
        <v>1.9999999999708962</v>
      </c>
      <c r="AJ452" s="166">
        <v>5.2312199999999995</v>
      </c>
      <c r="AK452" s="82">
        <v>5.2311199999999998</v>
      </c>
      <c r="AL452" s="162">
        <v>0</v>
      </c>
      <c r="AM452" s="162">
        <v>0</v>
      </c>
      <c r="AN452" s="162">
        <v>0</v>
      </c>
      <c r="AO452" s="162">
        <v>0</v>
      </c>
      <c r="AP452" s="162">
        <v>0</v>
      </c>
      <c r="AQ452" s="162">
        <v>0</v>
      </c>
      <c r="AR452" s="710" t="str">
        <v>1313.par</v>
      </c>
      <c r="AV452" s="82" t="str">
        <v>121,188,255</v>
      </c>
      <c r="AW452" s="947">
        <v>57.213428741154814</v>
      </c>
      <c r="AX452" s="947">
        <v>57.213428741154814</v>
      </c>
      <c r="AY452" s="947">
        <v>0</v>
      </c>
    </row>
    <row r="453" spans="12:51" x14ac:dyDescent="0.25">
      <c r="L453"/>
      <c r="AD453" s="166"/>
      <c r="AE453" s="75">
        <v>5.2249999999999996</v>
      </c>
      <c r="AF453" s="82">
        <v>5</v>
      </c>
      <c r="AG453" s="82">
        <v>2</v>
      </c>
      <c r="AH453" s="82">
        <v>2</v>
      </c>
      <c r="AI453" s="82">
        <v>1.9999999998981366</v>
      </c>
      <c r="AJ453" s="166">
        <v>5.2252199999999993</v>
      </c>
      <c r="AK453" s="82">
        <v>5.2251199999999995</v>
      </c>
      <c r="AL453" s="162">
        <v>0</v>
      </c>
      <c r="AM453" s="162">
        <v>0</v>
      </c>
      <c r="AN453" s="162">
        <v>0</v>
      </c>
      <c r="AO453" s="162">
        <v>0</v>
      </c>
      <c r="AP453" s="162">
        <v>0</v>
      </c>
      <c r="AQ453" s="162">
        <v>0</v>
      </c>
      <c r="AR453" s="710" t="str">
        <v>1313.par</v>
      </c>
      <c r="AV453" s="82" t="str">
        <v>121,188,255</v>
      </c>
      <c r="AW453" s="947">
        <v>38.623227592362632</v>
      </c>
      <c r="AX453" s="947">
        <v>38.623227592362632</v>
      </c>
      <c r="AY453" s="947">
        <v>0</v>
      </c>
    </row>
    <row r="454" spans="12:51" x14ac:dyDescent="0.25">
      <c r="L454"/>
      <c r="AD454" s="166"/>
      <c r="AE454" s="75">
        <v>5.2190000000000003</v>
      </c>
      <c r="AF454" s="82">
        <v>5</v>
      </c>
      <c r="AG454" s="82">
        <v>2</v>
      </c>
      <c r="AH454" s="82">
        <v>2</v>
      </c>
      <c r="AI454" s="82">
        <v>1.9999999999708962</v>
      </c>
      <c r="AJ454" s="166">
        <v>5.21922</v>
      </c>
      <c r="AK454" s="82">
        <v>5.2191200000000002</v>
      </c>
      <c r="AL454" s="162">
        <v>0</v>
      </c>
      <c r="AM454" s="162">
        <v>0</v>
      </c>
      <c r="AN454" s="162">
        <v>0</v>
      </c>
      <c r="AO454" s="162">
        <v>0</v>
      </c>
      <c r="AP454" s="162">
        <v>0</v>
      </c>
      <c r="AQ454" s="162">
        <v>0</v>
      </c>
      <c r="AR454" s="710" t="str">
        <v>32193r1.par</v>
      </c>
      <c r="AV454" s="82" t="str">
        <v>121,188,255</v>
      </c>
      <c r="AW454" s="947">
        <v>12.999998123032507</v>
      </c>
      <c r="AX454" s="947">
        <v>12.999998123032507</v>
      </c>
      <c r="AY454" s="947">
        <v>0</v>
      </c>
    </row>
    <row r="455" spans="12:51" x14ac:dyDescent="0.25">
      <c r="L455"/>
      <c r="AD455" s="166"/>
      <c r="AE455" s="75">
        <v>5.149</v>
      </c>
      <c r="AF455" s="82">
        <v>5</v>
      </c>
      <c r="AG455" s="82">
        <v>1</v>
      </c>
      <c r="AH455" s="82">
        <v>2</v>
      </c>
      <c r="AI455" s="82">
        <v>1.9999999999708962</v>
      </c>
      <c r="AJ455" s="166">
        <v>5.1492199999999997</v>
      </c>
      <c r="AK455" s="82">
        <v>5.1491199999999999</v>
      </c>
      <c r="AL455" s="162">
        <v>0</v>
      </c>
      <c r="AM455" s="162">
        <v>0</v>
      </c>
      <c r="AN455" s="162">
        <v>0</v>
      </c>
      <c r="AO455" s="162">
        <v>0</v>
      </c>
      <c r="AP455" s="162">
        <v>0</v>
      </c>
      <c r="AQ455" s="162">
        <v>0</v>
      </c>
      <c r="AR455" s="710" t="str">
        <v>1613.par</v>
      </c>
      <c r="AV455" s="82" t="str">
        <v>0,102,204</v>
      </c>
      <c r="AW455" s="947">
        <v>84.97011741683842</v>
      </c>
      <c r="AX455" s="947">
        <v>84.97011741683842</v>
      </c>
      <c r="AY455" s="947">
        <v>0</v>
      </c>
    </row>
    <row r="456" spans="12:51" x14ac:dyDescent="0.25">
      <c r="L456"/>
      <c r="AD456" s="166"/>
      <c r="AE456" s="75">
        <v>5.1429999999999998</v>
      </c>
      <c r="AF456" s="82">
        <v>5</v>
      </c>
      <c r="AG456" s="82">
        <v>1</v>
      </c>
      <c r="AH456" s="82">
        <v>2</v>
      </c>
      <c r="AI456" s="82">
        <v>1.9999999999708962</v>
      </c>
      <c r="AJ456" s="166">
        <v>5.1432199999999995</v>
      </c>
      <c r="AK456" s="82">
        <v>5.1431199999999997</v>
      </c>
      <c r="AL456" s="162">
        <v>0</v>
      </c>
      <c r="AM456" s="162">
        <v>0</v>
      </c>
      <c r="AN456" s="162">
        <v>0</v>
      </c>
      <c r="AO456" s="162">
        <v>0</v>
      </c>
      <c r="AP456" s="162">
        <v>0</v>
      </c>
      <c r="AQ456" s="162">
        <v>0</v>
      </c>
      <c r="AR456" s="710" t="str">
        <v>1613.par</v>
      </c>
      <c r="AV456" s="82" t="str">
        <v>0,102,204</v>
      </c>
      <c r="AW456" s="947">
        <v>84.969949372155952</v>
      </c>
      <c r="AX456" s="947">
        <v>84.969949372155952</v>
      </c>
      <c r="AY456" s="947">
        <v>0</v>
      </c>
    </row>
    <row r="457" spans="12:51" x14ac:dyDescent="0.25">
      <c r="L457"/>
      <c r="AD457" s="166"/>
      <c r="AE457" s="75">
        <v>5.1369999999999996</v>
      </c>
      <c r="AF457" s="82">
        <v>5</v>
      </c>
      <c r="AG457" s="82">
        <v>1</v>
      </c>
      <c r="AH457" s="82">
        <v>2</v>
      </c>
      <c r="AI457" s="82">
        <v>1.9999999998981366</v>
      </c>
      <c r="AJ457" s="166">
        <v>5.1372199999999992</v>
      </c>
      <c r="AK457" s="82">
        <v>5.1371199999999995</v>
      </c>
      <c r="AL457" s="162">
        <v>0</v>
      </c>
      <c r="AM457" s="162">
        <v>0</v>
      </c>
      <c r="AN457" s="162">
        <v>0</v>
      </c>
      <c r="AO457" s="162">
        <v>0</v>
      </c>
      <c r="AP457" s="162">
        <v>0</v>
      </c>
      <c r="AQ457" s="162">
        <v>0</v>
      </c>
      <c r="AR457" s="710" t="str">
        <v>1613.par</v>
      </c>
      <c r="AV457" s="82" t="str">
        <v>0,102,204</v>
      </c>
      <c r="AW457" s="947">
        <v>75.712346529077777</v>
      </c>
      <c r="AX457" s="947">
        <v>75.712346529077777</v>
      </c>
      <c r="AY457" s="947">
        <v>0</v>
      </c>
    </row>
    <row r="458" spans="12:51" x14ac:dyDescent="0.25">
      <c r="L458"/>
      <c r="AE458" s="75">
        <v>5.1310000000000002</v>
      </c>
      <c r="AF458" s="82">
        <v>5</v>
      </c>
      <c r="AG458" s="82">
        <v>1</v>
      </c>
      <c r="AH458" s="82">
        <v>2</v>
      </c>
      <c r="AI458" s="82">
        <v>1.9999999999708962</v>
      </c>
      <c r="AJ458" s="166">
        <v>5.1312199999999999</v>
      </c>
      <c r="AK458" s="82">
        <v>5.1311200000000001</v>
      </c>
      <c r="AL458" s="162">
        <v>0</v>
      </c>
      <c r="AM458" s="162">
        <v>0</v>
      </c>
      <c r="AN458" s="162">
        <v>0</v>
      </c>
      <c r="AO458" s="162">
        <v>0</v>
      </c>
      <c r="AP458" s="162">
        <v>0</v>
      </c>
      <c r="AQ458" s="162">
        <v>0</v>
      </c>
      <c r="AR458" s="710" t="str">
        <v>1613.par</v>
      </c>
      <c r="AV458" s="82" t="str">
        <v>0,102,204</v>
      </c>
      <c r="AW458" s="947">
        <v>57.149982620263913</v>
      </c>
      <c r="AX458" s="947">
        <v>57.149982620263913</v>
      </c>
      <c r="AY458" s="947">
        <v>0</v>
      </c>
    </row>
    <row r="459" spans="12:51" x14ac:dyDescent="0.25">
      <c r="L459"/>
      <c r="AE459" s="75">
        <v>5.125</v>
      </c>
      <c r="AF459" s="82">
        <v>5</v>
      </c>
      <c r="AG459" s="82">
        <v>1</v>
      </c>
      <c r="AH459" s="82">
        <v>2</v>
      </c>
      <c r="AI459" s="82">
        <v>1.9999999999708962</v>
      </c>
      <c r="AJ459" s="166">
        <v>5.1252199999999997</v>
      </c>
      <c r="AK459" s="82">
        <v>5.1251199999999999</v>
      </c>
      <c r="AL459" s="162">
        <v>0</v>
      </c>
      <c r="AM459" s="162">
        <v>0</v>
      </c>
      <c r="AN459" s="162">
        <v>0</v>
      </c>
      <c r="AO459" s="162">
        <v>0</v>
      </c>
      <c r="AP459" s="162">
        <v>0</v>
      </c>
      <c r="AQ459" s="162">
        <v>0</v>
      </c>
      <c r="AR459" s="710" t="str">
        <v>1613.par</v>
      </c>
      <c r="AV459" s="82" t="str">
        <v>0,102,204</v>
      </c>
      <c r="AW459" s="947">
        <v>38.485986851085471</v>
      </c>
      <c r="AX459" s="947">
        <v>38.485986851085471</v>
      </c>
      <c r="AY459" s="947">
        <v>0</v>
      </c>
    </row>
    <row r="460" spans="12:51" x14ac:dyDescent="0.25">
      <c r="L460"/>
      <c r="AE460" s="75">
        <v>5.1189999999999998</v>
      </c>
      <c r="AF460" s="82">
        <v>5</v>
      </c>
      <c r="AG460" s="82">
        <v>1</v>
      </c>
      <c r="AH460" s="82">
        <v>2</v>
      </c>
      <c r="AI460" s="82">
        <v>1.9999999999708962</v>
      </c>
      <c r="AJ460" s="166">
        <v>5.1192199999999994</v>
      </c>
      <c r="AK460" s="82">
        <v>5.1191199999999997</v>
      </c>
      <c r="AL460" s="162">
        <v>0</v>
      </c>
      <c r="AM460" s="162">
        <v>0</v>
      </c>
      <c r="AN460" s="162">
        <v>0</v>
      </c>
      <c r="AO460" s="162">
        <v>0</v>
      </c>
      <c r="AP460" s="162">
        <v>0</v>
      </c>
      <c r="AQ460" s="162">
        <v>0</v>
      </c>
      <c r="AR460" s="710" t="str">
        <v>1613 Ripper.par</v>
      </c>
      <c r="AV460" s="82" t="str">
        <v>0,102,204</v>
      </c>
      <c r="AW460" s="947">
        <v>19.63131247542724</v>
      </c>
      <c r="AX460" s="947">
        <v>19.63131247542724</v>
      </c>
      <c r="AY460" s="947">
        <v>0</v>
      </c>
    </row>
    <row r="461" spans="12:51" x14ac:dyDescent="0.25">
      <c r="L461"/>
      <c r="AE461" s="75">
        <v>5.1130000000000004</v>
      </c>
      <c r="AF461" s="82">
        <v>5</v>
      </c>
      <c r="AG461" s="82">
        <v>1</v>
      </c>
      <c r="AH461" s="82">
        <v>2</v>
      </c>
      <c r="AI461" s="82">
        <v>2.0000000000436557</v>
      </c>
      <c r="AJ461" s="166">
        <v>5.1132200000000001</v>
      </c>
      <c r="AK461" s="82">
        <v>5.1131200000000003</v>
      </c>
      <c r="AL461" s="162">
        <v>0</v>
      </c>
      <c r="AM461" s="162">
        <v>0</v>
      </c>
      <c r="AN461" s="162">
        <v>0</v>
      </c>
      <c r="AO461" s="162">
        <v>0</v>
      </c>
      <c r="AP461" s="162">
        <v>0</v>
      </c>
      <c r="AQ461" s="162">
        <v>0</v>
      </c>
      <c r="AR461" s="710" t="str">
        <v>1613 Ripper.par</v>
      </c>
      <c r="AV461" s="82" t="str">
        <v>0,102,204</v>
      </c>
      <c r="AW461" s="947">
        <v>0.8306004126858153</v>
      </c>
      <c r="AX461" s="947">
        <v>0.8306004126858153</v>
      </c>
      <c r="AY461" s="947">
        <v>0</v>
      </c>
    </row>
    <row r="462" spans="12:51" x14ac:dyDescent="0.25">
      <c r="L462"/>
      <c r="AE462" s="75">
        <v>5.1079999999999997</v>
      </c>
      <c r="AF462" s="82">
        <v>5</v>
      </c>
      <c r="AG462" s="82">
        <v>1</v>
      </c>
      <c r="AH462" s="82">
        <v>2</v>
      </c>
      <c r="AI462" s="82">
        <v>1.9999999998981366</v>
      </c>
      <c r="AJ462" s="166">
        <v>5.1082199999999993</v>
      </c>
      <c r="AK462" s="82">
        <v>5.1081199999999995</v>
      </c>
      <c r="AL462" s="162">
        <v>0</v>
      </c>
      <c r="AM462" s="162">
        <v>0</v>
      </c>
      <c r="AN462" s="162">
        <v>0</v>
      </c>
      <c r="AO462" s="162">
        <v>0</v>
      </c>
      <c r="AP462" s="162">
        <v>0</v>
      </c>
      <c r="AQ462" s="162">
        <v>0</v>
      </c>
      <c r="AR462" s="710" t="str">
        <v>1613 Ripper.par</v>
      </c>
      <c r="AV462" s="82" t="str">
        <v>0,102,204</v>
      </c>
      <c r="AW462" s="947">
        <v>-11.945289726695552</v>
      </c>
      <c r="AX462" s="947">
        <v>-11.945289726695552</v>
      </c>
      <c r="AY462" s="947">
        <v>0</v>
      </c>
    </row>
    <row r="463" spans="12:51" x14ac:dyDescent="0.25">
      <c r="L463"/>
      <c r="AE463" s="75">
        <v>5.1050000000000004</v>
      </c>
      <c r="AF463" s="82">
        <v>5</v>
      </c>
      <c r="AG463" s="82">
        <v>1</v>
      </c>
      <c r="AH463" s="82">
        <v>2</v>
      </c>
      <c r="AI463" s="82">
        <v>2.0000000000436557</v>
      </c>
      <c r="AJ463" s="166">
        <v>5.1052200000000001</v>
      </c>
      <c r="AK463" s="82">
        <v>5.1051200000000003</v>
      </c>
      <c r="AL463" s="162">
        <v>0</v>
      </c>
      <c r="AM463" s="162">
        <v>0</v>
      </c>
      <c r="AN463" s="162">
        <v>0</v>
      </c>
      <c r="AO463" s="162">
        <v>0</v>
      </c>
      <c r="AP463" s="162">
        <v>0</v>
      </c>
      <c r="AQ463" s="162">
        <v>0</v>
      </c>
      <c r="AR463" s="710" t="str">
        <v>1613 Ripper.par</v>
      </c>
      <c r="AV463" s="82" t="str">
        <v>0,102,204</v>
      </c>
      <c r="AW463" s="947">
        <v>-12.949138827495569</v>
      </c>
      <c r="AX463" s="947">
        <v>-12.949138827495569</v>
      </c>
      <c r="AY463" s="947">
        <v>0</v>
      </c>
    </row>
    <row r="464" spans="12:51" x14ac:dyDescent="0.25">
      <c r="L464"/>
      <c r="AE464" s="75">
        <v>5.1020000000000003</v>
      </c>
      <c r="AF464" s="82">
        <v>5</v>
      </c>
      <c r="AG464" s="82">
        <v>1</v>
      </c>
      <c r="AH464" s="82">
        <v>2</v>
      </c>
      <c r="AI464" s="82">
        <v>1.9999999999708962</v>
      </c>
      <c r="AJ464" s="166">
        <v>5.10222</v>
      </c>
      <c r="AK464" s="82">
        <v>5.1021200000000002</v>
      </c>
      <c r="AL464" s="162">
        <v>0</v>
      </c>
      <c r="AM464" s="162">
        <v>0</v>
      </c>
      <c r="AN464" s="162">
        <v>0</v>
      </c>
      <c r="AO464" s="162">
        <v>0</v>
      </c>
      <c r="AP464" s="162">
        <v>0</v>
      </c>
      <c r="AQ464" s="162">
        <v>0</v>
      </c>
      <c r="AR464" s="710" t="str">
        <v>1613.par</v>
      </c>
      <c r="AV464" s="82" t="str">
        <v>0,102,204</v>
      </c>
      <c r="AW464" s="947">
        <v>-15.496960293563548</v>
      </c>
      <c r="AX464" s="947">
        <v>-15.496960293563548</v>
      </c>
      <c r="AY464" s="947">
        <v>0</v>
      </c>
    </row>
    <row r="465" spans="12:51" x14ac:dyDescent="0.25">
      <c r="L465"/>
      <c r="AE465" s="75">
        <v>4.25</v>
      </c>
      <c r="AF465" s="82">
        <v>4</v>
      </c>
      <c r="AG465" s="82">
        <v>2</v>
      </c>
      <c r="AH465" s="82">
        <v>2</v>
      </c>
      <c r="AI465" s="82">
        <v>1.9999999999708962</v>
      </c>
      <c r="AJ465" s="166">
        <v>4.2502199999999997</v>
      </c>
      <c r="AK465" s="82">
        <v>4.2501199999999999</v>
      </c>
      <c r="AL465" s="162">
        <v>0</v>
      </c>
      <c r="AM465" s="162">
        <v>0</v>
      </c>
      <c r="AN465" s="162">
        <v>0</v>
      </c>
      <c r="AO465" s="162">
        <v>0</v>
      </c>
      <c r="AP465" s="162">
        <v>0</v>
      </c>
      <c r="AQ465" s="162">
        <v>0</v>
      </c>
      <c r="AR465" s="710" t="str">
        <v>1313.par</v>
      </c>
      <c r="AV465" s="82" t="str">
        <v>91,255,255</v>
      </c>
      <c r="AW465" s="947">
        <v>100.03561890671628</v>
      </c>
      <c r="AX465" s="947">
        <v>100.03561890671628</v>
      </c>
      <c r="AY465" s="947">
        <v>0</v>
      </c>
    </row>
    <row r="466" spans="12:51" x14ac:dyDescent="0.25">
      <c r="L466"/>
      <c r="AE466" s="75">
        <v>4.2439999999999998</v>
      </c>
      <c r="AF466" s="82">
        <v>4</v>
      </c>
      <c r="AG466" s="82">
        <v>2</v>
      </c>
      <c r="AH466" s="82">
        <v>2</v>
      </c>
      <c r="AI466" s="82">
        <v>1.9999999999708962</v>
      </c>
      <c r="AJ466" s="166">
        <v>4.2442199999999994</v>
      </c>
      <c r="AK466" s="82">
        <v>4.2441199999999997</v>
      </c>
      <c r="AL466" s="162">
        <v>0</v>
      </c>
      <c r="AM466" s="162">
        <v>0</v>
      </c>
      <c r="AN466" s="162">
        <v>0</v>
      </c>
      <c r="AO466" s="162">
        <v>0</v>
      </c>
      <c r="AP466" s="162">
        <v>0</v>
      </c>
      <c r="AQ466" s="162">
        <v>0</v>
      </c>
      <c r="AR466" s="710" t="str">
        <v>32193r1.par</v>
      </c>
      <c r="AV466" s="82" t="str">
        <v>91,255,255</v>
      </c>
      <c r="AW466" s="947">
        <v>89.999987005609597</v>
      </c>
      <c r="AX466" s="947">
        <v>89.999987005609597</v>
      </c>
      <c r="AY466" s="947">
        <v>0</v>
      </c>
    </row>
    <row r="467" spans="12:51" x14ac:dyDescent="0.25">
      <c r="L467"/>
      <c r="AE467" s="75">
        <v>4.2380000000000004</v>
      </c>
      <c r="AF467" s="82">
        <v>4</v>
      </c>
      <c r="AG467" s="82">
        <v>2</v>
      </c>
      <c r="AH467" s="82">
        <v>2</v>
      </c>
      <c r="AI467" s="82">
        <v>2.0000000000436557</v>
      </c>
      <c r="AJ467" s="166">
        <v>4.2382200000000001</v>
      </c>
      <c r="AK467" s="82">
        <v>4.2381200000000003</v>
      </c>
      <c r="AL467" s="162">
        <v>0</v>
      </c>
      <c r="AM467" s="162">
        <v>0</v>
      </c>
      <c r="AN467" s="162">
        <v>0</v>
      </c>
      <c r="AO467" s="162">
        <v>0</v>
      </c>
      <c r="AP467" s="162">
        <v>0</v>
      </c>
      <c r="AQ467" s="162">
        <v>0</v>
      </c>
      <c r="AR467" s="710" t="str">
        <v>32193r1.par</v>
      </c>
      <c r="AV467" s="82" t="str">
        <v>91,255,255</v>
      </c>
      <c r="AW467" s="947">
        <v>82.999988016284419</v>
      </c>
      <c r="AX467" s="947">
        <v>82.999988016284419</v>
      </c>
      <c r="AY467" s="947">
        <v>0</v>
      </c>
    </row>
    <row r="468" spans="12:51" x14ac:dyDescent="0.25">
      <c r="L468"/>
      <c r="AE468" s="75">
        <v>4.2320000000000002</v>
      </c>
      <c r="AF468" s="82">
        <v>4</v>
      </c>
      <c r="AG468" s="82">
        <v>2</v>
      </c>
      <c r="AH468" s="82">
        <v>2</v>
      </c>
      <c r="AI468" s="82">
        <v>1.9999999999708962</v>
      </c>
      <c r="AJ468" s="166">
        <v>4.2322199999999999</v>
      </c>
      <c r="AK468" s="82">
        <v>4.2321200000000001</v>
      </c>
      <c r="AL468" s="162">
        <v>0</v>
      </c>
      <c r="AM468" s="162">
        <v>0</v>
      </c>
      <c r="AN468" s="162">
        <v>0</v>
      </c>
      <c r="AO468" s="162">
        <v>0</v>
      </c>
      <c r="AP468" s="162">
        <v>0</v>
      </c>
      <c r="AQ468" s="162">
        <v>0</v>
      </c>
      <c r="AR468" s="710" t="str">
        <v>32193r1.par</v>
      </c>
      <c r="AV468" s="82" t="str">
        <v>91,255,255</v>
      </c>
      <c r="AW468" s="947">
        <v>61.99999104830885</v>
      </c>
      <c r="AX468" s="947">
        <v>61.99999104830885</v>
      </c>
      <c r="AY468" s="947">
        <v>0</v>
      </c>
    </row>
    <row r="469" spans="12:51" x14ac:dyDescent="0.25">
      <c r="L469"/>
      <c r="AE469" s="75">
        <v>4.226</v>
      </c>
      <c r="AF469" s="82">
        <v>4</v>
      </c>
      <c r="AG469" s="82">
        <v>2</v>
      </c>
      <c r="AH469" s="82">
        <v>2</v>
      </c>
      <c r="AI469" s="82">
        <v>1.9999999999708962</v>
      </c>
      <c r="AJ469" s="166">
        <v>4.2262199999999996</v>
      </c>
      <c r="AK469" s="82">
        <v>4.2261199999999999</v>
      </c>
      <c r="AL469" s="162">
        <v>0</v>
      </c>
      <c r="AM469" s="162">
        <v>0</v>
      </c>
      <c r="AN469" s="162">
        <v>0</v>
      </c>
      <c r="AO469" s="162">
        <v>0</v>
      </c>
      <c r="AP469" s="162">
        <v>0</v>
      </c>
      <c r="AQ469" s="162">
        <v>0</v>
      </c>
      <c r="AR469" s="710" t="str">
        <v>32193r1.par</v>
      </c>
      <c r="AV469" s="82" t="str">
        <v>91,255,255</v>
      </c>
      <c r="AW469" s="947">
        <v>40.999994080333266</v>
      </c>
      <c r="AX469" s="947">
        <v>40.999994080333266</v>
      </c>
      <c r="AY469" s="947">
        <v>0</v>
      </c>
    </row>
    <row r="470" spans="12:51" x14ac:dyDescent="0.25">
      <c r="L470"/>
      <c r="AE470" s="75">
        <v>4.22</v>
      </c>
      <c r="AF470" s="82">
        <v>4</v>
      </c>
      <c r="AG470" s="82">
        <v>2</v>
      </c>
      <c r="AH470" s="82">
        <v>2</v>
      </c>
      <c r="AI470" s="82">
        <v>1.9999999999708962</v>
      </c>
      <c r="AJ470" s="166">
        <v>4.2202199999999994</v>
      </c>
      <c r="AK470" s="82">
        <v>4.2201199999999996</v>
      </c>
      <c r="AL470" s="162">
        <v>0</v>
      </c>
      <c r="AM470" s="162">
        <v>0</v>
      </c>
      <c r="AN470" s="162">
        <v>0</v>
      </c>
      <c r="AO470" s="162">
        <v>0</v>
      </c>
      <c r="AP470" s="162">
        <v>0</v>
      </c>
      <c r="AQ470" s="162">
        <v>0</v>
      </c>
      <c r="AR470" s="710" t="str">
        <v>32193r1.par</v>
      </c>
      <c r="AV470" s="82" t="str">
        <v>91,255,255</v>
      </c>
      <c r="AW470" s="947">
        <v>19.99999711235769</v>
      </c>
      <c r="AX470" s="947">
        <v>19.99999711235769</v>
      </c>
      <c r="AY470" s="947">
        <v>0</v>
      </c>
    </row>
    <row r="471" spans="12:51" x14ac:dyDescent="0.25">
      <c r="L471"/>
      <c r="AE471" s="75">
        <v>4.1440000000000001</v>
      </c>
      <c r="AF471" s="82">
        <v>4</v>
      </c>
      <c r="AG471" s="82">
        <v>1</v>
      </c>
      <c r="AH471" s="82">
        <v>2</v>
      </c>
      <c r="AI471" s="82">
        <v>1.9999999999708962</v>
      </c>
      <c r="AJ471" s="166">
        <v>4.1442199999999998</v>
      </c>
      <c r="AK471" s="82">
        <v>4.14412</v>
      </c>
      <c r="AL471" s="162">
        <v>0</v>
      </c>
      <c r="AM471" s="162">
        <v>0</v>
      </c>
      <c r="AN471" s="162">
        <v>0</v>
      </c>
      <c r="AO471" s="162">
        <v>0</v>
      </c>
      <c r="AP471" s="162">
        <v>0</v>
      </c>
      <c r="AQ471" s="162">
        <v>0</v>
      </c>
      <c r="AR471" s="710" t="str">
        <v>1613.par</v>
      </c>
      <c r="AV471" s="82" t="str">
        <v>0,204,204</v>
      </c>
      <c r="AW471" s="947">
        <v>84.970117416838406</v>
      </c>
      <c r="AX471" s="947">
        <v>84.970117416838406</v>
      </c>
      <c r="AY471" s="947">
        <v>0</v>
      </c>
    </row>
    <row r="472" spans="12:51" x14ac:dyDescent="0.25">
      <c r="L472"/>
      <c r="AE472" s="75">
        <v>4.1379999999999999</v>
      </c>
      <c r="AF472" s="82">
        <v>4</v>
      </c>
      <c r="AG472" s="82">
        <v>1</v>
      </c>
      <c r="AH472" s="82">
        <v>2</v>
      </c>
      <c r="AI472" s="82">
        <v>1.9999999999708962</v>
      </c>
      <c r="AJ472" s="166">
        <v>4.1382199999999996</v>
      </c>
      <c r="AK472" s="82">
        <v>4.1381199999999998</v>
      </c>
      <c r="AL472" s="162">
        <v>0</v>
      </c>
      <c r="AM472" s="162">
        <v>0</v>
      </c>
      <c r="AN472" s="162">
        <v>0</v>
      </c>
      <c r="AO472" s="162">
        <v>0</v>
      </c>
      <c r="AP472" s="162">
        <v>0</v>
      </c>
      <c r="AQ472" s="162">
        <v>0</v>
      </c>
      <c r="AR472" s="710" t="str">
        <v>1613.par</v>
      </c>
      <c r="AV472" s="82" t="str">
        <v>0,204,204</v>
      </c>
      <c r="AW472" s="947">
        <v>78.799617313561896</v>
      </c>
      <c r="AX472" s="947">
        <v>78.799617313561896</v>
      </c>
      <c r="AY472" s="947">
        <v>0</v>
      </c>
    </row>
    <row r="473" spans="12:51" x14ac:dyDescent="0.25">
      <c r="L473"/>
      <c r="AE473" s="75">
        <v>4.1319999999999997</v>
      </c>
      <c r="AF473" s="82">
        <v>4</v>
      </c>
      <c r="AG473" s="82">
        <v>1</v>
      </c>
      <c r="AH473" s="82">
        <v>2</v>
      </c>
      <c r="AI473" s="82">
        <v>1.9999999998981366</v>
      </c>
      <c r="AJ473" s="166">
        <v>4.1322199999999993</v>
      </c>
      <c r="AK473" s="82">
        <v>4.1321199999999996</v>
      </c>
      <c r="AL473" s="162">
        <v>0</v>
      </c>
      <c r="AM473" s="162">
        <v>0</v>
      </c>
      <c r="AN473" s="162">
        <v>0</v>
      </c>
      <c r="AO473" s="162">
        <v>0</v>
      </c>
      <c r="AP473" s="162">
        <v>0</v>
      </c>
      <c r="AQ473" s="162">
        <v>0</v>
      </c>
      <c r="AR473" s="710" t="str">
        <v>1613.par</v>
      </c>
      <c r="AV473" s="82" t="str">
        <v>0,204,204</v>
      </c>
      <c r="AW473" s="947">
        <v>60.249226457616452</v>
      </c>
      <c r="AX473" s="947">
        <v>60.249226457616452</v>
      </c>
      <c r="AY473" s="947">
        <v>0</v>
      </c>
    </row>
    <row r="474" spans="12:51" x14ac:dyDescent="0.25">
      <c r="L474"/>
      <c r="AE474" s="75">
        <v>4.1260000000000003</v>
      </c>
      <c r="AF474" s="82">
        <v>4</v>
      </c>
      <c r="AG474" s="82">
        <v>1</v>
      </c>
      <c r="AH474" s="82">
        <v>2</v>
      </c>
      <c r="AI474" s="82">
        <v>1.9999999999708962</v>
      </c>
      <c r="AJ474" s="166">
        <v>4.12622</v>
      </c>
      <c r="AK474" s="82">
        <v>4.1261200000000002</v>
      </c>
      <c r="AL474" s="162">
        <v>0</v>
      </c>
      <c r="AM474" s="162">
        <v>0</v>
      </c>
      <c r="AN474" s="162">
        <v>0</v>
      </c>
      <c r="AO474" s="162">
        <v>0</v>
      </c>
      <c r="AP474" s="162">
        <v>0</v>
      </c>
      <c r="AQ474" s="162">
        <v>0</v>
      </c>
      <c r="AR474" s="710" t="str">
        <v>1613.par</v>
      </c>
      <c r="AV474" s="82" t="str">
        <v>0,204,204</v>
      </c>
      <c r="AW474" s="947">
        <v>41.606624611766414</v>
      </c>
      <c r="AX474" s="947">
        <v>41.606624611766414</v>
      </c>
      <c r="AY474" s="947">
        <v>0</v>
      </c>
    </row>
    <row r="475" spans="12:51" x14ac:dyDescent="0.25">
      <c r="L475"/>
      <c r="AE475" s="75">
        <v>4.12</v>
      </c>
      <c r="AF475" s="82">
        <v>4</v>
      </c>
      <c r="AG475" s="82">
        <v>1</v>
      </c>
      <c r="AH475" s="82">
        <v>2</v>
      </c>
      <c r="AI475" s="82">
        <v>1.9999999999708962</v>
      </c>
      <c r="AJ475" s="166">
        <v>4.1202199999999998</v>
      </c>
      <c r="AK475" s="82">
        <v>4.12012</v>
      </c>
      <c r="AL475" s="162">
        <v>0</v>
      </c>
      <c r="AM475" s="162">
        <v>0</v>
      </c>
      <c r="AN475" s="162">
        <v>0</v>
      </c>
      <c r="AO475" s="162">
        <v>0</v>
      </c>
      <c r="AP475" s="162">
        <v>0</v>
      </c>
      <c r="AQ475" s="162">
        <v>0</v>
      </c>
      <c r="AR475" s="710" t="str">
        <v>1613 Ripper.par</v>
      </c>
      <c r="AV475" s="82" t="str">
        <v>0,204,204</v>
      </c>
      <c r="AW475" s="947">
        <v>22.793338283804125</v>
      </c>
      <c r="AX475" s="947">
        <v>22.793338283804125</v>
      </c>
      <c r="AY475" s="947">
        <v>0</v>
      </c>
    </row>
    <row r="476" spans="12:51" x14ac:dyDescent="0.25">
      <c r="L476"/>
      <c r="AE476" s="75">
        <v>4.1139999999999999</v>
      </c>
      <c r="AF476" s="82">
        <v>4</v>
      </c>
      <c r="AG476" s="82">
        <v>1</v>
      </c>
      <c r="AH476" s="82">
        <v>2</v>
      </c>
      <c r="AI476" s="82">
        <v>1.9999999999708962</v>
      </c>
      <c r="AJ476" s="166">
        <v>4.1142199999999995</v>
      </c>
      <c r="AK476" s="82">
        <v>4.1141199999999998</v>
      </c>
      <c r="AL476" s="162">
        <v>0</v>
      </c>
      <c r="AM476" s="162">
        <v>0</v>
      </c>
      <c r="AN476" s="162">
        <v>0</v>
      </c>
      <c r="AO476" s="162">
        <v>0</v>
      </c>
      <c r="AP476" s="162">
        <v>0</v>
      </c>
      <c r="AQ476" s="162">
        <v>0</v>
      </c>
      <c r="AR476" s="710" t="str">
        <v>1613 Ripper.par</v>
      </c>
      <c r="AV476" s="82" t="str">
        <v>0,204,204</v>
      </c>
      <c r="AW476" s="947">
        <v>3.9705087662236287</v>
      </c>
      <c r="AX476" s="947">
        <v>3.9705087662236287</v>
      </c>
      <c r="AY476" s="947">
        <v>0</v>
      </c>
    </row>
    <row r="477" spans="12:51" x14ac:dyDescent="0.25">
      <c r="L477"/>
      <c r="AE477" s="75">
        <v>3.2509999999999999</v>
      </c>
      <c r="AF477" s="82">
        <v>3</v>
      </c>
      <c r="AG477" s="82">
        <v>2</v>
      </c>
      <c r="AH477" s="82">
        <v>2</v>
      </c>
      <c r="AI477" s="82">
        <v>2.000000000007276</v>
      </c>
      <c r="AJ477" s="166">
        <v>3.25122</v>
      </c>
      <c r="AK477" s="82">
        <v>3.2511199999999998</v>
      </c>
      <c r="AL477" s="162">
        <v>0</v>
      </c>
      <c r="AM477" s="162">
        <v>0</v>
      </c>
      <c r="AN477" s="162">
        <v>0</v>
      </c>
      <c r="AO477" s="162">
        <v>0</v>
      </c>
      <c r="AP477" s="162">
        <v>0</v>
      </c>
      <c r="AQ477" s="162">
        <v>0</v>
      </c>
      <c r="AR477" s="710" t="str">
        <v>1313.par</v>
      </c>
      <c r="AV477" s="82" t="str">
        <v>97,255,97</v>
      </c>
      <c r="AW477" s="947">
        <v>100.03561890671625</v>
      </c>
      <c r="AX477" s="947">
        <v>100.03561890671625</v>
      </c>
      <c r="AY477" s="947">
        <v>0</v>
      </c>
    </row>
    <row r="478" spans="12:51" x14ac:dyDescent="0.25">
      <c r="L478"/>
      <c r="AE478" s="75">
        <v>3.2450000000000001</v>
      </c>
      <c r="AF478" s="82">
        <v>3</v>
      </c>
      <c r="AG478" s="82">
        <v>2</v>
      </c>
      <c r="AH478" s="82">
        <v>2</v>
      </c>
      <c r="AI478" s="82">
        <v>2.000000000007276</v>
      </c>
      <c r="AJ478" s="166">
        <v>3.2452200000000002</v>
      </c>
      <c r="AK478" s="82">
        <v>3.24512</v>
      </c>
      <c r="AL478" s="162">
        <v>0</v>
      </c>
      <c r="AM478" s="162">
        <v>0</v>
      </c>
      <c r="AN478" s="162">
        <v>0</v>
      </c>
      <c r="AO478" s="162">
        <v>0</v>
      </c>
      <c r="AP478" s="162">
        <v>0</v>
      </c>
      <c r="AQ478" s="162">
        <v>0</v>
      </c>
      <c r="AR478" s="710" t="str">
        <v>32193r1.par</v>
      </c>
      <c r="AV478" s="82" t="str">
        <v>97,255,97</v>
      </c>
      <c r="AW478" s="947">
        <v>89.999987005609611</v>
      </c>
      <c r="AX478" s="947">
        <v>89.999987005609611</v>
      </c>
      <c r="AY478" s="947">
        <v>0</v>
      </c>
    </row>
    <row r="479" spans="12:51" x14ac:dyDescent="0.25">
      <c r="L479"/>
      <c r="AE479" s="75">
        <v>3.2389999999999999</v>
      </c>
      <c r="AF479" s="82">
        <v>3</v>
      </c>
      <c r="AG479" s="82">
        <v>2</v>
      </c>
      <c r="AH479" s="82">
        <v>2</v>
      </c>
      <c r="AI479" s="82">
        <v>2.000000000007276</v>
      </c>
      <c r="AJ479" s="166">
        <v>3.23922</v>
      </c>
      <c r="AK479" s="82">
        <v>3.2391199999999998</v>
      </c>
      <c r="AL479" s="162">
        <v>0</v>
      </c>
      <c r="AM479" s="162">
        <v>0</v>
      </c>
      <c r="AN479" s="162">
        <v>0</v>
      </c>
      <c r="AO479" s="162">
        <v>0</v>
      </c>
      <c r="AP479" s="162">
        <v>0</v>
      </c>
      <c r="AQ479" s="162">
        <v>0</v>
      </c>
      <c r="AR479" s="710" t="str">
        <v>32193r1.par</v>
      </c>
      <c r="AV479" s="82" t="str">
        <v>97,255,97</v>
      </c>
      <c r="AW479" s="947">
        <v>82.999988016284419</v>
      </c>
      <c r="AX479" s="947">
        <v>82.999988016284419</v>
      </c>
      <c r="AY479" s="947">
        <v>0</v>
      </c>
    </row>
    <row r="480" spans="12:51" x14ac:dyDescent="0.25">
      <c r="L480"/>
      <c r="AE480" s="75">
        <v>3.2330000000000001</v>
      </c>
      <c r="AF480" s="82">
        <v>3</v>
      </c>
      <c r="AG480" s="82">
        <v>2</v>
      </c>
      <c r="AH480" s="82">
        <v>2</v>
      </c>
      <c r="AI480" s="82">
        <v>2.000000000007276</v>
      </c>
      <c r="AJ480" s="166">
        <v>3.2332200000000002</v>
      </c>
      <c r="AK480" s="82">
        <v>3.23312</v>
      </c>
      <c r="AL480" s="162">
        <v>0</v>
      </c>
      <c r="AM480" s="162">
        <v>0</v>
      </c>
      <c r="AN480" s="162">
        <v>0</v>
      </c>
      <c r="AO480" s="162">
        <v>0</v>
      </c>
      <c r="AP480" s="162">
        <v>0</v>
      </c>
      <c r="AQ480" s="162">
        <v>0</v>
      </c>
      <c r="AR480" s="710" t="str">
        <v>1313.par</v>
      </c>
      <c r="AV480" s="82" t="str">
        <v>97,255,97</v>
      </c>
      <c r="AW480" s="947">
        <v>63.392943063786667</v>
      </c>
      <c r="AX480" s="947">
        <v>63.392943063786667</v>
      </c>
      <c r="AY480" s="947">
        <v>0</v>
      </c>
    </row>
    <row r="481" spans="12:51" x14ac:dyDescent="0.25">
      <c r="L481"/>
      <c r="AE481" s="75">
        <v>3.2269999999999999</v>
      </c>
      <c r="AF481" s="82">
        <v>3</v>
      </c>
      <c r="AG481" s="82">
        <v>2</v>
      </c>
      <c r="AH481" s="82">
        <v>2</v>
      </c>
      <c r="AI481" s="82">
        <v>2.000000000007276</v>
      </c>
      <c r="AJ481" s="166">
        <v>3.22722</v>
      </c>
      <c r="AK481" s="82">
        <v>3.2271199999999998</v>
      </c>
      <c r="AL481" s="162">
        <v>0</v>
      </c>
      <c r="AM481" s="162">
        <v>0</v>
      </c>
      <c r="AN481" s="162">
        <v>0</v>
      </c>
      <c r="AO481" s="162">
        <v>0</v>
      </c>
      <c r="AP481" s="162">
        <v>0</v>
      </c>
      <c r="AQ481" s="162">
        <v>0</v>
      </c>
      <c r="AR481" s="710" t="str">
        <v>1313.par</v>
      </c>
      <c r="AV481" s="82" t="str">
        <v>97,255,97</v>
      </c>
      <c r="AW481" s="947">
        <v>44.830187859593472</v>
      </c>
      <c r="AX481" s="947">
        <v>44.830187859593472</v>
      </c>
      <c r="AY481" s="947">
        <v>0</v>
      </c>
    </row>
    <row r="482" spans="12:51" x14ac:dyDescent="0.25">
      <c r="L482"/>
      <c r="AE482" s="75">
        <v>3.2210000000000001</v>
      </c>
      <c r="AF482" s="82">
        <v>3</v>
      </c>
      <c r="AG482" s="82">
        <v>2</v>
      </c>
      <c r="AH482" s="82">
        <v>2</v>
      </c>
      <c r="AI482" s="82">
        <v>2.000000000007276</v>
      </c>
      <c r="AJ482" s="166">
        <v>3.2212200000000002</v>
      </c>
      <c r="AK482" s="82">
        <v>3.22112</v>
      </c>
      <c r="AL482" s="162">
        <v>0</v>
      </c>
      <c r="AM482" s="162">
        <v>0</v>
      </c>
      <c r="AN482" s="162">
        <v>0</v>
      </c>
      <c r="AO482" s="162">
        <v>0</v>
      </c>
      <c r="AP482" s="162">
        <v>0</v>
      </c>
      <c r="AQ482" s="162">
        <v>0</v>
      </c>
      <c r="AR482" s="710" t="str">
        <v>1313.par</v>
      </c>
      <c r="AV482" s="82" t="str">
        <v>97,255,97</v>
      </c>
      <c r="AW482" s="947">
        <v>26.167511622001179</v>
      </c>
      <c r="AX482" s="947">
        <v>26.167511622001179</v>
      </c>
      <c r="AY482" s="947">
        <v>0</v>
      </c>
    </row>
    <row r="483" spans="12:51" x14ac:dyDescent="0.25">
      <c r="L483"/>
      <c r="AE483" s="75">
        <v>3.2149999999999999</v>
      </c>
      <c r="AF483" s="82">
        <v>3</v>
      </c>
      <c r="AG483" s="82">
        <v>2</v>
      </c>
      <c r="AH483" s="82">
        <v>2</v>
      </c>
      <c r="AI483" s="82">
        <v>2.000000000007276</v>
      </c>
      <c r="AJ483" s="166">
        <v>3.21522</v>
      </c>
      <c r="AK483" s="82">
        <v>3.2151199999999998</v>
      </c>
      <c r="AL483" s="162">
        <v>0</v>
      </c>
      <c r="AM483" s="162">
        <v>0</v>
      </c>
      <c r="AN483" s="162">
        <v>0</v>
      </c>
      <c r="AO483" s="162">
        <v>0</v>
      </c>
      <c r="AP483" s="162">
        <v>0</v>
      </c>
      <c r="AQ483" s="162">
        <v>0</v>
      </c>
      <c r="AR483" s="710" t="str">
        <v>32193r1.par</v>
      </c>
      <c r="AV483" s="82" t="str">
        <v>97,255,97</v>
      </c>
      <c r="AW483" s="947">
        <v>-0.99999985561788196</v>
      </c>
      <c r="AX483" s="947">
        <v>-0.99999985561788196</v>
      </c>
      <c r="AY483" s="947">
        <v>0</v>
      </c>
    </row>
    <row r="484" spans="12:51" x14ac:dyDescent="0.25">
      <c r="L484"/>
      <c r="AE484" s="75">
        <v>3.145</v>
      </c>
      <c r="AF484" s="82">
        <v>3</v>
      </c>
      <c r="AG484" s="82">
        <v>1</v>
      </c>
      <c r="AH484" s="82">
        <v>2</v>
      </c>
      <c r="AI484" s="82">
        <v>2.000000000007276</v>
      </c>
      <c r="AJ484" s="166">
        <v>3.1452200000000001</v>
      </c>
      <c r="AK484" s="82">
        <v>3.1451199999999999</v>
      </c>
      <c r="AL484" s="162">
        <v>0</v>
      </c>
      <c r="AM484" s="162">
        <v>0</v>
      </c>
      <c r="AN484" s="162">
        <v>0</v>
      </c>
      <c r="AO484" s="162">
        <v>0</v>
      </c>
      <c r="AP484" s="162">
        <v>0</v>
      </c>
      <c r="AQ484" s="162">
        <v>0</v>
      </c>
      <c r="AR484" s="710" t="str">
        <v>1613.par</v>
      </c>
      <c r="AV484" s="82" t="str">
        <v>0,204,0</v>
      </c>
      <c r="AW484" s="947">
        <v>84.97011741683842</v>
      </c>
      <c r="AX484" s="947">
        <v>84.97011741683842</v>
      </c>
      <c r="AY484" s="947">
        <v>0</v>
      </c>
    </row>
    <row r="485" spans="12:51" x14ac:dyDescent="0.25">
      <c r="L485"/>
      <c r="AE485" s="75">
        <v>3.1389999999999998</v>
      </c>
      <c r="AF485" s="82">
        <v>3</v>
      </c>
      <c r="AG485" s="82">
        <v>1</v>
      </c>
      <c r="AH485" s="82">
        <v>2</v>
      </c>
      <c r="AI485" s="82">
        <v>2.000000000007276</v>
      </c>
      <c r="AJ485" s="166">
        <v>3.1392199999999999</v>
      </c>
      <c r="AK485" s="82">
        <v>3.1391199999999997</v>
      </c>
      <c r="AL485" s="162">
        <v>0</v>
      </c>
      <c r="AM485" s="162">
        <v>0</v>
      </c>
      <c r="AN485" s="162">
        <v>0</v>
      </c>
      <c r="AO485" s="162">
        <v>0</v>
      </c>
      <c r="AP485" s="162">
        <v>0</v>
      </c>
      <c r="AQ485" s="162">
        <v>0</v>
      </c>
      <c r="AR485" s="710" t="str">
        <v>1613.par</v>
      </c>
      <c r="AV485" s="82" t="str">
        <v>0,204,0</v>
      </c>
      <c r="AW485" s="947">
        <v>81.885446807640747</v>
      </c>
      <c r="AX485" s="947">
        <v>81.885446807640747</v>
      </c>
      <c r="AY485" s="947">
        <v>0</v>
      </c>
    </row>
    <row r="486" spans="12:51" x14ac:dyDescent="0.25">
      <c r="L486"/>
      <c r="AE486" s="75">
        <v>3.133</v>
      </c>
      <c r="AF486" s="82">
        <v>3</v>
      </c>
      <c r="AG486" s="82">
        <v>1</v>
      </c>
      <c r="AH486" s="82">
        <v>2</v>
      </c>
      <c r="AI486" s="82">
        <v>2.000000000007276</v>
      </c>
      <c r="AJ486" s="166">
        <v>3.1332200000000001</v>
      </c>
      <c r="AK486" s="82">
        <v>3.1331199999999999</v>
      </c>
      <c r="AL486" s="162">
        <v>0</v>
      </c>
      <c r="AM486" s="162">
        <v>0</v>
      </c>
      <c r="AN486" s="162">
        <v>0</v>
      </c>
      <c r="AO486" s="162">
        <v>0</v>
      </c>
      <c r="AP486" s="162">
        <v>0</v>
      </c>
      <c r="AQ486" s="162">
        <v>0</v>
      </c>
      <c r="AR486" s="710" t="str">
        <v>1613.par</v>
      </c>
      <c r="AV486" s="82" t="str">
        <v>0,204,0</v>
      </c>
      <c r="AW486" s="947">
        <v>63.345987496311885</v>
      </c>
      <c r="AX486" s="947">
        <v>63.345987496311885</v>
      </c>
      <c r="AY486" s="947">
        <v>0</v>
      </c>
    </row>
    <row r="487" spans="12:51" x14ac:dyDescent="0.25">
      <c r="L487"/>
      <c r="AE487" s="75">
        <v>3.1269999999999998</v>
      </c>
      <c r="AF487" s="82">
        <v>3</v>
      </c>
      <c r="AG487" s="82">
        <v>1</v>
      </c>
      <c r="AH487" s="82">
        <v>2</v>
      </c>
      <c r="AI487" s="82">
        <v>1.9999999999708962</v>
      </c>
      <c r="AJ487" s="166">
        <v>3.1272199999999999</v>
      </c>
      <c r="AK487" s="82">
        <v>3.1271199999999997</v>
      </c>
      <c r="AL487" s="162">
        <v>0</v>
      </c>
      <c r="AM487" s="162">
        <v>0</v>
      </c>
      <c r="AN487" s="162">
        <v>0</v>
      </c>
      <c r="AO487" s="162">
        <v>0</v>
      </c>
      <c r="AP487" s="162">
        <v>0</v>
      </c>
      <c r="AQ487" s="162">
        <v>0</v>
      </c>
      <c r="AR487" s="710" t="str">
        <v>1613.par</v>
      </c>
      <c r="AV487" s="82" t="str">
        <v>0,204,0</v>
      </c>
      <c r="AW487" s="947">
        <v>44.722719194276351</v>
      </c>
      <c r="AX487" s="947">
        <v>44.722719194276351</v>
      </c>
      <c r="AY487" s="947">
        <v>0</v>
      </c>
    </row>
    <row r="488" spans="12:51" x14ac:dyDescent="0.25">
      <c r="L488"/>
      <c r="AE488" s="75">
        <v>3.121</v>
      </c>
      <c r="AF488" s="82">
        <v>3</v>
      </c>
      <c r="AG488" s="82">
        <v>1</v>
      </c>
      <c r="AH488" s="82">
        <v>2</v>
      </c>
      <c r="AI488" s="82">
        <v>2.000000000007276</v>
      </c>
      <c r="AJ488" s="166">
        <v>3.1212200000000001</v>
      </c>
      <c r="AK488" s="82">
        <v>3.1211199999999999</v>
      </c>
      <c r="AL488" s="162">
        <v>0</v>
      </c>
      <c r="AM488" s="162">
        <v>0</v>
      </c>
      <c r="AN488" s="162">
        <v>0</v>
      </c>
      <c r="AO488" s="162">
        <v>0</v>
      </c>
      <c r="AP488" s="162">
        <v>0</v>
      </c>
      <c r="AQ488" s="162">
        <v>0</v>
      </c>
      <c r="AR488" s="710" t="str">
        <v>1613 Ripper.par</v>
      </c>
      <c r="AV488" s="82" t="str">
        <v>0,204,0</v>
      </c>
      <c r="AW488" s="947">
        <v>25.946275176386688</v>
      </c>
      <c r="AX488" s="947">
        <v>25.946275176386688</v>
      </c>
      <c r="AY488" s="947">
        <v>0</v>
      </c>
    </row>
    <row r="489" spans="12:51" x14ac:dyDescent="0.25">
      <c r="L489"/>
      <c r="AE489" s="75">
        <v>3.1150000000000002</v>
      </c>
      <c r="AF489" s="82">
        <v>3</v>
      </c>
      <c r="AG489" s="82">
        <v>1</v>
      </c>
      <c r="AH489" s="82">
        <v>2</v>
      </c>
      <c r="AI489" s="82">
        <v>2.0000000000436557</v>
      </c>
      <c r="AJ489" s="166">
        <v>3.1152200000000003</v>
      </c>
      <c r="AK489" s="82">
        <v>3.1151200000000001</v>
      </c>
      <c r="AL489" s="162">
        <v>0</v>
      </c>
      <c r="AM489" s="162">
        <v>0</v>
      </c>
      <c r="AN489" s="162">
        <v>0</v>
      </c>
      <c r="AO489" s="162">
        <v>0</v>
      </c>
      <c r="AP489" s="162">
        <v>0</v>
      </c>
      <c r="AQ489" s="162">
        <v>0</v>
      </c>
      <c r="AR489" s="710" t="str">
        <v>1613 Ripper.par</v>
      </c>
      <c r="AV489" s="82" t="str">
        <v>0,204,0</v>
      </c>
      <c r="AW489" s="947">
        <v>7.1077563806310833</v>
      </c>
      <c r="AX489" s="947">
        <v>7.1077563806310833</v>
      </c>
      <c r="AY489" s="947">
        <v>0</v>
      </c>
    </row>
    <row r="490" spans="12:51" x14ac:dyDescent="0.25">
      <c r="L490"/>
      <c r="AE490" s="75">
        <v>3.109</v>
      </c>
      <c r="AF490" s="82">
        <v>3</v>
      </c>
      <c r="AG490" s="82">
        <v>1</v>
      </c>
      <c r="AH490" s="82">
        <v>2</v>
      </c>
      <c r="AI490" s="82">
        <v>2.000000000007276</v>
      </c>
      <c r="AJ490" s="166">
        <v>3.1092200000000001</v>
      </c>
      <c r="AK490" s="82">
        <v>3.1091199999999999</v>
      </c>
      <c r="AL490" s="162">
        <v>0</v>
      </c>
      <c r="AM490" s="162">
        <v>0</v>
      </c>
      <c r="AN490" s="162">
        <v>0</v>
      </c>
      <c r="AO490" s="162">
        <v>0</v>
      </c>
      <c r="AP490" s="162">
        <v>0</v>
      </c>
      <c r="AQ490" s="162">
        <v>0</v>
      </c>
      <c r="AR490" s="710" t="str">
        <v>1613 Ripper.par</v>
      </c>
      <c r="AV490" s="82" t="str">
        <v>0,204,0</v>
      </c>
      <c r="AW490" s="947">
        <v>-11.754573914654843</v>
      </c>
      <c r="AX490" s="947">
        <v>-11.754573914654843</v>
      </c>
      <c r="AY490" s="947">
        <v>0</v>
      </c>
    </row>
    <row r="491" spans="12:51" x14ac:dyDescent="0.25">
      <c r="L491"/>
      <c r="AE491" s="75">
        <v>3.1059999999999999</v>
      </c>
      <c r="AF491" s="82">
        <v>3</v>
      </c>
      <c r="AG491" s="82">
        <v>1</v>
      </c>
      <c r="AH491" s="82">
        <v>2</v>
      </c>
      <c r="AI491" s="82">
        <v>2.000000000007276</v>
      </c>
      <c r="AJ491" s="166">
        <v>3.10622</v>
      </c>
      <c r="AK491" s="82">
        <v>3.1061199999999998</v>
      </c>
      <c r="AL491" s="162">
        <v>0</v>
      </c>
      <c r="AM491" s="162">
        <v>0</v>
      </c>
      <c r="AN491" s="162">
        <v>0</v>
      </c>
      <c r="AO491" s="162">
        <v>0</v>
      </c>
      <c r="AP491" s="162">
        <v>0</v>
      </c>
      <c r="AQ491" s="162">
        <v>0</v>
      </c>
      <c r="AR491" s="710" t="str">
        <v>1613 Ripper.par</v>
      </c>
      <c r="AV491" s="82" t="str">
        <v>0,204,0</v>
      </c>
      <c r="AW491" s="947">
        <v>-12.508515021959289</v>
      </c>
      <c r="AX491" s="947">
        <v>-12.508515021959289</v>
      </c>
      <c r="AY491" s="947">
        <v>0</v>
      </c>
    </row>
    <row r="492" spans="12:51" x14ac:dyDescent="0.25">
      <c r="L492"/>
      <c r="AE492" s="75">
        <v>3.1030000000000002</v>
      </c>
      <c r="AF492" s="82">
        <v>3</v>
      </c>
      <c r="AG492" s="82">
        <v>1</v>
      </c>
      <c r="AH492" s="82">
        <v>2</v>
      </c>
      <c r="AI492" s="82">
        <v>2.0000000000436557</v>
      </c>
      <c r="AJ492" s="166">
        <v>3.1032200000000003</v>
      </c>
      <c r="AK492" s="82">
        <v>3.1031200000000001</v>
      </c>
      <c r="AL492" s="162">
        <v>0</v>
      </c>
      <c r="AM492" s="162">
        <v>0</v>
      </c>
      <c r="AN492" s="162">
        <v>0</v>
      </c>
      <c r="AO492" s="162">
        <v>0</v>
      </c>
      <c r="AP492" s="162">
        <v>0</v>
      </c>
      <c r="AQ492" s="162">
        <v>0</v>
      </c>
      <c r="AR492" s="710" t="str">
        <v>1613.par</v>
      </c>
      <c r="AV492" s="82" t="str">
        <v>0,204,0</v>
      </c>
      <c r="AW492" s="947">
        <v>-14.302653650703496</v>
      </c>
      <c r="AX492" s="947">
        <v>-14.302653650703496</v>
      </c>
      <c r="AY492" s="947">
        <v>0</v>
      </c>
    </row>
    <row r="493" spans="12:51" x14ac:dyDescent="0.25">
      <c r="L493"/>
      <c r="AE493" s="75">
        <v>2.2519999999999998</v>
      </c>
      <c r="AF493" s="82">
        <v>2</v>
      </c>
      <c r="AG493" s="82">
        <v>2</v>
      </c>
      <c r="AH493" s="82">
        <v>2</v>
      </c>
      <c r="AI493" s="82">
        <v>1.9999999999708962</v>
      </c>
      <c r="AJ493" s="166">
        <v>2.2522199999999999</v>
      </c>
      <c r="AK493" s="82">
        <v>2.2521199999999997</v>
      </c>
      <c r="AL493" s="162">
        <v>0</v>
      </c>
      <c r="AM493" s="162">
        <v>0</v>
      </c>
      <c r="AN493" s="162">
        <v>0</v>
      </c>
      <c r="AO493" s="162">
        <v>0</v>
      </c>
      <c r="AP493" s="162">
        <v>0</v>
      </c>
      <c r="AQ493" s="162">
        <v>0</v>
      </c>
      <c r="AR493" s="710" t="str">
        <v>1313.par</v>
      </c>
      <c r="AV493" s="82" t="str">
        <v>255,255,91</v>
      </c>
      <c r="AW493" s="947">
        <v>100.03561890671624</v>
      </c>
      <c r="AX493" s="947">
        <v>100.03561890671624</v>
      </c>
      <c r="AY493" s="947">
        <v>0</v>
      </c>
    </row>
    <row r="494" spans="12:51" x14ac:dyDescent="0.25">
      <c r="L494"/>
      <c r="AE494" s="75">
        <v>2.246</v>
      </c>
      <c r="AF494" s="82">
        <v>2</v>
      </c>
      <c r="AG494" s="82">
        <v>2</v>
      </c>
      <c r="AH494" s="82">
        <v>2</v>
      </c>
      <c r="AI494" s="82">
        <v>2.000000000007276</v>
      </c>
      <c r="AJ494" s="166">
        <v>2.2462200000000001</v>
      </c>
      <c r="AK494" s="82">
        <v>2.2461199999999999</v>
      </c>
      <c r="AL494" s="162">
        <v>0</v>
      </c>
      <c r="AM494" s="162">
        <v>0</v>
      </c>
      <c r="AN494" s="162">
        <v>0</v>
      </c>
      <c r="AO494" s="162">
        <v>0</v>
      </c>
      <c r="AP494" s="162">
        <v>0</v>
      </c>
      <c r="AQ494" s="162">
        <v>0</v>
      </c>
      <c r="AR494" s="710" t="str">
        <v>32193r1.par</v>
      </c>
      <c r="AV494" s="82" t="str">
        <v>255,255,91</v>
      </c>
      <c r="AW494" s="947">
        <v>89.999987005609626</v>
      </c>
      <c r="AX494" s="947">
        <v>89.999987005609626</v>
      </c>
      <c r="AY494" s="947">
        <v>0</v>
      </c>
    </row>
    <row r="495" spans="12:51" x14ac:dyDescent="0.25">
      <c r="L495"/>
      <c r="AE495" s="75">
        <v>2.2400000000000002</v>
      </c>
      <c r="AF495" s="82">
        <v>2</v>
      </c>
      <c r="AG495" s="82">
        <v>2</v>
      </c>
      <c r="AH495" s="82">
        <v>2</v>
      </c>
      <c r="AI495" s="82">
        <v>2.0000000000436557</v>
      </c>
      <c r="AJ495" s="166">
        <v>2.2402200000000003</v>
      </c>
      <c r="AK495" s="82">
        <v>2.2401200000000001</v>
      </c>
      <c r="AL495" s="162">
        <v>0</v>
      </c>
      <c r="AM495" s="162">
        <v>0</v>
      </c>
      <c r="AN495" s="162">
        <v>0</v>
      </c>
      <c r="AO495" s="162">
        <v>0</v>
      </c>
      <c r="AP495" s="162">
        <v>0</v>
      </c>
      <c r="AQ495" s="162">
        <v>0</v>
      </c>
      <c r="AR495" s="710" t="str">
        <v>32193r1.par</v>
      </c>
      <c r="AV495" s="82" t="str">
        <v>255,255,91</v>
      </c>
      <c r="AW495" s="947">
        <v>89.999987005609611</v>
      </c>
      <c r="AX495" s="947">
        <v>89.999987005609611</v>
      </c>
      <c r="AY495" s="947">
        <v>0</v>
      </c>
    </row>
    <row r="496" spans="12:51" x14ac:dyDescent="0.25">
      <c r="L496"/>
      <c r="AE496" s="75">
        <v>2.234</v>
      </c>
      <c r="AF496" s="82">
        <v>2</v>
      </c>
      <c r="AG496" s="82">
        <v>2</v>
      </c>
      <c r="AH496" s="82">
        <v>2</v>
      </c>
      <c r="AI496" s="82">
        <v>2.000000000007276</v>
      </c>
      <c r="AJ496" s="166">
        <v>2.2342200000000001</v>
      </c>
      <c r="AK496" s="82">
        <v>2.2341199999999999</v>
      </c>
      <c r="AL496" s="162">
        <v>0</v>
      </c>
      <c r="AM496" s="162">
        <v>0</v>
      </c>
      <c r="AN496" s="162">
        <v>0</v>
      </c>
      <c r="AO496" s="162">
        <v>0</v>
      </c>
      <c r="AP496" s="162">
        <v>0</v>
      </c>
      <c r="AQ496" s="162">
        <v>0</v>
      </c>
      <c r="AR496" s="710" t="str">
        <v>32193r1.par</v>
      </c>
      <c r="AV496" s="82" t="str">
        <v>255,255,91</v>
      </c>
      <c r="AW496" s="947">
        <v>68.999990037634035</v>
      </c>
      <c r="AX496" s="947">
        <v>68.999990037634035</v>
      </c>
      <c r="AY496" s="947">
        <v>0</v>
      </c>
    </row>
    <row r="497" spans="31:51" x14ac:dyDescent="0.25">
      <c r="AE497" s="75">
        <v>2.2280000000000002</v>
      </c>
      <c r="AF497" s="82">
        <v>2</v>
      </c>
      <c r="AG497" s="82">
        <v>2</v>
      </c>
      <c r="AH497" s="82">
        <v>2</v>
      </c>
      <c r="AI497" s="82">
        <v>2.0000000000436557</v>
      </c>
      <c r="AJ497" s="166">
        <v>2.2282200000000003</v>
      </c>
      <c r="AK497" s="82">
        <v>2.2281200000000001</v>
      </c>
      <c r="AL497" s="162">
        <v>0</v>
      </c>
      <c r="AM497" s="162">
        <v>0</v>
      </c>
      <c r="AN497" s="162">
        <v>0</v>
      </c>
      <c r="AO497" s="162">
        <v>0</v>
      </c>
      <c r="AP497" s="162">
        <v>0</v>
      </c>
      <c r="AQ497" s="162">
        <v>0</v>
      </c>
      <c r="AR497" s="710" t="str">
        <v>32193r1.par</v>
      </c>
      <c r="AV497" s="82" t="str">
        <v>255,255,91</v>
      </c>
      <c r="AW497" s="947">
        <v>47.999993069658451</v>
      </c>
      <c r="AX497" s="947">
        <v>47.999993069658451</v>
      </c>
      <c r="AY497" s="947">
        <v>0</v>
      </c>
    </row>
    <row r="498" spans="31:51" x14ac:dyDescent="0.25">
      <c r="AE498" s="75">
        <v>2.222</v>
      </c>
      <c r="AF498" s="82">
        <v>2</v>
      </c>
      <c r="AG498" s="82">
        <v>2</v>
      </c>
      <c r="AH498" s="82">
        <v>2</v>
      </c>
      <c r="AI498" s="82">
        <v>2.000000000007276</v>
      </c>
      <c r="AJ498" s="166">
        <v>2.2222200000000001</v>
      </c>
      <c r="AK498" s="82">
        <v>2.2221199999999999</v>
      </c>
      <c r="AL498" s="162">
        <v>0</v>
      </c>
      <c r="AM498" s="162">
        <v>0</v>
      </c>
      <c r="AN498" s="162">
        <v>0</v>
      </c>
      <c r="AO498" s="162">
        <v>0</v>
      </c>
      <c r="AP498" s="162">
        <v>0</v>
      </c>
      <c r="AQ498" s="162">
        <v>0</v>
      </c>
      <c r="AR498" s="710" t="str">
        <v>32193r1.par</v>
      </c>
      <c r="AV498" s="82" t="str">
        <v>255,255,91</v>
      </c>
      <c r="AW498" s="947">
        <v>26.999996101682878</v>
      </c>
      <c r="AX498" s="947">
        <v>26.999996101682878</v>
      </c>
      <c r="AY498" s="947">
        <v>0</v>
      </c>
    </row>
    <row r="499" spans="31:51" x14ac:dyDescent="0.25">
      <c r="AE499" s="75">
        <v>2.2160000000000002</v>
      </c>
      <c r="AF499" s="82">
        <v>2</v>
      </c>
      <c r="AG499" s="82">
        <v>2</v>
      </c>
      <c r="AH499" s="82">
        <v>2</v>
      </c>
      <c r="AI499" s="82">
        <v>2.0000000000436557</v>
      </c>
      <c r="AJ499" s="166">
        <v>2.2162200000000003</v>
      </c>
      <c r="AK499" s="82">
        <v>2.2161200000000001</v>
      </c>
      <c r="AL499" s="162">
        <v>0</v>
      </c>
      <c r="AM499" s="162">
        <v>0</v>
      </c>
      <c r="AN499" s="162">
        <v>0</v>
      </c>
      <c r="AO499" s="162">
        <v>0</v>
      </c>
      <c r="AP499" s="162">
        <v>0</v>
      </c>
      <c r="AQ499" s="162">
        <v>0</v>
      </c>
      <c r="AR499" s="710" t="str">
        <v>32193r1.par</v>
      </c>
      <c r="AV499" s="82" t="str">
        <v>255,255,91</v>
      </c>
      <c r="AW499" s="947">
        <v>5.9999991337073082</v>
      </c>
      <c r="AX499" s="947">
        <v>5.9999991337073082</v>
      </c>
      <c r="AY499" s="947">
        <v>0</v>
      </c>
    </row>
    <row r="500" spans="31:51" x14ac:dyDescent="0.25">
      <c r="AE500" s="75">
        <v>2.1459999999999999</v>
      </c>
      <c r="AF500" s="82">
        <v>2</v>
      </c>
      <c r="AG500" s="82">
        <v>1</v>
      </c>
      <c r="AH500" s="82">
        <v>2</v>
      </c>
      <c r="AI500" s="82">
        <v>2.000000000007276</v>
      </c>
      <c r="AJ500" s="166">
        <v>2.14622</v>
      </c>
      <c r="AK500" s="82">
        <v>2.1461199999999998</v>
      </c>
      <c r="AL500" s="162">
        <v>0</v>
      </c>
      <c r="AM500" s="162">
        <v>0</v>
      </c>
      <c r="AN500" s="162">
        <v>0</v>
      </c>
      <c r="AO500" s="162">
        <v>0</v>
      </c>
      <c r="AP500" s="162">
        <v>0</v>
      </c>
      <c r="AQ500" s="162">
        <v>0</v>
      </c>
      <c r="AR500" s="710" t="str">
        <v>1613.par</v>
      </c>
      <c r="AV500" s="82" t="str">
        <v>204,204,0</v>
      </c>
      <c r="AW500" s="947">
        <v>84.97011741683842</v>
      </c>
      <c r="AX500" s="947">
        <v>84.97011741683842</v>
      </c>
      <c r="AY500" s="947">
        <v>0</v>
      </c>
    </row>
    <row r="501" spans="31:51" x14ac:dyDescent="0.25">
      <c r="AE501" s="75">
        <v>2.14</v>
      </c>
      <c r="AF501" s="82">
        <v>2</v>
      </c>
      <c r="AG501" s="82">
        <v>1</v>
      </c>
      <c r="AH501" s="82">
        <v>2</v>
      </c>
      <c r="AI501" s="82">
        <v>2.000000000007276</v>
      </c>
      <c r="AJ501" s="166">
        <v>2.1402200000000002</v>
      </c>
      <c r="AK501" s="82">
        <v>2.14012</v>
      </c>
      <c r="AL501" s="162">
        <v>0</v>
      </c>
      <c r="AM501" s="162">
        <v>0</v>
      </c>
      <c r="AN501" s="162">
        <v>0</v>
      </c>
      <c r="AO501" s="162">
        <v>0</v>
      </c>
      <c r="AP501" s="162">
        <v>0</v>
      </c>
      <c r="AQ501" s="162">
        <v>0</v>
      </c>
      <c r="AR501" s="710" t="str">
        <v>1613.par</v>
      </c>
      <c r="AV501" s="82" t="str">
        <v>204,204,0</v>
      </c>
      <c r="AW501" s="947">
        <v>84.969949372155938</v>
      </c>
      <c r="AX501" s="947">
        <v>84.969949372155938</v>
      </c>
      <c r="AY501" s="947">
        <v>0</v>
      </c>
    </row>
    <row r="502" spans="31:51" x14ac:dyDescent="0.25">
      <c r="AE502" s="75">
        <v>2.1339999999999999</v>
      </c>
      <c r="AF502" s="82">
        <v>2</v>
      </c>
      <c r="AG502" s="82">
        <v>1</v>
      </c>
      <c r="AH502" s="82">
        <v>2</v>
      </c>
      <c r="AI502" s="82">
        <v>2.000000000007276</v>
      </c>
      <c r="AJ502" s="166">
        <v>2.13422</v>
      </c>
      <c r="AK502" s="82">
        <v>2.1341199999999998</v>
      </c>
      <c r="AL502" s="162">
        <v>0</v>
      </c>
      <c r="AM502" s="162">
        <v>0</v>
      </c>
      <c r="AN502" s="162">
        <v>0</v>
      </c>
      <c r="AO502" s="162">
        <v>0</v>
      </c>
      <c r="AP502" s="162">
        <v>0</v>
      </c>
      <c r="AQ502" s="162">
        <v>0</v>
      </c>
      <c r="AR502" s="710" t="str">
        <v>1613.par</v>
      </c>
      <c r="AV502" s="82" t="str">
        <v>204,204,0</v>
      </c>
      <c r="AW502" s="947">
        <v>66.440489504246187</v>
      </c>
      <c r="AX502" s="947">
        <v>66.440489504246187</v>
      </c>
      <c r="AY502" s="947">
        <v>0</v>
      </c>
    </row>
    <row r="503" spans="31:51" x14ac:dyDescent="0.25">
      <c r="AE503" s="75">
        <v>2.1280000000000001</v>
      </c>
      <c r="AF503" s="82">
        <v>2</v>
      </c>
      <c r="AG503" s="82">
        <v>1</v>
      </c>
      <c r="AH503" s="82">
        <v>2</v>
      </c>
      <c r="AI503" s="82">
        <v>2.000000000007276</v>
      </c>
      <c r="AJ503" s="166">
        <v>2.1282200000000002</v>
      </c>
      <c r="AK503" s="82">
        <v>2.12812</v>
      </c>
      <c r="AL503" s="162">
        <v>0</v>
      </c>
      <c r="AM503" s="162">
        <v>0</v>
      </c>
      <c r="AN503" s="162">
        <v>0</v>
      </c>
      <c r="AO503" s="162">
        <v>0</v>
      </c>
      <c r="AP503" s="162">
        <v>0</v>
      </c>
      <c r="AQ503" s="162">
        <v>0</v>
      </c>
      <c r="AR503" s="710" t="str">
        <v>1613.par</v>
      </c>
      <c r="AV503" s="82" t="str">
        <v>204,204,0</v>
      </c>
      <c r="AW503" s="947">
        <v>47.834713669325687</v>
      </c>
      <c r="AX503" s="947">
        <v>47.834713669325687</v>
      </c>
      <c r="AY503" s="947">
        <v>0</v>
      </c>
    </row>
    <row r="504" spans="31:51" x14ac:dyDescent="0.25">
      <c r="AE504" s="75">
        <v>2.1219999999999999</v>
      </c>
      <c r="AF504" s="82">
        <v>2</v>
      </c>
      <c r="AG504" s="82">
        <v>1</v>
      </c>
      <c r="AH504" s="82">
        <v>2</v>
      </c>
      <c r="AI504" s="82">
        <v>2.000000000007276</v>
      </c>
      <c r="AJ504" s="166">
        <v>2.12222</v>
      </c>
      <c r="AK504" s="82">
        <v>2.1221199999999998</v>
      </c>
      <c r="AL504" s="162">
        <v>0</v>
      </c>
      <c r="AM504" s="162">
        <v>0</v>
      </c>
      <c r="AN504" s="162">
        <v>0</v>
      </c>
      <c r="AO504" s="162">
        <v>0</v>
      </c>
      <c r="AP504" s="162">
        <v>0</v>
      </c>
      <c r="AQ504" s="162">
        <v>0</v>
      </c>
      <c r="AR504" s="710" t="str">
        <v>1613.par</v>
      </c>
      <c r="AV504" s="82" t="str">
        <v>204,204,0</v>
      </c>
      <c r="AW504" s="947">
        <v>29.091158349317926</v>
      </c>
      <c r="AX504" s="947">
        <v>29.091158349317926</v>
      </c>
      <c r="AY504" s="947">
        <v>0</v>
      </c>
    </row>
    <row r="505" spans="31:51" x14ac:dyDescent="0.25">
      <c r="AE505" s="75">
        <v>2.1160000000000001</v>
      </c>
      <c r="AF505" s="82">
        <v>2</v>
      </c>
      <c r="AG505" s="82">
        <v>1</v>
      </c>
      <c r="AH505" s="82">
        <v>2</v>
      </c>
      <c r="AI505" s="82">
        <v>2.000000000007276</v>
      </c>
      <c r="AJ505" s="166">
        <v>2.1162200000000002</v>
      </c>
      <c r="AK505" s="82">
        <v>2.11612</v>
      </c>
      <c r="AL505" s="162">
        <v>0</v>
      </c>
      <c r="AM505" s="162">
        <v>0</v>
      </c>
      <c r="AN505" s="162">
        <v>0</v>
      </c>
      <c r="AO505" s="162">
        <v>0</v>
      </c>
      <c r="AP505" s="162">
        <v>0</v>
      </c>
      <c r="AQ505" s="162">
        <v>0</v>
      </c>
      <c r="AR505" s="710" t="str">
        <v>1613 Ripper.par</v>
      </c>
      <c r="AV505" s="82" t="str">
        <v>204,204,0</v>
      </c>
      <c r="AW505" s="947">
        <v>10.242376499105918</v>
      </c>
      <c r="AX505" s="947">
        <v>10.242376499105918</v>
      </c>
      <c r="AY505" s="947">
        <v>0</v>
      </c>
    </row>
    <row r="506" spans="31:51" x14ac:dyDescent="0.25">
      <c r="AE506" s="75">
        <v>2.11</v>
      </c>
      <c r="AF506" s="82">
        <v>2</v>
      </c>
      <c r="AG506" s="82">
        <v>1</v>
      </c>
      <c r="AH506" s="82">
        <v>2</v>
      </c>
      <c r="AI506" s="82">
        <v>2.000000000007276</v>
      </c>
      <c r="AJ506" s="166">
        <v>2.11022</v>
      </c>
      <c r="AK506" s="82">
        <v>2.1101199999999998</v>
      </c>
      <c r="AL506" s="162">
        <v>0</v>
      </c>
      <c r="AM506" s="162">
        <v>0</v>
      </c>
      <c r="AN506" s="162">
        <v>0</v>
      </c>
      <c r="AO506" s="162">
        <v>0</v>
      </c>
      <c r="AP506" s="162">
        <v>0</v>
      </c>
      <c r="AQ506" s="162">
        <v>0</v>
      </c>
      <c r="AR506" s="710" t="str">
        <v>1613 Ripper.par</v>
      </c>
      <c r="AV506" s="82" t="str">
        <v>204,204,0</v>
      </c>
      <c r="AW506" s="947">
        <v>-8.604830320611164</v>
      </c>
      <c r="AX506" s="947">
        <v>-8.604830320611164</v>
      </c>
      <c r="AY506" s="947">
        <v>0</v>
      </c>
    </row>
    <row r="507" spans="31:51" x14ac:dyDescent="0.25">
      <c r="AE507" s="75">
        <v>1.2529999999999999</v>
      </c>
      <c r="AF507" s="82">
        <v>1</v>
      </c>
      <c r="AG507" s="82">
        <v>2</v>
      </c>
      <c r="AH507" s="82">
        <v>2</v>
      </c>
      <c r="AI507" s="82">
        <v>2.000000000007276</v>
      </c>
      <c r="AJ507" s="166">
        <v>1.25322</v>
      </c>
      <c r="AK507" s="82">
        <v>1.25312</v>
      </c>
      <c r="AL507" s="162">
        <v>0</v>
      </c>
      <c r="AM507" s="162">
        <v>0</v>
      </c>
      <c r="AN507" s="162">
        <v>0</v>
      </c>
      <c r="AO507" s="162">
        <v>0</v>
      </c>
      <c r="AP507" s="162">
        <v>0</v>
      </c>
      <c r="AQ507" s="162">
        <v>0</v>
      </c>
      <c r="AR507" s="710" t="str">
        <v>1313.par</v>
      </c>
      <c r="AV507" s="82" t="str">
        <v>255,188,121</v>
      </c>
      <c r="AW507" s="947">
        <v>100.03561890671624</v>
      </c>
      <c r="AX507" s="947">
        <v>100.03561890671624</v>
      </c>
      <c r="AY507" s="947">
        <v>0</v>
      </c>
    </row>
    <row r="508" spans="31:51" x14ac:dyDescent="0.25">
      <c r="AE508" s="75">
        <v>1.2470000000000001</v>
      </c>
      <c r="AF508" s="82">
        <v>1</v>
      </c>
      <c r="AG508" s="82">
        <v>2</v>
      </c>
      <c r="AH508" s="82">
        <v>2</v>
      </c>
      <c r="AI508" s="82">
        <v>2.0000000000254659</v>
      </c>
      <c r="AJ508" s="166">
        <v>1.2472200000000002</v>
      </c>
      <c r="AK508" s="82">
        <v>1.2471200000000002</v>
      </c>
      <c r="AL508" s="162">
        <v>0</v>
      </c>
      <c r="AM508" s="162">
        <v>0</v>
      </c>
      <c r="AN508" s="162">
        <v>0</v>
      </c>
      <c r="AO508" s="162">
        <v>0</v>
      </c>
      <c r="AP508" s="162">
        <v>0</v>
      </c>
      <c r="AQ508" s="162">
        <v>0</v>
      </c>
      <c r="AR508" s="710" t="str">
        <v>32193r1.par</v>
      </c>
      <c r="AV508" s="82" t="str">
        <v>255,188,121</v>
      </c>
      <c r="AW508" s="947">
        <v>89.999987005609597</v>
      </c>
      <c r="AX508" s="947">
        <v>89.999987005609597</v>
      </c>
      <c r="AY508" s="947">
        <v>0</v>
      </c>
    </row>
    <row r="509" spans="31:51" x14ac:dyDescent="0.25">
      <c r="AE509" s="75">
        <v>1.2410000000000001</v>
      </c>
      <c r="AF509" s="82">
        <v>1</v>
      </c>
      <c r="AG509" s="82">
        <v>2</v>
      </c>
      <c r="AH509" s="82">
        <v>2</v>
      </c>
      <c r="AI509" s="82">
        <v>2.0000000000254659</v>
      </c>
      <c r="AJ509" s="166">
        <v>1.2412200000000002</v>
      </c>
      <c r="AK509" s="82">
        <v>1.2411200000000002</v>
      </c>
      <c r="AL509" s="162">
        <v>0</v>
      </c>
      <c r="AM509" s="162">
        <v>0</v>
      </c>
      <c r="AN509" s="162">
        <v>0</v>
      </c>
      <c r="AO509" s="162">
        <v>0</v>
      </c>
      <c r="AP509" s="162">
        <v>0</v>
      </c>
      <c r="AQ509" s="162">
        <v>0</v>
      </c>
      <c r="AR509" s="710" t="str">
        <v>32193r1.par</v>
      </c>
      <c r="AV509" s="82" t="str">
        <v>255,188,121</v>
      </c>
      <c r="AW509" s="947">
        <v>89.999987005609611</v>
      </c>
      <c r="AX509" s="947">
        <v>89.999987005609611</v>
      </c>
      <c r="AY509" s="947">
        <v>0</v>
      </c>
    </row>
    <row r="510" spans="31:51" x14ac:dyDescent="0.25">
      <c r="AE510" s="75">
        <v>1.2350000000000001</v>
      </c>
      <c r="AF510" s="82">
        <v>1</v>
      </c>
      <c r="AG510" s="82">
        <v>2</v>
      </c>
      <c r="AH510" s="82">
        <v>2</v>
      </c>
      <c r="AI510" s="82">
        <v>2.0000000000254659</v>
      </c>
      <c r="AJ510" s="166">
        <v>1.2352200000000002</v>
      </c>
      <c r="AK510" s="82">
        <v>1.2351200000000002</v>
      </c>
      <c r="AL510" s="162">
        <v>0</v>
      </c>
      <c r="AM510" s="162">
        <v>0</v>
      </c>
      <c r="AN510" s="162">
        <v>0</v>
      </c>
      <c r="AO510" s="162">
        <v>0</v>
      </c>
      <c r="AP510" s="162">
        <v>0</v>
      </c>
      <c r="AQ510" s="162">
        <v>0</v>
      </c>
      <c r="AR510" s="710" t="str">
        <v>1313.par</v>
      </c>
      <c r="AV510" s="82" t="str">
        <v>255,188,121</v>
      </c>
      <c r="AW510" s="947">
        <v>69.566043588691343</v>
      </c>
      <c r="AX510" s="947">
        <v>69.566043588691343</v>
      </c>
      <c r="AY510" s="947">
        <v>0</v>
      </c>
    </row>
    <row r="511" spans="31:51" x14ac:dyDescent="0.25">
      <c r="AE511" s="75">
        <v>1.2290000000000001</v>
      </c>
      <c r="AF511" s="82">
        <v>1</v>
      </c>
      <c r="AG511" s="82">
        <v>2</v>
      </c>
      <c r="AH511" s="82">
        <v>2</v>
      </c>
      <c r="AI511" s="82">
        <v>2.0000000000254659</v>
      </c>
      <c r="AJ511" s="166">
        <v>1.2292200000000002</v>
      </c>
      <c r="AK511" s="82">
        <v>1.2291200000000002</v>
      </c>
      <c r="AL511" s="162">
        <v>0</v>
      </c>
      <c r="AM511" s="162">
        <v>0</v>
      </c>
      <c r="AN511" s="162">
        <v>0</v>
      </c>
      <c r="AO511" s="162">
        <v>0</v>
      </c>
      <c r="AP511" s="162">
        <v>0</v>
      </c>
      <c r="AQ511" s="162">
        <v>0</v>
      </c>
      <c r="AR511" s="710" t="str">
        <v>1313.par</v>
      </c>
      <c r="AV511" s="82" t="str">
        <v>255,188,121</v>
      </c>
      <c r="AW511" s="947">
        <v>51.026324417745535</v>
      </c>
      <c r="AX511" s="947">
        <v>51.026324417745535</v>
      </c>
      <c r="AY511" s="947">
        <v>0</v>
      </c>
    </row>
    <row r="512" spans="31:51" x14ac:dyDescent="0.25">
      <c r="AE512" s="75">
        <v>1.2230000000000001</v>
      </c>
      <c r="AF512" s="82">
        <v>1</v>
      </c>
      <c r="AG512" s="82">
        <v>2</v>
      </c>
      <c r="AH512" s="82">
        <v>2</v>
      </c>
      <c r="AI512" s="82">
        <v>2.0000000000254659</v>
      </c>
      <c r="AJ512" s="166">
        <v>1.2232200000000002</v>
      </c>
      <c r="AK512" s="82">
        <v>1.2231200000000002</v>
      </c>
      <c r="AL512" s="162">
        <v>0</v>
      </c>
      <c r="AM512" s="162">
        <v>0</v>
      </c>
      <c r="AN512" s="162">
        <v>0</v>
      </c>
      <c r="AO512" s="162">
        <v>0</v>
      </c>
      <c r="AP512" s="162">
        <v>0</v>
      </c>
      <c r="AQ512" s="162">
        <v>0</v>
      </c>
      <c r="AR512" s="710" t="str">
        <v>1313.par</v>
      </c>
      <c r="AV512" s="82" t="str">
        <v>255,188,121</v>
      </c>
      <c r="AW512" s="947">
        <v>32.403257224374144</v>
      </c>
      <c r="AX512" s="947">
        <v>32.403257224374144</v>
      </c>
      <c r="AY512" s="947">
        <v>0</v>
      </c>
    </row>
    <row r="513" spans="31:51" x14ac:dyDescent="0.25">
      <c r="AE513" s="75">
        <v>1.2170000000000001</v>
      </c>
      <c r="AF513" s="82">
        <v>1</v>
      </c>
      <c r="AG513" s="82">
        <v>2</v>
      </c>
      <c r="AH513" s="82">
        <v>2</v>
      </c>
      <c r="AI513" s="82">
        <v>2.0000000000254659</v>
      </c>
      <c r="AJ513" s="166">
        <v>1.2172200000000002</v>
      </c>
      <c r="AK513" s="82">
        <v>1.2171200000000002</v>
      </c>
      <c r="AL513" s="162">
        <v>0</v>
      </c>
      <c r="AM513" s="162">
        <v>0</v>
      </c>
      <c r="AN513" s="162">
        <v>0</v>
      </c>
      <c r="AO513" s="162">
        <v>0</v>
      </c>
      <c r="AP513" s="162">
        <v>0</v>
      </c>
      <c r="AQ513" s="162">
        <v>0</v>
      </c>
      <c r="AR513" s="710" t="str">
        <v>32193r1.par</v>
      </c>
      <c r="AV513" s="82" t="str">
        <v>255,188,121</v>
      </c>
      <c r="AW513" s="947">
        <v>5.9999991337073153</v>
      </c>
      <c r="AX513" s="947">
        <v>5.9999991337073153</v>
      </c>
      <c r="AY513" s="947">
        <v>0</v>
      </c>
    </row>
    <row r="514" spans="31:51" x14ac:dyDescent="0.25">
      <c r="AE514" s="75">
        <v>1.147</v>
      </c>
      <c r="AF514" s="82">
        <v>1</v>
      </c>
      <c r="AG514" s="82">
        <v>1</v>
      </c>
      <c r="AH514" s="82">
        <v>2</v>
      </c>
      <c r="AI514" s="82">
        <v>2.000000000007276</v>
      </c>
      <c r="AJ514" s="166">
        <v>1.1472200000000001</v>
      </c>
      <c r="AK514" s="82">
        <v>1.1471200000000001</v>
      </c>
      <c r="AL514" s="162">
        <v>0</v>
      </c>
      <c r="AM514" s="162">
        <v>0</v>
      </c>
      <c r="AN514" s="162">
        <v>0</v>
      </c>
      <c r="AO514" s="162">
        <v>0</v>
      </c>
      <c r="AP514" s="162">
        <v>0</v>
      </c>
      <c r="AQ514" s="162">
        <v>0</v>
      </c>
      <c r="AR514" s="710" t="str">
        <v>1613.par</v>
      </c>
      <c r="AV514" s="82" t="str">
        <v>255,127,0</v>
      </c>
      <c r="AW514" s="947">
        <v>84.970117416838434</v>
      </c>
      <c r="AX514" s="947">
        <v>84.970117416838434</v>
      </c>
      <c r="AY514" s="947">
        <v>0</v>
      </c>
    </row>
    <row r="515" spans="31:51" x14ac:dyDescent="0.25">
      <c r="AE515" s="75">
        <v>1.141</v>
      </c>
      <c r="AF515" s="82">
        <v>1</v>
      </c>
      <c r="AG515" s="82">
        <v>1</v>
      </c>
      <c r="AH515" s="82">
        <v>2</v>
      </c>
      <c r="AI515" s="82">
        <v>2.000000000007276</v>
      </c>
      <c r="AJ515" s="166">
        <v>1.1412200000000001</v>
      </c>
      <c r="AK515" s="82">
        <v>1.1411200000000001</v>
      </c>
      <c r="AL515" s="162">
        <v>0</v>
      </c>
      <c r="AM515" s="162">
        <v>0</v>
      </c>
      <c r="AN515" s="162">
        <v>0</v>
      </c>
      <c r="AO515" s="162">
        <v>0</v>
      </c>
      <c r="AP515" s="162">
        <v>0</v>
      </c>
      <c r="AQ515" s="162">
        <v>0</v>
      </c>
      <c r="AR515" s="710" t="str">
        <v>1613.par</v>
      </c>
      <c r="AV515" s="82" t="str">
        <v>255,127,0</v>
      </c>
      <c r="AW515" s="947">
        <v>84.96994937215598</v>
      </c>
      <c r="AX515" s="947">
        <v>84.96994937215598</v>
      </c>
      <c r="AY515" s="947">
        <v>0</v>
      </c>
    </row>
    <row r="516" spans="31:51" x14ac:dyDescent="0.25">
      <c r="AE516" s="75">
        <v>1.135</v>
      </c>
      <c r="AF516" s="82">
        <v>1</v>
      </c>
      <c r="AG516" s="82">
        <v>1</v>
      </c>
      <c r="AH516" s="82">
        <v>2</v>
      </c>
      <c r="AI516" s="82">
        <v>2.000000000007276</v>
      </c>
      <c r="AJ516" s="166">
        <v>1.1352200000000001</v>
      </c>
      <c r="AK516" s="82">
        <v>1.1351200000000001</v>
      </c>
      <c r="AL516" s="162">
        <v>0</v>
      </c>
      <c r="AM516" s="162">
        <v>0</v>
      </c>
      <c r="AN516" s="162">
        <v>0</v>
      </c>
      <c r="AO516" s="162">
        <v>0</v>
      </c>
      <c r="AP516" s="162">
        <v>0</v>
      </c>
      <c r="AQ516" s="162">
        <v>0</v>
      </c>
      <c r="AR516" s="710" t="str">
        <v>1613.par</v>
      </c>
      <c r="AV516" s="82" t="str">
        <v>255,127,0</v>
      </c>
      <c r="AW516" s="947">
        <v>69.53293472939626</v>
      </c>
      <c r="AX516" s="947">
        <v>69.53293472939626</v>
      </c>
      <c r="AY516" s="947">
        <v>0</v>
      </c>
    </row>
    <row r="517" spans="31:51" x14ac:dyDescent="0.25">
      <c r="AE517" s="75">
        <v>1.129</v>
      </c>
      <c r="AF517" s="82">
        <v>1</v>
      </c>
      <c r="AG517" s="82">
        <v>1</v>
      </c>
      <c r="AH517" s="82">
        <v>2</v>
      </c>
      <c r="AI517" s="82">
        <v>2.000000000007276</v>
      </c>
      <c r="AJ517" s="166">
        <v>1.1292200000000001</v>
      </c>
      <c r="AK517" s="82">
        <v>1.1291200000000001</v>
      </c>
      <c r="AL517" s="162">
        <v>0</v>
      </c>
      <c r="AM517" s="162">
        <v>0</v>
      </c>
      <c r="AN517" s="162">
        <v>0</v>
      </c>
      <c r="AO517" s="162">
        <v>0</v>
      </c>
      <c r="AP517" s="162">
        <v>0</v>
      </c>
      <c r="AQ517" s="162">
        <v>0</v>
      </c>
      <c r="AR517" s="710" t="str">
        <v>1613.par</v>
      </c>
      <c r="AV517" s="82" t="str">
        <v>255,127,0</v>
      </c>
      <c r="AW517" s="947">
        <v>50.943025181030578</v>
      </c>
      <c r="AX517" s="947">
        <v>50.943025181030578</v>
      </c>
      <c r="AY517" s="947">
        <v>0</v>
      </c>
    </row>
    <row r="518" spans="31:51" x14ac:dyDescent="0.25">
      <c r="AE518" s="75">
        <v>1.123</v>
      </c>
      <c r="AF518" s="82">
        <v>1</v>
      </c>
      <c r="AG518" s="82">
        <v>1</v>
      </c>
      <c r="AH518" s="82">
        <v>2</v>
      </c>
      <c r="AI518" s="82">
        <v>2.000000000007276</v>
      </c>
      <c r="AJ518" s="166">
        <v>1.1232200000000001</v>
      </c>
      <c r="AK518" s="82">
        <v>1.1231200000000001</v>
      </c>
      <c r="AL518" s="162">
        <v>0</v>
      </c>
      <c r="AM518" s="162">
        <v>0</v>
      </c>
      <c r="AN518" s="162">
        <v>0</v>
      </c>
      <c r="AO518" s="162">
        <v>0</v>
      </c>
      <c r="AP518" s="162">
        <v>0</v>
      </c>
      <c r="AQ518" s="162">
        <v>0</v>
      </c>
      <c r="AR518" s="710" t="str">
        <v>1613.par</v>
      </c>
      <c r="AV518" s="82" t="str">
        <v>255,127,0</v>
      </c>
      <c r="AW518" s="947">
        <v>32.228901208944677</v>
      </c>
      <c r="AX518" s="947">
        <v>32.228901208944677</v>
      </c>
      <c r="AY518" s="947">
        <v>0</v>
      </c>
    </row>
    <row r="519" spans="31:51" x14ac:dyDescent="0.25">
      <c r="AE519" s="75">
        <v>1.117</v>
      </c>
      <c r="AF519" s="82">
        <v>1</v>
      </c>
      <c r="AG519" s="82">
        <v>1</v>
      </c>
      <c r="AH519" s="82">
        <v>2</v>
      </c>
      <c r="AI519" s="82">
        <v>2.000000000007276</v>
      </c>
      <c r="AJ519" s="166">
        <v>1.1172200000000001</v>
      </c>
      <c r="AK519" s="82">
        <v>1.1171200000000001</v>
      </c>
      <c r="AL519" s="162">
        <v>0</v>
      </c>
      <c r="AM519" s="162">
        <v>0</v>
      </c>
      <c r="AN519" s="162">
        <v>0</v>
      </c>
      <c r="AO519" s="162">
        <v>0</v>
      </c>
      <c r="AP519" s="162">
        <v>0</v>
      </c>
      <c r="AQ519" s="162">
        <v>0</v>
      </c>
      <c r="AR519" s="710" t="str">
        <v>1613 Ripper.par</v>
      </c>
      <c r="AV519" s="82" t="str">
        <v>255,127,0</v>
      </c>
      <c r="AW519" s="947">
        <v>13.374429842880255</v>
      </c>
      <c r="AX519" s="947">
        <v>13.374429842880255</v>
      </c>
      <c r="AY519" s="947">
        <v>0</v>
      </c>
    </row>
    <row r="520" spans="31:51" x14ac:dyDescent="0.25">
      <c r="AE520" s="75">
        <v>1.111</v>
      </c>
      <c r="AF520" s="82">
        <v>1</v>
      </c>
      <c r="AG520" s="82">
        <v>1</v>
      </c>
      <c r="AH520" s="82">
        <v>2</v>
      </c>
      <c r="AI520" s="82">
        <v>2.000000000007276</v>
      </c>
      <c r="AJ520" s="166">
        <v>1.1112200000000001</v>
      </c>
      <c r="AK520" s="82">
        <v>1.1111200000000001</v>
      </c>
      <c r="AL520" s="162">
        <v>0</v>
      </c>
      <c r="AM520" s="162">
        <v>0</v>
      </c>
      <c r="AN520" s="162">
        <v>0</v>
      </c>
      <c r="AO520" s="162">
        <v>0</v>
      </c>
      <c r="AP520" s="162">
        <v>0</v>
      </c>
      <c r="AQ520" s="162">
        <v>0</v>
      </c>
      <c r="AR520" s="710" t="str">
        <v>1613 Ripper.par</v>
      </c>
      <c r="AV520" s="82" t="str">
        <v>255,127,0</v>
      </c>
      <c r="AW520" s="947">
        <v>-5.4571267998021593</v>
      </c>
      <c r="AX520" s="947">
        <v>-5.4571267998021593</v>
      </c>
      <c r="AY520" s="947">
        <v>0</v>
      </c>
    </row>
    <row r="521" spans="31:51" x14ac:dyDescent="0.25">
      <c r="AE521" s="75">
        <v>1.107</v>
      </c>
      <c r="AF521" s="82">
        <v>1</v>
      </c>
      <c r="AG521" s="82">
        <v>1</v>
      </c>
      <c r="AH521" s="82">
        <v>2</v>
      </c>
      <c r="AI521" s="82">
        <v>2.000000000007276</v>
      </c>
      <c r="AJ521" s="166">
        <v>1.1072200000000001</v>
      </c>
      <c r="AK521" s="82">
        <v>1.1071200000000001</v>
      </c>
      <c r="AL521" s="162">
        <v>0</v>
      </c>
      <c r="AM521" s="162">
        <v>0</v>
      </c>
      <c r="AN521" s="162">
        <v>0</v>
      </c>
      <c r="AO521" s="162">
        <v>0</v>
      </c>
      <c r="AP521" s="162">
        <v>0</v>
      </c>
      <c r="AQ521" s="162">
        <v>0</v>
      </c>
      <c r="AR521" s="710" t="str">
        <v>1613 Ripper.par</v>
      </c>
      <c r="AV521" s="82" t="str">
        <v>255,127,0</v>
      </c>
      <c r="AW521" s="947">
        <v>-12.188363844259069</v>
      </c>
      <c r="AX521" s="947">
        <v>-12.188363844259069</v>
      </c>
      <c r="AY521" s="947">
        <v>0</v>
      </c>
    </row>
    <row r="522" spans="31:51" x14ac:dyDescent="0.25">
      <c r="AE522" s="75">
        <v>1.1040000000000001</v>
      </c>
      <c r="AF522" s="82">
        <v>1</v>
      </c>
      <c r="AG522" s="82">
        <v>1</v>
      </c>
      <c r="AH522" s="82">
        <v>2</v>
      </c>
      <c r="AI522" s="82">
        <v>2.0000000000254659</v>
      </c>
      <c r="AJ522" s="166">
        <v>1.1042200000000002</v>
      </c>
      <c r="AK522" s="82">
        <v>1.1041200000000002</v>
      </c>
      <c r="AL522" s="162">
        <v>0</v>
      </c>
      <c r="AM522" s="162">
        <v>0</v>
      </c>
      <c r="AN522" s="162">
        <v>0</v>
      </c>
      <c r="AO522" s="162">
        <v>0</v>
      </c>
      <c r="AP522" s="162">
        <v>0</v>
      </c>
      <c r="AQ522" s="162">
        <v>0</v>
      </c>
      <c r="AR522" s="710" t="str">
        <v>1613 Ripper.par</v>
      </c>
      <c r="AV522" s="82" t="str">
        <v>255,127,0</v>
      </c>
      <c r="AW522" s="947">
        <v>-13.592723484172373</v>
      </c>
      <c r="AX522" s="947">
        <v>-13.592723484172373</v>
      </c>
      <c r="AY522" s="947">
        <v>0</v>
      </c>
    </row>
    <row r="523" spans="31:51" x14ac:dyDescent="0.25">
      <c r="AE523" s="75">
        <v>1.101</v>
      </c>
      <c r="AF523" s="82">
        <v>1</v>
      </c>
      <c r="AG523" s="82">
        <v>1</v>
      </c>
      <c r="AH523" s="82">
        <v>2</v>
      </c>
      <c r="AI523" s="82">
        <v>2.000000000007276</v>
      </c>
      <c r="AJ523" s="166">
        <v>1.1012200000000001</v>
      </c>
      <c r="AK523" s="82">
        <v>1.1011200000000001</v>
      </c>
      <c r="AL523" s="162">
        <v>0</v>
      </c>
      <c r="AM523" s="162">
        <v>0</v>
      </c>
      <c r="AN523" s="162">
        <v>0</v>
      </c>
      <c r="AO523" s="162">
        <v>0</v>
      </c>
      <c r="AP523" s="162">
        <v>0</v>
      </c>
      <c r="AQ523" s="162">
        <v>0</v>
      </c>
      <c r="AR523" s="710" t="str">
        <v>1613.par</v>
      </c>
      <c r="AV523" s="82" t="str">
        <v>255,127,0</v>
      </c>
      <c r="AW523" s="947">
        <v>-18.141294048916745</v>
      </c>
      <c r="AX523" s="947">
        <v>-18.141294048916745</v>
      </c>
      <c r="AY523" s="947">
        <v>0</v>
      </c>
    </row>
    <row r="524" spans="31:51" x14ac:dyDescent="0.25">
      <c r="AE524" s="75">
        <v>6.2539999999999996</v>
      </c>
      <c r="AF524" s="82">
        <v>6</v>
      </c>
      <c r="AG524" s="82">
        <v>2</v>
      </c>
      <c r="AH524" s="82">
        <v>1</v>
      </c>
      <c r="AI524" s="82">
        <v>3.0000000000291038</v>
      </c>
      <c r="AJ524" s="166">
        <v>6.25413</v>
      </c>
      <c r="AK524" s="82" t="str">
        <v>Base</v>
      </c>
      <c r="AL524" s="162">
        <v>-8.25</v>
      </c>
      <c r="AM524" s="162">
        <v>-5.1223779559634774</v>
      </c>
      <c r="AN524" s="162">
        <v>-9.8963284688891324</v>
      </c>
      <c r="AO524" s="162">
        <v>100.03561890671624</v>
      </c>
      <c r="AP524" s="162">
        <v>-39.831236627249652</v>
      </c>
      <c r="AQ524" s="162">
        <v>0</v>
      </c>
      <c r="AR524" s="710" t="str">
        <v>1313.par</v>
      </c>
      <c r="AV524" s="82" t="str">
        <v>188,121,255</v>
      </c>
      <c r="AW524" s="947">
        <v>100.03561890671624</v>
      </c>
      <c r="AX524" s="947">
        <v>100.03561890671624</v>
      </c>
      <c r="AY524" s="947">
        <v>0</v>
      </c>
    </row>
    <row r="525" spans="31:51" x14ac:dyDescent="0.25">
      <c r="AE525" s="75">
        <v>6.2480000000000002</v>
      </c>
      <c r="AF525" s="82">
        <v>6</v>
      </c>
      <c r="AG525" s="82">
        <v>2</v>
      </c>
      <c r="AH525" s="82">
        <v>1</v>
      </c>
      <c r="AI525" s="82">
        <v>3.0000000000291038</v>
      </c>
      <c r="AJ525" s="166">
        <v>6.2481300000000006</v>
      </c>
      <c r="AK525" s="82" t="str">
        <v>Base</v>
      </c>
      <c r="AL525" s="162">
        <v>-8.25</v>
      </c>
      <c r="AM525" s="162">
        <v>-5.02087479466259</v>
      </c>
      <c r="AN525" s="162">
        <v>-3.8474651622547658</v>
      </c>
      <c r="AO525" s="162">
        <v>89.999987005609597</v>
      </c>
      <c r="AP525" s="162">
        <v>0</v>
      </c>
      <c r="AQ525" s="162">
        <v>0</v>
      </c>
      <c r="AR525" s="710" t="str">
        <v>32193r1.par</v>
      </c>
      <c r="AV525" s="82" t="str">
        <v>188,121,255</v>
      </c>
      <c r="AW525" s="947">
        <v>89.999987005609597</v>
      </c>
      <c r="AX525" s="947">
        <v>89.999987005609597</v>
      </c>
      <c r="AY525" s="947">
        <v>0</v>
      </c>
    </row>
    <row r="526" spans="31:51" x14ac:dyDescent="0.25">
      <c r="AE526" s="75">
        <v>6.242</v>
      </c>
      <c r="AF526" s="82">
        <v>6</v>
      </c>
      <c r="AG526" s="82">
        <v>2</v>
      </c>
      <c r="AH526" s="82">
        <v>1</v>
      </c>
      <c r="AI526" s="82">
        <v>3.0000000000291038</v>
      </c>
      <c r="AJ526" s="166">
        <v>6.2421300000000004</v>
      </c>
      <c r="AK526" s="82" t="str">
        <v>Base</v>
      </c>
      <c r="AL526" s="162">
        <v>-8.25</v>
      </c>
      <c r="AM526" s="162">
        <v>-4.9927899012947687</v>
      </c>
      <c r="AN526" s="162">
        <v>-3.0960829185004641</v>
      </c>
      <c r="AO526" s="162">
        <v>89.999987005609626</v>
      </c>
      <c r="AP526" s="162">
        <v>0</v>
      </c>
      <c r="AQ526" s="162">
        <v>0</v>
      </c>
      <c r="AR526" s="710" t="str">
        <v>32193r1.par</v>
      </c>
      <c r="AV526" s="82" t="str">
        <v>188,121,255</v>
      </c>
      <c r="AW526" s="947">
        <v>89.999987005609626</v>
      </c>
      <c r="AX526" s="947">
        <v>89.999987005609626</v>
      </c>
      <c r="AY526" s="947">
        <v>0</v>
      </c>
    </row>
    <row r="527" spans="31:51" x14ac:dyDescent="0.25">
      <c r="AE527" s="75">
        <v>6.2359999999999998</v>
      </c>
      <c r="AF527" s="82">
        <v>6</v>
      </c>
      <c r="AG527" s="82">
        <v>2</v>
      </c>
      <c r="AH527" s="82">
        <v>1</v>
      </c>
      <c r="AI527" s="82">
        <v>3.0000000000291038</v>
      </c>
      <c r="AJ527" s="166">
        <v>6.2361300000000002</v>
      </c>
      <c r="AK527" s="82" t="str">
        <v>Base</v>
      </c>
      <c r="AL527" s="162">
        <v>-8.25</v>
      </c>
      <c r="AM527" s="162">
        <v>-4.9489444380016616</v>
      </c>
      <c r="AN527" s="162">
        <v>-2.3409083573597034</v>
      </c>
      <c r="AO527" s="162">
        <v>75.999989026959227</v>
      </c>
      <c r="AP527" s="162">
        <v>0</v>
      </c>
      <c r="AQ527" s="162">
        <v>0</v>
      </c>
      <c r="AR527" s="710" t="str">
        <v>32193r1.par</v>
      </c>
      <c r="AV527" s="82" t="str">
        <v>188,121,255</v>
      </c>
      <c r="AW527" s="947">
        <v>75.999989026959227</v>
      </c>
      <c r="AX527" s="947">
        <v>75.999989026959227</v>
      </c>
      <c r="AY527" s="947">
        <v>0</v>
      </c>
    </row>
    <row r="528" spans="31:51" x14ac:dyDescent="0.25">
      <c r="AE528" s="75">
        <v>6.23</v>
      </c>
      <c r="AF528" s="82">
        <v>6</v>
      </c>
      <c r="AG528" s="82">
        <v>2</v>
      </c>
      <c r="AH528" s="82">
        <v>1</v>
      </c>
      <c r="AI528" s="82">
        <v>3.0000000001018634</v>
      </c>
      <c r="AJ528" s="166">
        <v>6.2301300000000008</v>
      </c>
      <c r="AK528" s="82" t="str">
        <v>Base</v>
      </c>
      <c r="AL528" s="162">
        <v>-8.25</v>
      </c>
      <c r="AM528" s="162">
        <v>-4.6587367544457434</v>
      </c>
      <c r="AN528" s="162">
        <v>-1.6401676119806863</v>
      </c>
      <c r="AO528" s="162">
        <v>54.999992058983658</v>
      </c>
      <c r="AP528" s="162">
        <v>0</v>
      </c>
      <c r="AQ528" s="162">
        <v>0</v>
      </c>
      <c r="AR528" s="710" t="str">
        <v>32193r1.par</v>
      </c>
      <c r="AV528" s="82" t="str">
        <v>188,121,255</v>
      </c>
      <c r="AW528" s="947">
        <v>54.999992058983658</v>
      </c>
      <c r="AX528" s="947">
        <v>54.999992058983658</v>
      </c>
      <c r="AY528" s="947">
        <v>0</v>
      </c>
    </row>
    <row r="529" spans="31:51" x14ac:dyDescent="0.25">
      <c r="AE529" s="75">
        <v>6.2240000000000002</v>
      </c>
      <c r="AF529" s="82">
        <v>6</v>
      </c>
      <c r="AG529" s="82">
        <v>2</v>
      </c>
      <c r="AH529" s="82">
        <v>1</v>
      </c>
      <c r="AI529" s="82">
        <v>3.0000000000291038</v>
      </c>
      <c r="AJ529" s="166">
        <v>6.2241300000000006</v>
      </c>
      <c r="AK529" s="82" t="str">
        <v>Base</v>
      </c>
      <c r="AL529" s="162">
        <v>-8.25</v>
      </c>
      <c r="AM529" s="162">
        <v>-4.1347966802298517</v>
      </c>
      <c r="AN529" s="162">
        <v>-1.0884728259883023</v>
      </c>
      <c r="AO529" s="162">
        <v>33.999995091008067</v>
      </c>
      <c r="AP529" s="162">
        <v>0</v>
      </c>
      <c r="AQ529" s="162">
        <v>0</v>
      </c>
      <c r="AR529" s="710" t="str">
        <v>32193r1.par</v>
      </c>
      <c r="AV529" s="82" t="str">
        <v>188,121,255</v>
      </c>
      <c r="AW529" s="947">
        <v>33.999995091008067</v>
      </c>
      <c r="AX529" s="947">
        <v>33.999995091008067</v>
      </c>
      <c r="AY529" s="947">
        <v>0</v>
      </c>
    </row>
    <row r="530" spans="31:51" x14ac:dyDescent="0.25">
      <c r="AE530" s="75">
        <v>6.218</v>
      </c>
      <c r="AF530" s="82">
        <v>6</v>
      </c>
      <c r="AG530" s="82">
        <v>2</v>
      </c>
      <c r="AH530" s="82">
        <v>1</v>
      </c>
      <c r="AI530" s="82">
        <v>3.0000000000291038</v>
      </c>
      <c r="AJ530" s="166">
        <v>6.2181300000000004</v>
      </c>
      <c r="AK530" s="82" t="str">
        <v>Base</v>
      </c>
      <c r="AL530" s="162">
        <v>-8.25</v>
      </c>
      <c r="AM530" s="162">
        <v>-3.4452199378410095</v>
      </c>
      <c r="AN530" s="162">
        <v>-0.76079489035016123</v>
      </c>
      <c r="AO530" s="162">
        <v>12.999998123032499</v>
      </c>
      <c r="AP530" s="162">
        <v>0</v>
      </c>
      <c r="AQ530" s="162">
        <v>0</v>
      </c>
      <c r="AR530" s="710" t="str">
        <v>32193r1.par</v>
      </c>
      <c r="AV530" s="82" t="str">
        <v>188,121,255</v>
      </c>
      <c r="AW530" s="947">
        <v>12.999998123032499</v>
      </c>
      <c r="AX530" s="947">
        <v>12.999998123032499</v>
      </c>
      <c r="AY530" s="947">
        <v>0</v>
      </c>
    </row>
    <row r="531" spans="31:51" x14ac:dyDescent="0.25">
      <c r="AE531" s="75">
        <v>6.1479999999999997</v>
      </c>
      <c r="AF531" s="82">
        <v>6</v>
      </c>
      <c r="AG531" s="82">
        <v>1</v>
      </c>
      <c r="AH531" s="82">
        <v>1</v>
      </c>
      <c r="AI531" s="82">
        <v>3.0000000000291038</v>
      </c>
      <c r="AJ531" s="166">
        <v>6.1481300000000001</v>
      </c>
      <c r="AK531" s="82" t="str">
        <v>Base</v>
      </c>
      <c r="AL531" s="162">
        <v>-7.5</v>
      </c>
      <c r="AM531" s="162">
        <v>-5.0550887932628417</v>
      </c>
      <c r="AN531" s="162">
        <v>-3.8407576246048691</v>
      </c>
      <c r="AO531" s="162">
        <v>84.970117416838406</v>
      </c>
      <c r="AP531" s="162">
        <v>-29.785208788526884</v>
      </c>
      <c r="AQ531" s="162">
        <v>0</v>
      </c>
      <c r="AR531" s="710" t="str">
        <v>1613.par</v>
      </c>
      <c r="AV531" s="82" t="str">
        <v>127,0,255</v>
      </c>
      <c r="AW531" s="947">
        <v>84.970117416838406</v>
      </c>
      <c r="AX531" s="947">
        <v>84.970117416838406</v>
      </c>
      <c r="AY531" s="947">
        <v>0</v>
      </c>
    </row>
    <row r="532" spans="31:51" x14ac:dyDescent="0.25">
      <c r="AE532" s="75">
        <v>6.1420000000000003</v>
      </c>
      <c r="AF532" s="82">
        <v>6</v>
      </c>
      <c r="AG532" s="82">
        <v>1</v>
      </c>
      <c r="AH532" s="82">
        <v>1</v>
      </c>
      <c r="AI532" s="82">
        <v>3.0000000001018634</v>
      </c>
      <c r="AJ532" s="166">
        <v>6.1421300000000008</v>
      </c>
      <c r="AK532" s="82" t="str">
        <v>Base</v>
      </c>
      <c r="AL532" s="162">
        <v>-7.5</v>
      </c>
      <c r="AM532" s="162">
        <v>-5.0270040657372705</v>
      </c>
      <c r="AN532" s="162">
        <v>-3.0893543457261115</v>
      </c>
      <c r="AO532" s="162">
        <v>84.96994937215598</v>
      </c>
      <c r="AP532" s="162">
        <v>-29.78411602484832</v>
      </c>
      <c r="AQ532" s="162">
        <v>0</v>
      </c>
      <c r="AR532" s="710" t="str">
        <v>1613.par</v>
      </c>
      <c r="AV532" s="82" t="str">
        <v>127,0,255</v>
      </c>
      <c r="AW532" s="947">
        <v>84.96994937215598</v>
      </c>
      <c r="AX532" s="947">
        <v>84.96994937215598</v>
      </c>
      <c r="AY532" s="947">
        <v>0</v>
      </c>
    </row>
    <row r="533" spans="31:51" x14ac:dyDescent="0.25">
      <c r="AE533" s="75">
        <v>6.1360000000000001</v>
      </c>
      <c r="AF533" s="82">
        <v>6</v>
      </c>
      <c r="AG533" s="82">
        <v>1</v>
      </c>
      <c r="AH533" s="82">
        <v>1</v>
      </c>
      <c r="AI533" s="82">
        <v>3.0000000000291038</v>
      </c>
      <c r="AJ533" s="166">
        <v>6.1361300000000005</v>
      </c>
      <c r="AK533" s="82" t="str">
        <v>Base</v>
      </c>
      <c r="AL533" s="162">
        <v>-7.5</v>
      </c>
      <c r="AM533" s="162">
        <v>-4.9750965181077582</v>
      </c>
      <c r="AN533" s="162">
        <v>-2.329008416476384</v>
      </c>
      <c r="AO533" s="162">
        <v>72.623499997444313</v>
      </c>
      <c r="AP533" s="162">
        <v>-27.122431911212644</v>
      </c>
      <c r="AQ533" s="162">
        <v>0</v>
      </c>
      <c r="AR533" s="710" t="str">
        <v>1613.par</v>
      </c>
      <c r="AV533" s="82" t="str">
        <v>127,0,255</v>
      </c>
      <c r="AW533" s="947">
        <v>72.623499997444313</v>
      </c>
      <c r="AX533" s="947">
        <v>72.623499997444313</v>
      </c>
      <c r="AY533" s="947">
        <v>0</v>
      </c>
    </row>
    <row r="534" spans="31:51" x14ac:dyDescent="0.25">
      <c r="AE534" s="75">
        <v>6.13</v>
      </c>
      <c r="AF534" s="82">
        <v>6</v>
      </c>
      <c r="AG534" s="82">
        <v>1</v>
      </c>
      <c r="AH534" s="82">
        <v>1</v>
      </c>
      <c r="AI534" s="82">
        <v>3.0000000000291038</v>
      </c>
      <c r="AJ534" s="166">
        <v>6.1301300000000003</v>
      </c>
      <c r="AK534" s="82" t="str">
        <v>Base</v>
      </c>
      <c r="AL534" s="162">
        <v>-7.5</v>
      </c>
      <c r="AM534" s="162">
        <v>-4.6734295163530577</v>
      </c>
      <c r="AN534" s="162">
        <v>-1.6256115993118549</v>
      </c>
      <c r="AO534" s="162">
        <v>54.048010045486649</v>
      </c>
      <c r="AP534" s="162">
        <v>-23.140655756290503</v>
      </c>
      <c r="AQ534" s="162">
        <v>0</v>
      </c>
      <c r="AR534" s="710" t="str">
        <v>1613.par</v>
      </c>
      <c r="AV534" s="82" t="str">
        <v>127,0,255</v>
      </c>
      <c r="AW534" s="947">
        <v>54.048010045486649</v>
      </c>
      <c r="AX534" s="947">
        <v>54.048010045486649</v>
      </c>
      <c r="AY534" s="947">
        <v>0</v>
      </c>
    </row>
    <row r="535" spans="31:51" x14ac:dyDescent="0.25">
      <c r="AE535" s="75">
        <v>6.1239999999999997</v>
      </c>
      <c r="AF535" s="82">
        <v>6</v>
      </c>
      <c r="AG535" s="82">
        <v>1</v>
      </c>
      <c r="AH535" s="82">
        <v>1</v>
      </c>
      <c r="AI535" s="82">
        <v>3.0000000000291038</v>
      </c>
      <c r="AJ535" s="166">
        <v>6.1241300000000001</v>
      </c>
      <c r="AK535" s="82" t="str">
        <v>Base</v>
      </c>
      <c r="AL535" s="162">
        <v>-7.5</v>
      </c>
      <c r="AM535" s="162">
        <v>-4.1407800265276293</v>
      </c>
      <c r="AN535" s="162">
        <v>-1.0756986725101378</v>
      </c>
      <c r="AO535" s="162">
        <v>35.360276952469491</v>
      </c>
      <c r="AP535" s="162">
        <v>-19.176506828006705</v>
      </c>
      <c r="AQ535" s="162">
        <v>0</v>
      </c>
      <c r="AR535" s="710" t="str">
        <v>1613.par</v>
      </c>
      <c r="AV535" s="82" t="str">
        <v>127,0,255</v>
      </c>
      <c r="AW535" s="947">
        <v>35.360276952469491</v>
      </c>
      <c r="AX535" s="947">
        <v>35.360276952469491</v>
      </c>
      <c r="AY535" s="947">
        <v>0</v>
      </c>
    </row>
    <row r="536" spans="31:51" x14ac:dyDescent="0.25">
      <c r="AE536" s="75">
        <v>6.1180000000000003</v>
      </c>
      <c r="AF536" s="82">
        <v>6</v>
      </c>
      <c r="AG536" s="82">
        <v>1</v>
      </c>
      <c r="AH536" s="82">
        <v>1</v>
      </c>
      <c r="AI536" s="82">
        <v>3.0000000001018634</v>
      </c>
      <c r="AJ536" s="166">
        <v>6.1181300000000007</v>
      </c>
      <c r="AK536" s="82" t="str">
        <v>Base</v>
      </c>
      <c r="AL536" s="162">
        <v>-7.5</v>
      </c>
      <c r="AM536" s="162">
        <v>-3.4466194971855479</v>
      </c>
      <c r="AN536" s="162">
        <v>-0.75120865354514887</v>
      </c>
      <c r="AO536" s="162">
        <v>16.504059297615232</v>
      </c>
      <c r="AP536" s="162">
        <v>-15.806279282856705</v>
      </c>
      <c r="AQ536" s="162">
        <v>0</v>
      </c>
      <c r="AR536" s="710" t="str">
        <v>1613 Ripper.par</v>
      </c>
      <c r="AV536" s="82" t="str">
        <v>127,0,255</v>
      </c>
      <c r="AW536" s="947">
        <v>16.504059297615232</v>
      </c>
      <c r="AX536" s="947">
        <v>16.504059297615232</v>
      </c>
      <c r="AY536" s="947">
        <v>0</v>
      </c>
    </row>
    <row r="537" spans="31:51" x14ac:dyDescent="0.25">
      <c r="AE537" s="75">
        <v>6.1120000000000001</v>
      </c>
      <c r="AF537" s="82">
        <v>6</v>
      </c>
      <c r="AG537" s="82">
        <v>1</v>
      </c>
      <c r="AH537" s="82">
        <v>1</v>
      </c>
      <c r="AI537" s="82">
        <v>3.0000000000291038</v>
      </c>
      <c r="AJ537" s="166">
        <v>6.1121300000000005</v>
      </c>
      <c r="AK537" s="82" t="str">
        <v>Base</v>
      </c>
      <c r="AL537" s="162">
        <v>-7.5</v>
      </c>
      <c r="AM537" s="162">
        <v>-2.6817598405224108</v>
      </c>
      <c r="AN537" s="162">
        <v>-0.69529753878319744</v>
      </c>
      <c r="AO537" s="162">
        <v>-2.3119637600075813</v>
      </c>
      <c r="AP537" s="162">
        <v>-15.311212110967897</v>
      </c>
      <c r="AQ537" s="162">
        <v>0</v>
      </c>
      <c r="AR537" s="710" t="str">
        <v>1613 Ripper.par</v>
      </c>
      <c r="AV537" s="82" t="str">
        <v>127,0,255</v>
      </c>
      <c r="AW537" s="947">
        <v>-2.3119637600075813</v>
      </c>
      <c r="AX537" s="947">
        <v>-2.3119637600075813</v>
      </c>
      <c r="AY537" s="947">
        <v>0</v>
      </c>
    </row>
    <row r="538" spans="31:51" x14ac:dyDescent="0.25">
      <c r="AE538" s="75">
        <v>5.2549999999999999</v>
      </c>
      <c r="AF538" s="82">
        <v>5</v>
      </c>
      <c r="AG538" s="82">
        <v>2</v>
      </c>
      <c r="AH538" s="82">
        <v>1</v>
      </c>
      <c r="AI538" s="82">
        <v>3.0000000000291038</v>
      </c>
      <c r="AJ538" s="166">
        <v>5.2551300000000003</v>
      </c>
      <c r="AK538" s="82" t="str">
        <v>Base</v>
      </c>
      <c r="AL538" s="162">
        <v>-6.75</v>
      </c>
      <c r="AM538" s="162">
        <v>-5.1223779559634766</v>
      </c>
      <c r="AN538" s="162">
        <v>-10.312995147587639</v>
      </c>
      <c r="AO538" s="162">
        <v>100.03561890671617</v>
      </c>
      <c r="AP538" s="162">
        <v>-39.831236627249673</v>
      </c>
      <c r="AQ538" s="162">
        <v>0</v>
      </c>
      <c r="AR538" s="710" t="str">
        <v>1313.par</v>
      </c>
      <c r="AV538" s="82" t="str">
        <v>121,188,255</v>
      </c>
      <c r="AW538" s="947">
        <v>100.03561890671617</v>
      </c>
      <c r="AX538" s="947">
        <v>100.03561890671617</v>
      </c>
      <c r="AY538" s="947">
        <v>0</v>
      </c>
    </row>
    <row r="539" spans="31:51" x14ac:dyDescent="0.25">
      <c r="AE539" s="75">
        <v>5.2489999999999997</v>
      </c>
      <c r="AF539" s="82">
        <v>5</v>
      </c>
      <c r="AG539" s="82">
        <v>2</v>
      </c>
      <c r="AH539" s="82">
        <v>1</v>
      </c>
      <c r="AI539" s="82">
        <v>3.0000000000291038</v>
      </c>
      <c r="AJ539" s="166">
        <v>5.2491300000000001</v>
      </c>
      <c r="AK539" s="82" t="str">
        <v>Base</v>
      </c>
      <c r="AL539" s="162">
        <v>-6.75</v>
      </c>
      <c r="AM539" s="162">
        <v>-5.0208747946625891</v>
      </c>
      <c r="AN539" s="162">
        <v>-4.0254657462943548</v>
      </c>
      <c r="AO539" s="162">
        <v>89.999987005609597</v>
      </c>
      <c r="AP539" s="162">
        <v>0</v>
      </c>
      <c r="AQ539" s="162">
        <v>0</v>
      </c>
      <c r="AR539" s="710" t="str">
        <v>32193r1.par</v>
      </c>
      <c r="AV539" s="82" t="str">
        <v>121,188,255</v>
      </c>
      <c r="AW539" s="947">
        <v>89.999987005609597</v>
      </c>
      <c r="AX539" s="947">
        <v>89.999987005609597</v>
      </c>
      <c r="AY539" s="947">
        <v>0</v>
      </c>
    </row>
    <row r="540" spans="31:51" x14ac:dyDescent="0.25">
      <c r="AE540" s="75">
        <v>5.2430000000000003</v>
      </c>
      <c r="AF540" s="82">
        <v>5</v>
      </c>
      <c r="AG540" s="82">
        <v>2</v>
      </c>
      <c r="AH540" s="82">
        <v>1</v>
      </c>
      <c r="AI540" s="82">
        <v>3.0000000001018634</v>
      </c>
      <c r="AJ540" s="166">
        <v>5.2431300000000007</v>
      </c>
      <c r="AK540" s="82" t="str">
        <v>Base</v>
      </c>
      <c r="AL540" s="162">
        <v>-6.75</v>
      </c>
      <c r="AM540" s="162">
        <v>-4.9927899012947661</v>
      </c>
      <c r="AN540" s="162">
        <v>-3.2740835025764312</v>
      </c>
      <c r="AO540" s="162">
        <v>89.999987005609597</v>
      </c>
      <c r="AP540" s="162">
        <v>0</v>
      </c>
      <c r="AQ540" s="162">
        <v>0</v>
      </c>
      <c r="AR540" s="710" t="str">
        <v>32193r1.par</v>
      </c>
      <c r="AV540" s="82" t="str">
        <v>121,188,255</v>
      </c>
      <c r="AW540" s="947">
        <v>89.999987005609597</v>
      </c>
      <c r="AX540" s="947">
        <v>89.999987005609597</v>
      </c>
      <c r="AY540" s="947">
        <v>0</v>
      </c>
    </row>
    <row r="541" spans="31:51" x14ac:dyDescent="0.25">
      <c r="AE541" s="75">
        <v>5.2370000000000001</v>
      </c>
      <c r="AF541" s="82">
        <v>5</v>
      </c>
      <c r="AG541" s="82">
        <v>2</v>
      </c>
      <c r="AH541" s="82">
        <v>1</v>
      </c>
      <c r="AI541" s="82">
        <v>3.0000000000291038</v>
      </c>
      <c r="AJ541" s="166">
        <v>5.2371300000000005</v>
      </c>
      <c r="AK541" s="82" t="str">
        <v>Base</v>
      </c>
      <c r="AL541" s="162">
        <v>-6.75</v>
      </c>
      <c r="AM541" s="162">
        <v>-5.023018431596987</v>
      </c>
      <c r="AN541" s="162">
        <v>-2.5042012587382319</v>
      </c>
      <c r="AO541" s="162">
        <v>75.733702256223253</v>
      </c>
      <c r="AP541" s="162">
        <v>-32.798058394827343</v>
      </c>
      <c r="AQ541" s="162">
        <v>0</v>
      </c>
      <c r="AR541" s="710" t="str">
        <v>1313.par</v>
      </c>
      <c r="AV541" s="82" t="str">
        <v>121,188,255</v>
      </c>
      <c r="AW541" s="947">
        <v>75.733702256223253</v>
      </c>
      <c r="AX541" s="947">
        <v>75.733702256223253</v>
      </c>
      <c r="AY541" s="947">
        <v>0</v>
      </c>
    </row>
    <row r="542" spans="31:51" x14ac:dyDescent="0.25">
      <c r="AE542" s="75">
        <v>5.2309999999999999</v>
      </c>
      <c r="AF542" s="82">
        <v>5</v>
      </c>
      <c r="AG542" s="82">
        <v>2</v>
      </c>
      <c r="AH542" s="82">
        <v>1</v>
      </c>
      <c r="AI542" s="82">
        <v>3.0000000000291038</v>
      </c>
      <c r="AJ542" s="166">
        <v>5.2311300000000003</v>
      </c>
      <c r="AK542" s="82" t="str">
        <v>Base</v>
      </c>
      <c r="AL542" s="162">
        <v>-6.75</v>
      </c>
      <c r="AM542" s="162">
        <v>-4.7615552860265158</v>
      </c>
      <c r="AN542" s="162">
        <v>-1.7768590585878112</v>
      </c>
      <c r="AO542" s="162">
        <v>57.213428741154814</v>
      </c>
      <c r="AP542" s="162">
        <v>-28.811854872966187</v>
      </c>
      <c r="AQ542" s="162">
        <v>0</v>
      </c>
      <c r="AR542" s="710" t="str">
        <v>1313.par</v>
      </c>
      <c r="AV542" s="82" t="str">
        <v>121,188,255</v>
      </c>
      <c r="AW542" s="947">
        <v>57.213428741154814</v>
      </c>
      <c r="AX542" s="947">
        <v>57.213428741154814</v>
      </c>
      <c r="AY542" s="947">
        <v>0</v>
      </c>
    </row>
    <row r="543" spans="31:51" x14ac:dyDescent="0.25">
      <c r="AE543" s="75">
        <v>5.2249999999999996</v>
      </c>
      <c r="AF543" s="82">
        <v>5</v>
      </c>
      <c r="AG543" s="82">
        <v>2</v>
      </c>
      <c r="AH543" s="82">
        <v>1</v>
      </c>
      <c r="AI543" s="82">
        <v>3.0000000000291038</v>
      </c>
      <c r="AJ543" s="166">
        <v>5.2251300000000001</v>
      </c>
      <c r="AK543" s="82" t="str">
        <v>Base</v>
      </c>
      <c r="AL543" s="162">
        <v>-6.75</v>
      </c>
      <c r="AM543" s="162">
        <v>-4.258030881484971</v>
      </c>
      <c r="AN543" s="162">
        <v>-1.190348365246223</v>
      </c>
      <c r="AO543" s="162">
        <v>38.623227592362632</v>
      </c>
      <c r="AP543" s="162">
        <v>-24.841583228699903</v>
      </c>
      <c r="AQ543" s="162">
        <v>0</v>
      </c>
      <c r="AR543" s="710" t="str">
        <v>1313.par</v>
      </c>
      <c r="AV543" s="82" t="str">
        <v>121,188,255</v>
      </c>
      <c r="AW543" s="947">
        <v>38.623227592362632</v>
      </c>
      <c r="AX543" s="947">
        <v>38.623227592362632</v>
      </c>
      <c r="AY543" s="947">
        <v>0</v>
      </c>
    </row>
    <row r="544" spans="31:51" x14ac:dyDescent="0.25">
      <c r="AE544" s="75">
        <v>5.2190000000000003</v>
      </c>
      <c r="AF544" s="82">
        <v>5</v>
      </c>
      <c r="AG544" s="82">
        <v>2</v>
      </c>
      <c r="AH544" s="82">
        <v>1</v>
      </c>
      <c r="AI544" s="82">
        <v>3.0000000001018634</v>
      </c>
      <c r="AJ544" s="166">
        <v>5.2191300000000007</v>
      </c>
      <c r="AK544" s="82" t="str">
        <v>Base</v>
      </c>
      <c r="AL544" s="162">
        <v>-6.75</v>
      </c>
      <c r="AM544" s="162">
        <v>-3.5682539723265454</v>
      </c>
      <c r="AN544" s="162">
        <v>-0.84932214160102359</v>
      </c>
      <c r="AO544" s="162">
        <v>12.999998123032507</v>
      </c>
      <c r="AP544" s="162">
        <v>0</v>
      </c>
      <c r="AQ544" s="162">
        <v>0</v>
      </c>
      <c r="AR544" s="710" t="str">
        <v>32193r1.par</v>
      </c>
      <c r="AV544" s="82" t="str">
        <v>121,188,255</v>
      </c>
      <c r="AW544" s="947">
        <v>12.999998123032507</v>
      </c>
      <c r="AX544" s="947">
        <v>12.999998123032507</v>
      </c>
      <c r="AY544" s="947">
        <v>0</v>
      </c>
    </row>
    <row r="545" spans="31:51" x14ac:dyDescent="0.25">
      <c r="AE545" s="75">
        <v>5.149</v>
      </c>
      <c r="AF545" s="82">
        <v>5</v>
      </c>
      <c r="AG545" s="82">
        <v>1</v>
      </c>
      <c r="AH545" s="82">
        <v>1</v>
      </c>
      <c r="AI545" s="82">
        <v>3.0000000000291038</v>
      </c>
      <c r="AJ545" s="166">
        <v>5.1491300000000004</v>
      </c>
      <c r="AK545" s="82" t="str">
        <v>Base</v>
      </c>
      <c r="AL545" s="162">
        <v>-6</v>
      </c>
      <c r="AM545" s="162">
        <v>-5.0550887932628417</v>
      </c>
      <c r="AN545" s="162">
        <v>-4.0187582086444564</v>
      </c>
      <c r="AO545" s="162">
        <v>84.97011741683842</v>
      </c>
      <c r="AP545" s="162">
        <v>-29.785208788526919</v>
      </c>
      <c r="AQ545" s="162">
        <v>0</v>
      </c>
      <c r="AR545" s="710" t="str">
        <v>1613.par</v>
      </c>
      <c r="AV545" s="82" t="str">
        <v>0,102,204</v>
      </c>
      <c r="AW545" s="947">
        <v>84.97011741683842</v>
      </c>
      <c r="AX545" s="947">
        <v>84.97011741683842</v>
      </c>
      <c r="AY545" s="947">
        <v>0</v>
      </c>
    </row>
    <row r="546" spans="31:51" x14ac:dyDescent="0.25">
      <c r="AE546" s="75">
        <v>5.1429999999999998</v>
      </c>
      <c r="AF546" s="82">
        <v>5</v>
      </c>
      <c r="AG546" s="82">
        <v>1</v>
      </c>
      <c r="AH546" s="82">
        <v>1</v>
      </c>
      <c r="AI546" s="82">
        <v>3.0000000000291038</v>
      </c>
      <c r="AJ546" s="166">
        <v>5.1431300000000002</v>
      </c>
      <c r="AK546" s="82" t="str">
        <v>Base</v>
      </c>
      <c r="AL546" s="162">
        <v>-6</v>
      </c>
      <c r="AM546" s="162">
        <v>-5.0270040657372679</v>
      </c>
      <c r="AN546" s="162">
        <v>-3.267354929729319</v>
      </c>
      <c r="AO546" s="162">
        <v>84.969949372155952</v>
      </c>
      <c r="AP546" s="162">
        <v>-29.784116024848295</v>
      </c>
      <c r="AQ546" s="162">
        <v>0</v>
      </c>
      <c r="AR546" s="710" t="str">
        <v>1613.par</v>
      </c>
      <c r="AV546" s="82" t="str">
        <v>0,102,204</v>
      </c>
      <c r="AW546" s="947">
        <v>84.969949372155952</v>
      </c>
      <c r="AX546" s="947">
        <v>84.969949372155952</v>
      </c>
      <c r="AY546" s="947">
        <v>0</v>
      </c>
    </row>
    <row r="547" spans="31:51" x14ac:dyDescent="0.25">
      <c r="AE547" s="75">
        <v>5.1369999999999996</v>
      </c>
      <c r="AF547" s="82">
        <v>5</v>
      </c>
      <c r="AG547" s="82">
        <v>1</v>
      </c>
      <c r="AH547" s="82">
        <v>1</v>
      </c>
      <c r="AI547" s="82">
        <v>3.0000000000291038</v>
      </c>
      <c r="AJ547" s="166">
        <v>5.13713</v>
      </c>
      <c r="AK547" s="82" t="str">
        <v>Base</v>
      </c>
      <c r="AL547" s="162">
        <v>-6</v>
      </c>
      <c r="AM547" s="162">
        <v>-4.9996635239022913</v>
      </c>
      <c r="AN547" s="162">
        <v>-2.5074359373201918</v>
      </c>
      <c r="AO547" s="162">
        <v>75.712346529077777</v>
      </c>
      <c r="AP547" s="162">
        <v>-27.787369752383814</v>
      </c>
      <c r="AQ547" s="162">
        <v>0</v>
      </c>
      <c r="AR547" s="710" t="str">
        <v>1613.par</v>
      </c>
      <c r="AV547" s="82" t="str">
        <v>0,102,204</v>
      </c>
      <c r="AW547" s="947">
        <v>75.712346529077777</v>
      </c>
      <c r="AX547" s="947">
        <v>75.712346529077777</v>
      </c>
      <c r="AY547" s="947">
        <v>0</v>
      </c>
    </row>
    <row r="548" spans="31:51" x14ac:dyDescent="0.25">
      <c r="AE548" s="75">
        <v>5.1310000000000002</v>
      </c>
      <c r="AF548" s="82">
        <v>5</v>
      </c>
      <c r="AG548" s="82">
        <v>1</v>
      </c>
      <c r="AH548" s="82">
        <v>1</v>
      </c>
      <c r="AI548" s="82">
        <v>3.0000000000291038</v>
      </c>
      <c r="AJ548" s="166">
        <v>5.1311300000000006</v>
      </c>
      <c r="AK548" s="82" t="str">
        <v>Base</v>
      </c>
      <c r="AL548" s="162">
        <v>-6</v>
      </c>
      <c r="AM548" s="162">
        <v>-4.7412121930234123</v>
      </c>
      <c r="AN548" s="162">
        <v>-1.7870418616102752</v>
      </c>
      <c r="AO548" s="162">
        <v>57.149982620263913</v>
      </c>
      <c r="AP548" s="162">
        <v>-23.803245732477407</v>
      </c>
      <c r="AQ548" s="162">
        <v>0</v>
      </c>
      <c r="AR548" s="710" t="str">
        <v>1613.par</v>
      </c>
      <c r="AV548" s="82" t="str">
        <v>0,102,204</v>
      </c>
      <c r="AW548" s="947">
        <v>57.149982620263913</v>
      </c>
      <c r="AX548" s="947">
        <v>57.149982620263913</v>
      </c>
      <c r="AY548" s="947">
        <v>0</v>
      </c>
    </row>
    <row r="549" spans="31:51" x14ac:dyDescent="0.25">
      <c r="AE549" s="75">
        <v>5.125</v>
      </c>
      <c r="AF549" s="82">
        <v>5</v>
      </c>
      <c r="AG549" s="82">
        <v>1</v>
      </c>
      <c r="AH549" s="82">
        <v>1</v>
      </c>
      <c r="AI549" s="82">
        <v>3.0000000000291038</v>
      </c>
      <c r="AJ549" s="166">
        <v>5.1251300000000004</v>
      </c>
      <c r="AK549" s="82" t="str">
        <v>Base</v>
      </c>
      <c r="AL549" s="162">
        <v>-6</v>
      </c>
      <c r="AM549" s="162">
        <v>-4.242960581402202</v>
      </c>
      <c r="AN549" s="162">
        <v>-1.205787260301467</v>
      </c>
      <c r="AO549" s="162">
        <v>38.485986851085471</v>
      </c>
      <c r="AP549" s="162">
        <v>-19.835624968950093</v>
      </c>
      <c r="AQ549" s="162">
        <v>0</v>
      </c>
      <c r="AR549" s="710" t="str">
        <v>1613.par</v>
      </c>
      <c r="AV549" s="82" t="str">
        <v>0,102,204</v>
      </c>
      <c r="AW549" s="947">
        <v>38.485986851085471</v>
      </c>
      <c r="AX549" s="947">
        <v>38.485986851085471</v>
      </c>
      <c r="AY549" s="947">
        <v>0</v>
      </c>
    </row>
    <row r="550" spans="31:51" x14ac:dyDescent="0.25">
      <c r="AE550" s="75">
        <v>5.1189999999999998</v>
      </c>
      <c r="AF550" s="82">
        <v>5</v>
      </c>
      <c r="AG550" s="82">
        <v>1</v>
      </c>
      <c r="AH550" s="82">
        <v>1</v>
      </c>
      <c r="AI550" s="82">
        <v>3.0000000000291038</v>
      </c>
      <c r="AJ550" s="166">
        <v>5.1191300000000002</v>
      </c>
      <c r="AK550" s="82" t="str">
        <v>Base</v>
      </c>
      <c r="AL550" s="162">
        <v>-6</v>
      </c>
      <c r="AM550" s="162">
        <v>-3.5699296323723511</v>
      </c>
      <c r="AN550" s="162">
        <v>-0.8398347159521945</v>
      </c>
      <c r="AO550" s="162">
        <v>19.63131247542724</v>
      </c>
      <c r="AP550" s="162">
        <v>-15.893761035069243</v>
      </c>
      <c r="AQ550" s="162">
        <v>0</v>
      </c>
      <c r="AR550" s="710" t="str">
        <v>1613 Ripper.par</v>
      </c>
      <c r="AV550" s="82" t="str">
        <v>0,102,204</v>
      </c>
      <c r="AW550" s="947">
        <v>19.63131247542724</v>
      </c>
      <c r="AX550" s="947">
        <v>19.63131247542724</v>
      </c>
      <c r="AY550" s="947">
        <v>0</v>
      </c>
    </row>
    <row r="551" spans="31:51" x14ac:dyDescent="0.25">
      <c r="AE551" s="75">
        <v>5.1130000000000004</v>
      </c>
      <c r="AF551" s="82">
        <v>5</v>
      </c>
      <c r="AG551" s="82">
        <v>1</v>
      </c>
      <c r="AH551" s="82">
        <v>1</v>
      </c>
      <c r="AI551" s="82">
        <v>3.0000000001018634</v>
      </c>
      <c r="AJ551" s="166">
        <v>5.1131300000000008</v>
      </c>
      <c r="AK551" s="82" t="str">
        <v>Base</v>
      </c>
      <c r="AL551" s="162">
        <v>-6</v>
      </c>
      <c r="AM551" s="162">
        <v>-2.8098738483217405</v>
      </c>
      <c r="AN551" s="162">
        <v>-0.73775372720928489</v>
      </c>
      <c r="AO551" s="162">
        <v>0.8306004126858153</v>
      </c>
      <c r="AP551" s="162">
        <v>-15.389399300523054</v>
      </c>
      <c r="AQ551" s="162">
        <v>0</v>
      </c>
      <c r="AR551" s="710" t="str">
        <v>1613 Ripper.par</v>
      </c>
      <c r="AV551" s="82" t="str">
        <v>0,102,204</v>
      </c>
      <c r="AW551" s="947">
        <v>0.8306004126858153</v>
      </c>
      <c r="AX551" s="947">
        <v>0.8306004126858153</v>
      </c>
      <c r="AY551" s="947">
        <v>0</v>
      </c>
    </row>
    <row r="552" spans="31:51" x14ac:dyDescent="0.25">
      <c r="AE552" s="75">
        <v>5.1079999999999997</v>
      </c>
      <c r="AF552" s="82">
        <v>5</v>
      </c>
      <c r="AG552" s="82">
        <v>1</v>
      </c>
      <c r="AH552" s="82">
        <v>1</v>
      </c>
      <c r="AI552" s="82">
        <v>3.0000000000291038</v>
      </c>
      <c r="AJ552" s="166">
        <v>5.1081300000000001</v>
      </c>
      <c r="AK552" s="82" t="str">
        <v>Base</v>
      </c>
      <c r="AL552" s="162">
        <v>-6</v>
      </c>
      <c r="AM552" s="162">
        <v>-2.0775012168433507</v>
      </c>
      <c r="AN552" s="162">
        <v>-0.88385143781941111</v>
      </c>
      <c r="AO552" s="162">
        <v>-11.945289726695552</v>
      </c>
      <c r="AP552" s="162">
        <v>-15.101423636341977</v>
      </c>
      <c r="AQ552" s="162">
        <v>0</v>
      </c>
      <c r="AR552" s="710" t="str">
        <v>1613 Ripper.par</v>
      </c>
      <c r="AV552" s="82" t="str">
        <v>0,102,204</v>
      </c>
      <c r="AW552" s="947">
        <v>-11.945289726695552</v>
      </c>
      <c r="AX552" s="947">
        <v>-11.945289726695552</v>
      </c>
      <c r="AY552" s="947">
        <v>0</v>
      </c>
    </row>
    <row r="553" spans="31:51" x14ac:dyDescent="0.25">
      <c r="AE553" s="75">
        <v>5.1050000000000004</v>
      </c>
      <c r="AF553" s="82">
        <v>5</v>
      </c>
      <c r="AG553" s="82">
        <v>1</v>
      </c>
      <c r="AH553" s="82">
        <v>1</v>
      </c>
      <c r="AI553" s="82">
        <v>3.0000000001018634</v>
      </c>
      <c r="AJ553" s="166">
        <v>5.1051300000000008</v>
      </c>
      <c r="AK553" s="82" t="str">
        <v>Base</v>
      </c>
      <c r="AL553" s="162">
        <v>-6</v>
      </c>
      <c r="AM553" s="162">
        <v>-1.3652437852151869</v>
      </c>
      <c r="AN553" s="162">
        <v>-1.0742665066448658</v>
      </c>
      <c r="AO553" s="162">
        <v>-12.949138827495569</v>
      </c>
      <c r="AP553" s="162">
        <v>-15.161341689710696</v>
      </c>
      <c r="AQ553" s="162">
        <v>0</v>
      </c>
      <c r="AR553" s="710" t="str">
        <v>1613 Ripper.par</v>
      </c>
      <c r="AV553" s="82" t="str">
        <v>0,102,204</v>
      </c>
      <c r="AW553" s="947">
        <v>-12.949138827495569</v>
      </c>
      <c r="AX553" s="947">
        <v>-12.949138827495569</v>
      </c>
      <c r="AY553" s="947">
        <v>0</v>
      </c>
    </row>
    <row r="554" spans="31:51" x14ac:dyDescent="0.25">
      <c r="AE554" s="75">
        <v>5.1020000000000003</v>
      </c>
      <c r="AF554" s="82">
        <v>5</v>
      </c>
      <c r="AG554" s="82">
        <v>1</v>
      </c>
      <c r="AH554" s="82">
        <v>1</v>
      </c>
      <c r="AI554" s="82">
        <v>3.0000000001018634</v>
      </c>
      <c r="AJ554" s="166">
        <v>5.1021300000000007</v>
      </c>
      <c r="AK554" s="82" t="str">
        <v>Base</v>
      </c>
      <c r="AL554" s="162">
        <v>-6</v>
      </c>
      <c r="AM554" s="162">
        <v>-0.60804725265242798</v>
      </c>
      <c r="AN554" s="162">
        <v>-1.2767220756659849</v>
      </c>
      <c r="AO554" s="162">
        <v>-15.496960293563548</v>
      </c>
      <c r="AP554" s="162">
        <v>-17.89717637438029</v>
      </c>
      <c r="AQ554" s="162">
        <v>0</v>
      </c>
      <c r="AR554" s="710" t="str">
        <v>1613.par</v>
      </c>
      <c r="AV554" s="82" t="str">
        <v>0,102,204</v>
      </c>
      <c r="AW554" s="947">
        <v>-15.496960293563548</v>
      </c>
      <c r="AX554" s="947">
        <v>-15.496960293563548</v>
      </c>
      <c r="AY554" s="947">
        <v>0</v>
      </c>
    </row>
    <row r="555" spans="31:51" x14ac:dyDescent="0.25">
      <c r="AE555" s="75">
        <v>4.25</v>
      </c>
      <c r="AF555" s="82">
        <v>4</v>
      </c>
      <c r="AG555" s="82">
        <v>2</v>
      </c>
      <c r="AH555" s="82">
        <v>1</v>
      </c>
      <c r="AI555" s="82">
        <v>3.0000000000291038</v>
      </c>
      <c r="AJ555" s="166">
        <v>4.2501300000000004</v>
      </c>
      <c r="AK555" s="82" t="str">
        <v>Base</v>
      </c>
      <c r="AL555" s="162">
        <v>-5.25</v>
      </c>
      <c r="AM555" s="162">
        <v>-5.1223779559634766</v>
      </c>
      <c r="AN555" s="162">
        <v>-10.229661826286149</v>
      </c>
      <c r="AO555" s="162">
        <v>100.03561890671628</v>
      </c>
      <c r="AP555" s="162">
        <v>-39.831236627249659</v>
      </c>
      <c r="AQ555" s="162">
        <v>0</v>
      </c>
      <c r="AR555" s="710" t="str">
        <v>1313.par</v>
      </c>
      <c r="AV555" s="82" t="str">
        <v>91,255,255</v>
      </c>
      <c r="AW555" s="947">
        <v>100.03561890671628</v>
      </c>
      <c r="AX555" s="947">
        <v>100.03561890671628</v>
      </c>
      <c r="AY555" s="947">
        <v>0</v>
      </c>
    </row>
    <row r="556" spans="31:51" x14ac:dyDescent="0.25">
      <c r="AE556" s="75">
        <v>4.2439999999999998</v>
      </c>
      <c r="AF556" s="82">
        <v>4</v>
      </c>
      <c r="AG556" s="82">
        <v>2</v>
      </c>
      <c r="AH556" s="82">
        <v>1</v>
      </c>
      <c r="AI556" s="82">
        <v>3.0000000000291038</v>
      </c>
      <c r="AJ556" s="166">
        <v>4.2441300000000002</v>
      </c>
      <c r="AK556" s="82" t="str">
        <v>Base</v>
      </c>
      <c r="AL556" s="162">
        <v>-5.25</v>
      </c>
      <c r="AM556" s="162">
        <v>-5.02087479466259</v>
      </c>
      <c r="AN556" s="162">
        <v>-3.5093510475306959</v>
      </c>
      <c r="AO556" s="162">
        <v>89.999987005609597</v>
      </c>
      <c r="AP556" s="162">
        <v>0</v>
      </c>
      <c r="AQ556" s="162">
        <v>0</v>
      </c>
      <c r="AR556" s="710" t="str">
        <v>32193r1.par</v>
      </c>
      <c r="AV556" s="82" t="str">
        <v>91,255,255</v>
      </c>
      <c r="AW556" s="947">
        <v>89.999987005609597</v>
      </c>
      <c r="AX556" s="947">
        <v>89.999987005609597</v>
      </c>
      <c r="AY556" s="947">
        <v>0</v>
      </c>
    </row>
    <row r="557" spans="31:51" x14ac:dyDescent="0.25">
      <c r="AE557" s="75">
        <v>4.2380000000000004</v>
      </c>
      <c r="AF557" s="82">
        <v>4</v>
      </c>
      <c r="AG557" s="82">
        <v>2</v>
      </c>
      <c r="AH557" s="82">
        <v>1</v>
      </c>
      <c r="AI557" s="82">
        <v>3.0000000001018634</v>
      </c>
      <c r="AJ557" s="166">
        <v>4.2381300000000008</v>
      </c>
      <c r="AK557" s="82" t="str">
        <v>Base</v>
      </c>
      <c r="AL557" s="162">
        <v>-5.25</v>
      </c>
      <c r="AM557" s="162">
        <v>-4.9862408383831154</v>
      </c>
      <c r="AN557" s="162">
        <v>-2.755627727135479</v>
      </c>
      <c r="AO557" s="162">
        <v>82.999988016284419</v>
      </c>
      <c r="AP557" s="162">
        <v>0</v>
      </c>
      <c r="AQ557" s="162">
        <v>0</v>
      </c>
      <c r="AR557" s="710" t="str">
        <v>32193r1.par</v>
      </c>
      <c r="AV557" s="82" t="str">
        <v>91,255,255</v>
      </c>
      <c r="AW557" s="947">
        <v>82.999988016284419</v>
      </c>
      <c r="AX557" s="947">
        <v>82.999988016284419</v>
      </c>
      <c r="AY557" s="947">
        <v>0</v>
      </c>
    </row>
    <row r="558" spans="31:51" x14ac:dyDescent="0.25">
      <c r="AE558" s="75">
        <v>4.2320000000000002</v>
      </c>
      <c r="AF558" s="82">
        <v>4</v>
      </c>
      <c r="AG558" s="82">
        <v>2</v>
      </c>
      <c r="AH558" s="82">
        <v>1</v>
      </c>
      <c r="AI558" s="82">
        <v>3.0000000000291038</v>
      </c>
      <c r="AJ558" s="166">
        <v>4.2321300000000006</v>
      </c>
      <c r="AK558" s="82" t="str">
        <v>Base</v>
      </c>
      <c r="AL558" s="162">
        <v>-5.25</v>
      </c>
      <c r="AM558" s="162">
        <v>-4.7840043854517713</v>
      </c>
      <c r="AN558" s="162">
        <v>-2.0254114070398832</v>
      </c>
      <c r="AO558" s="162">
        <v>61.99999104830885</v>
      </c>
      <c r="AP558" s="162">
        <v>0</v>
      </c>
      <c r="AQ558" s="162">
        <v>0</v>
      </c>
      <c r="AR558" s="710" t="str">
        <v>32193r1.par</v>
      </c>
      <c r="AV558" s="82" t="str">
        <v>91,255,255</v>
      </c>
      <c r="AW558" s="947">
        <v>61.99999104830885</v>
      </c>
      <c r="AX558" s="947">
        <v>61.99999104830885</v>
      </c>
      <c r="AY558" s="947">
        <v>0</v>
      </c>
    </row>
    <row r="559" spans="31:51" x14ac:dyDescent="0.25">
      <c r="AE559" s="75">
        <v>4.226</v>
      </c>
      <c r="AF559" s="82">
        <v>4</v>
      </c>
      <c r="AG559" s="82">
        <v>2</v>
      </c>
      <c r="AH559" s="82">
        <v>1</v>
      </c>
      <c r="AI559" s="82">
        <v>3.0000000000291038</v>
      </c>
      <c r="AJ559" s="166">
        <v>4.2261300000000004</v>
      </c>
      <c r="AK559" s="82" t="str">
        <v>Base</v>
      </c>
      <c r="AL559" s="162">
        <v>-5.25</v>
      </c>
      <c r="AM559" s="162">
        <v>-4.3146862511636366</v>
      </c>
      <c r="AN559" s="162">
        <v>-1.3997195642163487</v>
      </c>
      <c r="AO559" s="162">
        <v>40.999994080333266</v>
      </c>
      <c r="AP559" s="162">
        <v>0</v>
      </c>
      <c r="AQ559" s="162">
        <v>0</v>
      </c>
      <c r="AR559" s="710" t="str">
        <v>32193r1.par</v>
      </c>
      <c r="AV559" s="82" t="str">
        <v>91,255,255</v>
      </c>
      <c r="AW559" s="947">
        <v>40.999994080333266</v>
      </c>
      <c r="AX559" s="947">
        <v>40.999994080333266</v>
      </c>
      <c r="AY559" s="947">
        <v>0</v>
      </c>
    </row>
    <row r="560" spans="31:51" x14ac:dyDescent="0.25">
      <c r="AE560" s="75">
        <v>4.22</v>
      </c>
      <c r="AF560" s="82">
        <v>4</v>
      </c>
      <c r="AG560" s="82">
        <v>2</v>
      </c>
      <c r="AH560" s="82">
        <v>1</v>
      </c>
      <c r="AI560" s="82">
        <v>3.0000000000291038</v>
      </c>
      <c r="AJ560" s="166">
        <v>4.2201300000000002</v>
      </c>
      <c r="AK560" s="82" t="str">
        <v>Base</v>
      </c>
      <c r="AL560" s="162">
        <v>-5.25</v>
      </c>
      <c r="AM560" s="162">
        <v>-3.6883533304226974</v>
      </c>
      <c r="AN560" s="162">
        <v>-1.0049725195796042</v>
      </c>
      <c r="AO560" s="162">
        <v>19.99999711235769</v>
      </c>
      <c r="AP560" s="162">
        <v>0</v>
      </c>
      <c r="AQ560" s="162">
        <v>0</v>
      </c>
      <c r="AR560" s="710" t="str">
        <v>32193r1.par</v>
      </c>
      <c r="AV560" s="82" t="str">
        <v>91,255,255</v>
      </c>
      <c r="AW560" s="947">
        <v>19.99999711235769</v>
      </c>
      <c r="AX560" s="947">
        <v>19.99999711235769</v>
      </c>
      <c r="AY560" s="947">
        <v>0</v>
      </c>
    </row>
    <row r="561" spans="31:51" x14ac:dyDescent="0.25">
      <c r="AE561" s="75">
        <v>4.1440000000000001</v>
      </c>
      <c r="AF561" s="82">
        <v>4</v>
      </c>
      <c r="AG561" s="82">
        <v>1</v>
      </c>
      <c r="AH561" s="82">
        <v>1</v>
      </c>
      <c r="AI561" s="82">
        <v>3.0000000000291038</v>
      </c>
      <c r="AJ561" s="166">
        <v>4.1441300000000005</v>
      </c>
      <c r="AK561" s="82" t="str">
        <v>Base</v>
      </c>
      <c r="AL561" s="162">
        <v>-4.5</v>
      </c>
      <c r="AM561" s="162">
        <v>-5.0550887932628399</v>
      </c>
      <c r="AN561" s="162">
        <v>-3.5026435098807966</v>
      </c>
      <c r="AO561" s="162">
        <v>84.970117416838406</v>
      </c>
      <c r="AP561" s="162">
        <v>-29.785208788526909</v>
      </c>
      <c r="AQ561" s="162">
        <v>0</v>
      </c>
      <c r="AR561" s="710" t="str">
        <v>1613.par</v>
      </c>
      <c r="AV561" s="82" t="str">
        <v>0,204,204</v>
      </c>
      <c r="AW561" s="947">
        <v>84.970117416838406</v>
      </c>
      <c r="AX561" s="947">
        <v>84.970117416838406</v>
      </c>
      <c r="AY561" s="947">
        <v>0</v>
      </c>
    </row>
    <row r="562" spans="31:51" x14ac:dyDescent="0.25">
      <c r="AE562" s="75">
        <v>4.1379999999999999</v>
      </c>
      <c r="AF562" s="82">
        <v>4</v>
      </c>
      <c r="AG562" s="82">
        <v>1</v>
      </c>
      <c r="AH562" s="82">
        <v>1</v>
      </c>
      <c r="AI562" s="82">
        <v>3.0000000000291038</v>
      </c>
      <c r="AJ562" s="166">
        <v>4.1381300000000003</v>
      </c>
      <c r="AK562" s="82" t="str">
        <v>Base</v>
      </c>
      <c r="AL562" s="162">
        <v>-4.5</v>
      </c>
      <c r="AM562" s="162">
        <v>-5.0164523963688259</v>
      </c>
      <c r="AN562" s="162">
        <v>-2.7459408042884683</v>
      </c>
      <c r="AO562" s="162">
        <v>78.799617313561896</v>
      </c>
      <c r="AP562" s="162">
        <v>-28.452633559226971</v>
      </c>
      <c r="AQ562" s="162">
        <v>0</v>
      </c>
      <c r="AR562" s="710" t="str">
        <v>1613.par</v>
      </c>
      <c r="AV562" s="82" t="str">
        <v>0,204,204</v>
      </c>
      <c r="AW562" s="947">
        <v>78.799617313561896</v>
      </c>
      <c r="AX562" s="947">
        <v>78.799617313561896</v>
      </c>
      <c r="AY562" s="947">
        <v>0</v>
      </c>
    </row>
    <row r="563" spans="31:51" x14ac:dyDescent="0.25">
      <c r="AE563" s="75">
        <v>4.1319999999999997</v>
      </c>
      <c r="AF563" s="82">
        <v>4</v>
      </c>
      <c r="AG563" s="82">
        <v>1</v>
      </c>
      <c r="AH563" s="82">
        <v>1</v>
      </c>
      <c r="AI563" s="82">
        <v>3.0000000000291038</v>
      </c>
      <c r="AJ563" s="166">
        <v>4.1321300000000001</v>
      </c>
      <c r="AK563" s="82" t="str">
        <v>Base</v>
      </c>
      <c r="AL563" s="162">
        <v>-4.5</v>
      </c>
      <c r="AM563" s="162">
        <v>-4.8023031901750297</v>
      </c>
      <c r="AN563" s="162">
        <v>-2.011139727124041</v>
      </c>
      <c r="AO563" s="162">
        <v>60.249226457616452</v>
      </c>
      <c r="AP563" s="162">
        <v>-24.466285540690528</v>
      </c>
      <c r="AQ563" s="162">
        <v>0</v>
      </c>
      <c r="AR563" s="710" t="str">
        <v>1613.par</v>
      </c>
      <c r="AV563" s="82" t="str">
        <v>0,204,204</v>
      </c>
      <c r="AW563" s="947">
        <v>60.249226457616452</v>
      </c>
      <c r="AX563" s="947">
        <v>60.249226457616452</v>
      </c>
      <c r="AY563" s="947">
        <v>0</v>
      </c>
    </row>
    <row r="564" spans="31:51" x14ac:dyDescent="0.25">
      <c r="AE564" s="75">
        <v>4.1260000000000003</v>
      </c>
      <c r="AF564" s="82">
        <v>4</v>
      </c>
      <c r="AG564" s="82">
        <v>1</v>
      </c>
      <c r="AH564" s="82">
        <v>1</v>
      </c>
      <c r="AI564" s="82">
        <v>3.0000000001018634</v>
      </c>
      <c r="AJ564" s="166">
        <v>4.1261300000000007</v>
      </c>
      <c r="AK564" s="82" t="str">
        <v>Base</v>
      </c>
      <c r="AL564" s="162">
        <v>-4.5</v>
      </c>
      <c r="AM564" s="162">
        <v>-4.340235968178817</v>
      </c>
      <c r="AN564" s="162">
        <v>-1.400836487656262</v>
      </c>
      <c r="AO564" s="162">
        <v>41.606624611766414</v>
      </c>
      <c r="AP564" s="162">
        <v>-20.495439001035297</v>
      </c>
      <c r="AQ564" s="162">
        <v>0</v>
      </c>
      <c r="AR564" s="710" t="str">
        <v>1613.par</v>
      </c>
      <c r="AV564" s="82" t="str">
        <v>0,204,204</v>
      </c>
      <c r="AW564" s="947">
        <v>41.606624611766414</v>
      </c>
      <c r="AX564" s="947">
        <v>41.606624611766414</v>
      </c>
      <c r="AY564" s="947">
        <v>0</v>
      </c>
    </row>
    <row r="565" spans="31:51" x14ac:dyDescent="0.25">
      <c r="AE565" s="75">
        <v>4.12</v>
      </c>
      <c r="AF565" s="82">
        <v>4</v>
      </c>
      <c r="AG565" s="82">
        <v>1</v>
      </c>
      <c r="AH565" s="82">
        <v>1</v>
      </c>
      <c r="AI565" s="82">
        <v>3.0000000000291038</v>
      </c>
      <c r="AJ565" s="166">
        <v>4.1201300000000005</v>
      </c>
      <c r="AK565" s="82" t="str">
        <v>Base</v>
      </c>
      <c r="AL565" s="162">
        <v>-4.5</v>
      </c>
      <c r="AM565" s="162">
        <v>-3.690665647678546</v>
      </c>
      <c r="AN565" s="162">
        <v>-0.99479072912039535</v>
      </c>
      <c r="AO565" s="162">
        <v>22.793338283804125</v>
      </c>
      <c r="AP565" s="162">
        <v>-16.548323321314136</v>
      </c>
      <c r="AQ565" s="162">
        <v>0</v>
      </c>
      <c r="AR565" s="710" t="str">
        <v>1613 Ripper.par</v>
      </c>
      <c r="AV565" s="82" t="str">
        <v>0,204,204</v>
      </c>
      <c r="AW565" s="947">
        <v>22.793338283804125</v>
      </c>
      <c r="AX565" s="947">
        <v>22.793338283804125</v>
      </c>
      <c r="AY565" s="947">
        <v>0</v>
      </c>
    </row>
    <row r="566" spans="31:51" x14ac:dyDescent="0.25">
      <c r="AE566" s="75">
        <v>4.1139999999999999</v>
      </c>
      <c r="AF566" s="82">
        <v>4</v>
      </c>
      <c r="AG566" s="82">
        <v>1</v>
      </c>
      <c r="AH566" s="82">
        <v>1</v>
      </c>
      <c r="AI566" s="82">
        <v>3.0000000000291038</v>
      </c>
      <c r="AJ566" s="166">
        <v>4.1141300000000003</v>
      </c>
      <c r="AK566" s="82" t="str">
        <v>Base</v>
      </c>
      <c r="AL566" s="162">
        <v>-4.5</v>
      </c>
      <c r="AM566" s="162">
        <v>-2.9383851347705265</v>
      </c>
      <c r="AN566" s="162">
        <v>-0.84688165870458687</v>
      </c>
      <c r="AO566" s="162">
        <v>3.9705087662236287</v>
      </c>
      <c r="AP566" s="162">
        <v>-15.469551353298518</v>
      </c>
      <c r="AQ566" s="162">
        <v>0</v>
      </c>
      <c r="AR566" s="710" t="str">
        <v>1613 Ripper.par</v>
      </c>
      <c r="AV566" s="82" t="str">
        <v>0,204,204</v>
      </c>
      <c r="AW566" s="947">
        <v>3.9705087662236287</v>
      </c>
      <c r="AX566" s="947">
        <v>3.9705087662236287</v>
      </c>
      <c r="AY566" s="947">
        <v>0</v>
      </c>
    </row>
    <row r="567" spans="31:51" x14ac:dyDescent="0.25">
      <c r="AE567" s="75">
        <v>3.2509999999999999</v>
      </c>
      <c r="AF567" s="82">
        <v>3</v>
      </c>
      <c r="AG567" s="82">
        <v>2</v>
      </c>
      <c r="AH567" s="82">
        <v>1</v>
      </c>
      <c r="AI567" s="82">
        <v>2.999999999992724</v>
      </c>
      <c r="AJ567" s="166">
        <v>3.2511299999999999</v>
      </c>
      <c r="AK567" s="82" t="str">
        <v>Base</v>
      </c>
      <c r="AL567" s="162">
        <v>-3.75</v>
      </c>
      <c r="AM567" s="162">
        <v>-5.1223779559634783</v>
      </c>
      <c r="AN567" s="162">
        <v>-10.153272948408262</v>
      </c>
      <c r="AO567" s="162">
        <v>100.03561890671625</v>
      </c>
      <c r="AP567" s="162">
        <v>-39.831236627249623</v>
      </c>
      <c r="AQ567" s="162">
        <v>0</v>
      </c>
      <c r="AR567" s="710" t="str">
        <v>1313.par</v>
      </c>
      <c r="AV567" s="82" t="str">
        <v>97,255,97</v>
      </c>
      <c r="AW567" s="947">
        <v>100.03561890671625</v>
      </c>
      <c r="AX567" s="947">
        <v>100.03561890671625</v>
      </c>
      <c r="AY567" s="947">
        <v>0</v>
      </c>
    </row>
    <row r="568" spans="31:51" x14ac:dyDescent="0.25">
      <c r="AE568" s="75">
        <v>3.2450000000000001</v>
      </c>
      <c r="AF568" s="82">
        <v>3</v>
      </c>
      <c r="AG568" s="82">
        <v>2</v>
      </c>
      <c r="AH568" s="82">
        <v>1</v>
      </c>
      <c r="AI568" s="82">
        <v>2.999999999992724</v>
      </c>
      <c r="AJ568" s="166">
        <v>3.2451300000000001</v>
      </c>
      <c r="AK568" s="82" t="str">
        <v>Base</v>
      </c>
      <c r="AL568" s="162">
        <v>-3.75</v>
      </c>
      <c r="AM568" s="162">
        <v>-5.0208747946625891</v>
      </c>
      <c r="AN568" s="162">
        <v>-3.6831848932959721</v>
      </c>
      <c r="AO568" s="162">
        <v>89.999987005609611</v>
      </c>
      <c r="AP568" s="162">
        <v>0</v>
      </c>
      <c r="AQ568" s="162">
        <v>0</v>
      </c>
      <c r="AR568" s="710" t="str">
        <v>32193r1.par</v>
      </c>
      <c r="AV568" s="82" t="str">
        <v>97,255,97</v>
      </c>
      <c r="AW568" s="947">
        <v>89.999987005609611</v>
      </c>
      <c r="AX568" s="947">
        <v>89.999987005609611</v>
      </c>
      <c r="AY568" s="947">
        <v>0</v>
      </c>
    </row>
    <row r="569" spans="31:51" x14ac:dyDescent="0.25">
      <c r="AE569" s="75">
        <v>3.2389999999999999</v>
      </c>
      <c r="AF569" s="82">
        <v>3</v>
      </c>
      <c r="AG569" s="82">
        <v>2</v>
      </c>
      <c r="AH569" s="82">
        <v>1</v>
      </c>
      <c r="AI569" s="82">
        <v>2.999999999992724</v>
      </c>
      <c r="AJ569" s="166">
        <v>3.2391299999999998</v>
      </c>
      <c r="AK569" s="82" t="str">
        <v>Base</v>
      </c>
      <c r="AL569" s="162">
        <v>-3.75</v>
      </c>
      <c r="AM569" s="162">
        <v>-4.9934378719711736</v>
      </c>
      <c r="AN569" s="162">
        <v>-2.9305818403428647</v>
      </c>
      <c r="AO569" s="162">
        <v>82.999988016284419</v>
      </c>
      <c r="AP569" s="162">
        <v>0</v>
      </c>
      <c r="AQ569" s="162">
        <v>0</v>
      </c>
      <c r="AR569" s="710" t="str">
        <v>32193r1.par</v>
      </c>
      <c r="AV569" s="82" t="str">
        <v>97,255,97</v>
      </c>
      <c r="AW569" s="947">
        <v>82.999988016284419</v>
      </c>
      <c r="AX569" s="947">
        <v>82.999988016284419</v>
      </c>
      <c r="AY569" s="947">
        <v>0</v>
      </c>
    </row>
    <row r="570" spans="31:51" x14ac:dyDescent="0.25">
      <c r="AE570" s="75">
        <v>3.2330000000000001</v>
      </c>
      <c r="AF570" s="82">
        <v>3</v>
      </c>
      <c r="AG570" s="82">
        <v>2</v>
      </c>
      <c r="AH570" s="82">
        <v>1</v>
      </c>
      <c r="AI570" s="82">
        <v>2.999999999992724</v>
      </c>
      <c r="AJ570" s="166">
        <v>3.2331300000000001</v>
      </c>
      <c r="AK570" s="82" t="str">
        <v>Base</v>
      </c>
      <c r="AL570" s="162">
        <v>-3.75</v>
      </c>
      <c r="AM570" s="162">
        <v>-4.8780303852724725</v>
      </c>
      <c r="AN570" s="162">
        <v>-2.1677543034359288</v>
      </c>
      <c r="AO570" s="162">
        <v>63.392943063786667</v>
      </c>
      <c r="AP570" s="162">
        <v>-30.139109350595657</v>
      </c>
      <c r="AQ570" s="162">
        <v>0</v>
      </c>
      <c r="AR570" s="710" t="str">
        <v>1313.par</v>
      </c>
      <c r="AV570" s="82" t="str">
        <v>97,255,97</v>
      </c>
      <c r="AW570" s="947">
        <v>63.392943063786667</v>
      </c>
      <c r="AX570" s="947">
        <v>63.392943063786667</v>
      </c>
      <c r="AY570" s="947">
        <v>0</v>
      </c>
    </row>
    <row r="571" spans="31:51" x14ac:dyDescent="0.25">
      <c r="AE571" s="75">
        <v>3.2269999999999999</v>
      </c>
      <c r="AF571" s="82">
        <v>3</v>
      </c>
      <c r="AG571" s="82">
        <v>2</v>
      </c>
      <c r="AH571" s="82">
        <v>1</v>
      </c>
      <c r="AI571" s="82">
        <v>2.999999999992724</v>
      </c>
      <c r="AJ571" s="166">
        <v>3.2271299999999998</v>
      </c>
      <c r="AK571" s="82" t="str">
        <v>Base</v>
      </c>
      <c r="AL571" s="162">
        <v>-3.75</v>
      </c>
      <c r="AM571" s="162">
        <v>-4.4493480813053772</v>
      </c>
      <c r="AN571" s="162">
        <v>-1.5246696393188999</v>
      </c>
      <c r="AO571" s="162">
        <v>44.830187859593472</v>
      </c>
      <c r="AP571" s="162">
        <v>-26.16280668690904</v>
      </c>
      <c r="AQ571" s="162">
        <v>0</v>
      </c>
      <c r="AR571" s="710" t="str">
        <v>1313.par</v>
      </c>
      <c r="AV571" s="82" t="str">
        <v>97,255,97</v>
      </c>
      <c r="AW571" s="947">
        <v>44.830187859593472</v>
      </c>
      <c r="AX571" s="947">
        <v>44.830187859593472</v>
      </c>
      <c r="AY571" s="947">
        <v>0</v>
      </c>
    </row>
    <row r="572" spans="31:51" x14ac:dyDescent="0.25">
      <c r="AE572" s="75">
        <v>3.2210000000000001</v>
      </c>
      <c r="AF572" s="82">
        <v>3</v>
      </c>
      <c r="AG572" s="82">
        <v>2</v>
      </c>
      <c r="AH572" s="82">
        <v>1</v>
      </c>
      <c r="AI572" s="82">
        <v>2.999999999992724</v>
      </c>
      <c r="AJ572" s="166">
        <v>3.22113</v>
      </c>
      <c r="AK572" s="82" t="str">
        <v>Base</v>
      </c>
      <c r="AL572" s="162">
        <v>-3.75</v>
      </c>
      <c r="AM572" s="162">
        <v>-3.8192371295293186</v>
      </c>
      <c r="AN572" s="162">
        <v>-1.0764579154522913</v>
      </c>
      <c r="AO572" s="162">
        <v>26.167511622001179</v>
      </c>
      <c r="AP572" s="162">
        <v>-22.20779132657719</v>
      </c>
      <c r="AQ572" s="162">
        <v>0</v>
      </c>
      <c r="AR572" s="710" t="str">
        <v>1313.par</v>
      </c>
      <c r="AV572" s="82" t="str">
        <v>97,255,97</v>
      </c>
      <c r="AW572" s="947">
        <v>26.167511622001179</v>
      </c>
      <c r="AX572" s="947">
        <v>26.167511622001179</v>
      </c>
      <c r="AY572" s="947">
        <v>0</v>
      </c>
    </row>
    <row r="573" spans="31:51" x14ac:dyDescent="0.25">
      <c r="AE573" s="75">
        <v>3.2149999999999999</v>
      </c>
      <c r="AF573" s="82">
        <v>3</v>
      </c>
      <c r="AG573" s="82">
        <v>2</v>
      </c>
      <c r="AH573" s="82">
        <v>1</v>
      </c>
      <c r="AI573" s="82">
        <v>2.999999999992724</v>
      </c>
      <c r="AJ573" s="166">
        <v>3.2151299999999998</v>
      </c>
      <c r="AK573" s="82" t="str">
        <v>Base</v>
      </c>
      <c r="AL573" s="162">
        <v>-3.75</v>
      </c>
      <c r="AM573" s="162">
        <v>-3.0661488581587393</v>
      </c>
      <c r="AN573" s="162">
        <v>-0.91060499592673483</v>
      </c>
      <c r="AO573" s="162">
        <v>-0.99999985561788196</v>
      </c>
      <c r="AP573" s="162">
        <v>0</v>
      </c>
      <c r="AQ573" s="162">
        <v>0</v>
      </c>
      <c r="AR573" s="710" t="str">
        <v>32193r1.par</v>
      </c>
      <c r="AV573" s="82" t="str">
        <v>97,255,97</v>
      </c>
      <c r="AW573" s="947">
        <v>-0.99999985561788196</v>
      </c>
      <c r="AX573" s="947">
        <v>-0.99999985561788196</v>
      </c>
      <c r="AY573" s="947">
        <v>0</v>
      </c>
    </row>
    <row r="574" spans="31:51" x14ac:dyDescent="0.25">
      <c r="AE574" s="75">
        <v>3.145</v>
      </c>
      <c r="AF574" s="82">
        <v>3</v>
      </c>
      <c r="AG574" s="82">
        <v>1</v>
      </c>
      <c r="AH574" s="82">
        <v>1</v>
      </c>
      <c r="AI574" s="82">
        <v>2.999999999992724</v>
      </c>
      <c r="AJ574" s="166">
        <v>3.14513</v>
      </c>
      <c r="AK574" s="82" t="str">
        <v>Base</v>
      </c>
      <c r="AL574" s="162">
        <v>-3</v>
      </c>
      <c r="AM574" s="162">
        <v>-5.0550887932628417</v>
      </c>
      <c r="AN574" s="162">
        <v>-3.676477355646075</v>
      </c>
      <c r="AO574" s="162">
        <v>84.97011741683842</v>
      </c>
      <c r="AP574" s="162">
        <v>-29.785208788526909</v>
      </c>
      <c r="AQ574" s="162">
        <v>0</v>
      </c>
      <c r="AR574" s="710" t="str">
        <v>1613.par</v>
      </c>
      <c r="AV574" s="82" t="str">
        <v>0,204,0</v>
      </c>
      <c r="AW574" s="947">
        <v>84.97011741683842</v>
      </c>
      <c r="AX574" s="947">
        <v>84.97011741683842</v>
      </c>
      <c r="AY574" s="947">
        <v>0</v>
      </c>
    </row>
    <row r="575" spans="31:51" x14ac:dyDescent="0.25">
      <c r="AE575" s="75">
        <v>3.1389999999999998</v>
      </c>
      <c r="AF575" s="82">
        <v>3</v>
      </c>
      <c r="AG575" s="82">
        <v>1</v>
      </c>
      <c r="AH575" s="82">
        <v>1</v>
      </c>
      <c r="AI575" s="82">
        <v>2.999999999992724</v>
      </c>
      <c r="AJ575" s="166">
        <v>3.1391299999999998</v>
      </c>
      <c r="AK575" s="82" t="str">
        <v>Base</v>
      </c>
      <c r="AL575" s="162">
        <v>-3</v>
      </c>
      <c r="AM575" s="162">
        <v>-5.0256652349223865</v>
      </c>
      <c r="AN575" s="162">
        <v>-2.9222790116721606</v>
      </c>
      <c r="AO575" s="162">
        <v>81.885446807640747</v>
      </c>
      <c r="AP575" s="162">
        <v>-29.118222259814257</v>
      </c>
      <c r="AQ575" s="162">
        <v>0</v>
      </c>
      <c r="AR575" s="710" t="str">
        <v>1613.par</v>
      </c>
      <c r="AV575" s="82" t="str">
        <v>0,204,0</v>
      </c>
      <c r="AW575" s="947">
        <v>81.885446807640747</v>
      </c>
      <c r="AX575" s="947">
        <v>81.885446807640747</v>
      </c>
      <c r="AY575" s="947">
        <v>0</v>
      </c>
    </row>
    <row r="576" spans="31:51" x14ac:dyDescent="0.25">
      <c r="AE576" s="75">
        <v>3.133</v>
      </c>
      <c r="AF576" s="82">
        <v>3</v>
      </c>
      <c r="AG576" s="82">
        <v>1</v>
      </c>
      <c r="AH576" s="82">
        <v>1</v>
      </c>
      <c r="AI576" s="82">
        <v>2.999999999992724</v>
      </c>
      <c r="AJ576" s="166">
        <v>3.13313</v>
      </c>
      <c r="AK576" s="82" t="str">
        <v>Base</v>
      </c>
      <c r="AL576" s="162">
        <v>-3</v>
      </c>
      <c r="AM576" s="162">
        <v>-4.8564048247187852</v>
      </c>
      <c r="AN576" s="162">
        <v>-2.1757630211597752</v>
      </c>
      <c r="AO576" s="162">
        <v>63.345987496311885</v>
      </c>
      <c r="AP576" s="162">
        <v>-25.129745570941751</v>
      </c>
      <c r="AQ576" s="162">
        <v>0</v>
      </c>
      <c r="AR576" s="710" t="str">
        <v>1613.par</v>
      </c>
      <c r="AV576" s="82" t="str">
        <v>0,204,0</v>
      </c>
      <c r="AW576" s="947">
        <v>63.345987496311885</v>
      </c>
      <c r="AX576" s="947">
        <v>63.345987496311885</v>
      </c>
      <c r="AY576" s="947">
        <v>0</v>
      </c>
    </row>
    <row r="577" spans="31:51" x14ac:dyDescent="0.25">
      <c r="AE577" s="75">
        <v>3.1269999999999998</v>
      </c>
      <c r="AF577" s="82">
        <v>3</v>
      </c>
      <c r="AG577" s="82">
        <v>1</v>
      </c>
      <c r="AH577" s="82">
        <v>1</v>
      </c>
      <c r="AI577" s="82">
        <v>2.9999999999563443</v>
      </c>
      <c r="AJ577" s="166">
        <v>3.1271299999999997</v>
      </c>
      <c r="AK577" s="82" t="str">
        <v>Base</v>
      </c>
      <c r="AL577" s="162">
        <v>-3</v>
      </c>
      <c r="AM577" s="162">
        <v>-4.4323083330046469</v>
      </c>
      <c r="AN577" s="162">
        <v>-1.5385991159837664</v>
      </c>
      <c r="AO577" s="162">
        <v>44.722719194276351</v>
      </c>
      <c r="AP577" s="162">
        <v>-21.155897053638178</v>
      </c>
      <c r="AQ577" s="162">
        <v>0</v>
      </c>
      <c r="AR577" s="710" t="str">
        <v>1613.par</v>
      </c>
      <c r="AV577" s="82" t="str">
        <v>0,204,0</v>
      </c>
      <c r="AW577" s="947">
        <v>44.722719194276351</v>
      </c>
      <c r="AX577" s="947">
        <v>44.722719194276351</v>
      </c>
      <c r="AY577" s="947">
        <v>0</v>
      </c>
    </row>
    <row r="578" spans="31:51" x14ac:dyDescent="0.25">
      <c r="AE578" s="75">
        <v>3.121</v>
      </c>
      <c r="AF578" s="82">
        <v>3</v>
      </c>
      <c r="AG578" s="82">
        <v>1</v>
      </c>
      <c r="AH578" s="82">
        <v>1</v>
      </c>
      <c r="AI578" s="82">
        <v>2.999999999992724</v>
      </c>
      <c r="AJ578" s="166">
        <v>3.12113</v>
      </c>
      <c r="AK578" s="82" t="str">
        <v>Base</v>
      </c>
      <c r="AL578" s="162">
        <v>-3</v>
      </c>
      <c r="AM578" s="162">
        <v>-3.8085869115984403</v>
      </c>
      <c r="AN578" s="162">
        <v>-1.0940531607995381</v>
      </c>
      <c r="AO578" s="162">
        <v>25.946275176386688</v>
      </c>
      <c r="AP578" s="162">
        <v>-17.203971811334654</v>
      </c>
      <c r="AQ578" s="162">
        <v>0</v>
      </c>
      <c r="AR578" s="710" t="str">
        <v>1613 Ripper.par</v>
      </c>
      <c r="AV578" s="82" t="str">
        <v>0,204,0</v>
      </c>
      <c r="AW578" s="947">
        <v>25.946275176386688</v>
      </c>
      <c r="AX578" s="947">
        <v>25.946275176386688</v>
      </c>
      <c r="AY578" s="947">
        <v>0</v>
      </c>
    </row>
    <row r="579" spans="31:51" x14ac:dyDescent="0.25">
      <c r="AE579" s="75">
        <v>3.1150000000000002</v>
      </c>
      <c r="AF579" s="82">
        <v>3</v>
      </c>
      <c r="AG579" s="82">
        <v>1</v>
      </c>
      <c r="AH579" s="82">
        <v>1</v>
      </c>
      <c r="AI579" s="82">
        <v>3.0000000000291038</v>
      </c>
      <c r="AJ579" s="166">
        <v>3.1151300000000002</v>
      </c>
      <c r="AK579" s="82" t="str">
        <v>Base</v>
      </c>
      <c r="AL579" s="162">
        <v>-3</v>
      </c>
      <c r="AM579" s="162">
        <v>-3.0667945084187682</v>
      </c>
      <c r="AN579" s="162">
        <v>-0.90071380946689605</v>
      </c>
      <c r="AO579" s="162">
        <v>7.1077563806310833</v>
      </c>
      <c r="AP579" s="162">
        <v>-15.551478149906009</v>
      </c>
      <c r="AQ579" s="162">
        <v>0</v>
      </c>
      <c r="AR579" s="710" t="str">
        <v>1613 Ripper.par</v>
      </c>
      <c r="AV579" s="82" t="str">
        <v>0,204,0</v>
      </c>
      <c r="AW579" s="947">
        <v>7.1077563806310833</v>
      </c>
      <c r="AX579" s="947">
        <v>7.1077563806310833</v>
      </c>
      <c r="AY579" s="947">
        <v>0</v>
      </c>
    </row>
    <row r="580" spans="31:51" x14ac:dyDescent="0.25">
      <c r="AE580" s="75">
        <v>3.109</v>
      </c>
      <c r="AF580" s="82">
        <v>3</v>
      </c>
      <c r="AG580" s="82">
        <v>1</v>
      </c>
      <c r="AH580" s="82">
        <v>1</v>
      </c>
      <c r="AI580" s="82">
        <v>2.999999999992724</v>
      </c>
      <c r="AJ580" s="166">
        <v>3.1091299999999999</v>
      </c>
      <c r="AK580" s="82" t="str">
        <v>Base</v>
      </c>
      <c r="AL580" s="162">
        <v>-3</v>
      </c>
      <c r="AM580" s="162">
        <v>-2.3048937266229794</v>
      </c>
      <c r="AN580" s="162">
        <v>-0.98274625260945503</v>
      </c>
      <c r="AO580" s="162">
        <v>-11.754573914654843</v>
      </c>
      <c r="AP580" s="162">
        <v>-15.090629431527974</v>
      </c>
      <c r="AQ580" s="162">
        <v>0</v>
      </c>
      <c r="AR580" s="710" t="str">
        <v>1613 Ripper.par</v>
      </c>
      <c r="AV580" s="82" t="str">
        <v>0,204,0</v>
      </c>
      <c r="AW580" s="947">
        <v>-11.754573914654843</v>
      </c>
      <c r="AX580" s="947">
        <v>-11.754573914654843</v>
      </c>
      <c r="AY580" s="947">
        <v>0</v>
      </c>
    </row>
    <row r="581" spans="31:51" x14ac:dyDescent="0.25">
      <c r="AE581" s="75">
        <v>3.1059999999999999</v>
      </c>
      <c r="AF581" s="82">
        <v>3</v>
      </c>
      <c r="AG581" s="82">
        <v>1</v>
      </c>
      <c r="AH581" s="82">
        <v>1</v>
      </c>
      <c r="AI581" s="82">
        <v>2.999999999992724</v>
      </c>
      <c r="AJ581" s="166">
        <v>3.1061299999999998</v>
      </c>
      <c r="AK581" s="82" t="str">
        <v>Base</v>
      </c>
      <c r="AL581" s="162">
        <v>-3</v>
      </c>
      <c r="AM581" s="162">
        <v>-1.6077246308135538</v>
      </c>
      <c r="AN581" s="162">
        <v>-1.1692581367622048</v>
      </c>
      <c r="AO581" s="162">
        <v>-12.508515021959289</v>
      </c>
      <c r="AP581" s="162">
        <v>-15.134396576192788</v>
      </c>
      <c r="AQ581" s="162">
        <v>0</v>
      </c>
      <c r="AR581" s="710" t="str">
        <v>1613 Ripper.par</v>
      </c>
      <c r="AV581" s="82" t="str">
        <v>0,204,0</v>
      </c>
      <c r="AW581" s="947">
        <v>-12.508515021959289</v>
      </c>
      <c r="AX581" s="947">
        <v>-12.508515021959289</v>
      </c>
      <c r="AY581" s="947">
        <v>0</v>
      </c>
    </row>
    <row r="582" spans="31:51" x14ac:dyDescent="0.25">
      <c r="AE582" s="75">
        <v>3.1030000000000002</v>
      </c>
      <c r="AF582" s="82">
        <v>3</v>
      </c>
      <c r="AG582" s="82">
        <v>1</v>
      </c>
      <c r="AH582" s="82">
        <v>1</v>
      </c>
      <c r="AI582" s="82">
        <v>3.0000000000291038</v>
      </c>
      <c r="AJ582" s="166">
        <v>3.1031300000000002</v>
      </c>
      <c r="AK582" s="82" t="str">
        <v>Base</v>
      </c>
      <c r="AL582" s="162">
        <v>-3</v>
      </c>
      <c r="AM582" s="162">
        <v>-0.86547604771679154</v>
      </c>
      <c r="AN582" s="162">
        <v>-1.3676789861192618</v>
      </c>
      <c r="AO582" s="162">
        <v>-14.302653650703496</v>
      </c>
      <c r="AP582" s="162">
        <v>-16.268123573021061</v>
      </c>
      <c r="AQ582" s="162">
        <v>0</v>
      </c>
      <c r="AR582" s="710" t="str">
        <v>1613.par</v>
      </c>
      <c r="AV582" s="82" t="str">
        <v>0,204,0</v>
      </c>
      <c r="AW582" s="947">
        <v>-14.302653650703496</v>
      </c>
      <c r="AX582" s="947">
        <v>-14.302653650703496</v>
      </c>
      <c r="AY582" s="947">
        <v>0</v>
      </c>
    </row>
    <row r="583" spans="31:51" x14ac:dyDescent="0.25">
      <c r="AE583" s="75">
        <v>2.2519999999999998</v>
      </c>
      <c r="AF583" s="82">
        <v>2</v>
      </c>
      <c r="AG583" s="82">
        <v>2</v>
      </c>
      <c r="AH583" s="82">
        <v>1</v>
      </c>
      <c r="AI583" s="82">
        <v>2.9999999999563443</v>
      </c>
      <c r="AJ583" s="166">
        <v>2.2521299999999997</v>
      </c>
      <c r="AK583" s="82" t="str">
        <v>Base</v>
      </c>
      <c r="AL583" s="162">
        <v>-2.25</v>
      </c>
      <c r="AM583" s="162">
        <v>-5.1223779559634774</v>
      </c>
      <c r="AN583" s="162">
        <v>-10.565772961023507</v>
      </c>
      <c r="AO583" s="162">
        <v>100.03561890671624</v>
      </c>
      <c r="AP583" s="162">
        <v>-39.831236627249659</v>
      </c>
      <c r="AQ583" s="162">
        <v>0</v>
      </c>
      <c r="AR583" s="710" t="str">
        <v>1313.par</v>
      </c>
      <c r="AV583" s="82" t="str">
        <v>255,255,91</v>
      </c>
      <c r="AW583" s="947">
        <v>100.03561890671624</v>
      </c>
      <c r="AX583" s="947">
        <v>100.03561890671624</v>
      </c>
      <c r="AY583" s="947">
        <v>0</v>
      </c>
    </row>
    <row r="584" spans="31:51" x14ac:dyDescent="0.25">
      <c r="AE584" s="75">
        <v>2.246</v>
      </c>
      <c r="AF584" s="82">
        <v>2</v>
      </c>
      <c r="AG584" s="82">
        <v>2</v>
      </c>
      <c r="AH584" s="82">
        <v>1</v>
      </c>
      <c r="AI584" s="82">
        <v>2.999999999992724</v>
      </c>
      <c r="AJ584" s="166">
        <v>2.24613</v>
      </c>
      <c r="AK584" s="82" t="str">
        <v>Base</v>
      </c>
      <c r="AL584" s="162">
        <v>-2.25</v>
      </c>
      <c r="AM584" s="162">
        <v>-5.0208747946625891</v>
      </c>
      <c r="AN584" s="162">
        <v>-3.9270191800906535</v>
      </c>
      <c r="AO584" s="162">
        <v>89.999987005609626</v>
      </c>
      <c r="AP584" s="162">
        <v>0</v>
      </c>
      <c r="AQ584" s="162">
        <v>0</v>
      </c>
      <c r="AR584" s="710" t="str">
        <v>32193r1.par</v>
      </c>
      <c r="AV584" s="82" t="str">
        <v>255,255,91</v>
      </c>
      <c r="AW584" s="947">
        <v>89.999987005609626</v>
      </c>
      <c r="AX584" s="947">
        <v>89.999987005609626</v>
      </c>
      <c r="AY584" s="947">
        <v>0</v>
      </c>
    </row>
    <row r="585" spans="31:51" x14ac:dyDescent="0.25">
      <c r="AE585" s="75">
        <v>2.2400000000000002</v>
      </c>
      <c r="AF585" s="82">
        <v>2</v>
      </c>
      <c r="AG585" s="82">
        <v>2</v>
      </c>
      <c r="AH585" s="82">
        <v>1</v>
      </c>
      <c r="AI585" s="82">
        <v>3.0000000000291038</v>
      </c>
      <c r="AJ585" s="166">
        <v>2.2401300000000002</v>
      </c>
      <c r="AK585" s="82" t="str">
        <v>Base</v>
      </c>
      <c r="AL585" s="162">
        <v>-2.25</v>
      </c>
      <c r="AM585" s="162">
        <v>-4.9927899012947679</v>
      </c>
      <c r="AN585" s="162">
        <v>-3.1756369363545423</v>
      </c>
      <c r="AO585" s="162">
        <v>89.999987005609611</v>
      </c>
      <c r="AP585" s="162">
        <v>0</v>
      </c>
      <c r="AQ585" s="162">
        <v>0</v>
      </c>
      <c r="AR585" s="710" t="str">
        <v>32193r1.par</v>
      </c>
      <c r="AV585" s="82" t="str">
        <v>255,255,91</v>
      </c>
      <c r="AW585" s="947">
        <v>89.999987005609611</v>
      </c>
      <c r="AX585" s="947">
        <v>89.999987005609611</v>
      </c>
      <c r="AY585" s="947">
        <v>0</v>
      </c>
    </row>
    <row r="586" spans="31:51" x14ac:dyDescent="0.25">
      <c r="AE586" s="75">
        <v>2.234</v>
      </c>
      <c r="AF586" s="82">
        <v>2</v>
      </c>
      <c r="AG586" s="82">
        <v>2</v>
      </c>
      <c r="AH586" s="82">
        <v>1</v>
      </c>
      <c r="AI586" s="82">
        <v>2.999999999992724</v>
      </c>
      <c r="AJ586" s="166">
        <v>2.2341299999999999</v>
      </c>
      <c r="AK586" s="82" t="str">
        <v>Base</v>
      </c>
      <c r="AL586" s="162">
        <v>-2.25</v>
      </c>
      <c r="AM586" s="162">
        <v>-4.8811717254525888</v>
      </c>
      <c r="AN586" s="162">
        <v>-2.4268780515516601</v>
      </c>
      <c r="AO586" s="162">
        <v>68.999990037634035</v>
      </c>
      <c r="AP586" s="162">
        <v>0</v>
      </c>
      <c r="AQ586" s="162">
        <v>0</v>
      </c>
      <c r="AR586" s="710" t="str">
        <v>32193r1.par</v>
      </c>
      <c r="AV586" s="82" t="str">
        <v>255,255,91</v>
      </c>
      <c r="AW586" s="947">
        <v>68.999990037634035</v>
      </c>
      <c r="AX586" s="947">
        <v>68.999990037634035</v>
      </c>
      <c r="AY586" s="947">
        <v>0</v>
      </c>
    </row>
    <row r="587" spans="31:51" x14ac:dyDescent="0.25">
      <c r="AE587" s="75">
        <v>2.2280000000000002</v>
      </c>
      <c r="AF587" s="82">
        <v>2</v>
      </c>
      <c r="AG587" s="82">
        <v>2</v>
      </c>
      <c r="AH587" s="82">
        <v>1</v>
      </c>
      <c r="AI587" s="82">
        <v>3.0000000000291038</v>
      </c>
      <c r="AJ587" s="166">
        <v>2.2281300000000002</v>
      </c>
      <c r="AK587" s="82" t="str">
        <v>Base</v>
      </c>
      <c r="AL587" s="162">
        <v>-2.25</v>
      </c>
      <c r="AM587" s="162">
        <v>-4.5041623974577867</v>
      </c>
      <c r="AN587" s="162">
        <v>-1.7626175399705333</v>
      </c>
      <c r="AO587" s="162">
        <v>47.999993069658451</v>
      </c>
      <c r="AP587" s="162">
        <v>0</v>
      </c>
      <c r="AQ587" s="162">
        <v>0</v>
      </c>
      <c r="AR587" s="710" t="str">
        <v>32193r1.par</v>
      </c>
      <c r="AV587" s="82" t="str">
        <v>255,255,91</v>
      </c>
      <c r="AW587" s="947">
        <v>47.999993069658451</v>
      </c>
      <c r="AX587" s="947">
        <v>47.999993069658451</v>
      </c>
      <c r="AY587" s="947">
        <v>0</v>
      </c>
    </row>
    <row r="588" spans="31:51" x14ac:dyDescent="0.25">
      <c r="AE588" s="75">
        <v>2.222</v>
      </c>
      <c r="AF588" s="82">
        <v>2</v>
      </c>
      <c r="AG588" s="82">
        <v>2</v>
      </c>
      <c r="AH588" s="82">
        <v>1</v>
      </c>
      <c r="AI588" s="82">
        <v>2.999999999992724</v>
      </c>
      <c r="AJ588" s="166">
        <v>2.2221299999999999</v>
      </c>
      <c r="AK588" s="82" t="str">
        <v>Base</v>
      </c>
      <c r="AL588" s="162">
        <v>-2.25</v>
      </c>
      <c r="AM588" s="162">
        <v>-3.9192729222602507</v>
      </c>
      <c r="AN588" s="162">
        <v>-1.2818873939019713</v>
      </c>
      <c r="AO588" s="162">
        <v>26.999996101682878</v>
      </c>
      <c r="AP588" s="162">
        <v>0</v>
      </c>
      <c r="AQ588" s="162">
        <v>0</v>
      </c>
      <c r="AR588" s="710" t="str">
        <v>32193r1.par</v>
      </c>
      <c r="AV588" s="82" t="str">
        <v>255,255,91</v>
      </c>
      <c r="AW588" s="947">
        <v>26.999996101682878</v>
      </c>
      <c r="AX588" s="947">
        <v>26.999996101682878</v>
      </c>
      <c r="AY588" s="947">
        <v>0</v>
      </c>
    </row>
    <row r="589" spans="31:51" x14ac:dyDescent="0.25">
      <c r="AE589" s="75">
        <v>2.2160000000000002</v>
      </c>
      <c r="AF589" s="82">
        <v>2</v>
      </c>
      <c r="AG589" s="82">
        <v>2</v>
      </c>
      <c r="AH589" s="82">
        <v>1</v>
      </c>
      <c r="AI589" s="82">
        <v>3.0000000000291038</v>
      </c>
      <c r="AJ589" s="166">
        <v>2.2161300000000002</v>
      </c>
      <c r="AK589" s="82" t="str">
        <v>Base</v>
      </c>
      <c r="AL589" s="162">
        <v>-2.25</v>
      </c>
      <c r="AM589" s="162">
        <v>-3.1937190736100054</v>
      </c>
      <c r="AN589" s="162">
        <v>-1.0420823260440593</v>
      </c>
      <c r="AO589" s="162">
        <v>5.9999991337073082</v>
      </c>
      <c r="AP589" s="162">
        <v>0</v>
      </c>
      <c r="AQ589" s="162">
        <v>0</v>
      </c>
      <c r="AR589" s="710" t="str">
        <v>32193r1.par</v>
      </c>
      <c r="AV589" s="82" t="str">
        <v>255,255,91</v>
      </c>
      <c r="AW589" s="947">
        <v>5.9999991337073082</v>
      </c>
      <c r="AX589" s="947">
        <v>5.9999991337073082</v>
      </c>
      <c r="AY589" s="947">
        <v>0</v>
      </c>
    </row>
    <row r="590" spans="31:51" x14ac:dyDescent="0.25">
      <c r="AE590" s="75">
        <v>2.1459999999999999</v>
      </c>
      <c r="AF590" s="82">
        <v>2</v>
      </c>
      <c r="AG590" s="82">
        <v>1</v>
      </c>
      <c r="AH590" s="82">
        <v>1</v>
      </c>
      <c r="AI590" s="82">
        <v>2.999999999992724</v>
      </c>
      <c r="AJ590" s="166">
        <v>2.1461299999999999</v>
      </c>
      <c r="AK590" s="82" t="str">
        <v>Base</v>
      </c>
      <c r="AL590" s="162">
        <v>-1.5</v>
      </c>
      <c r="AM590" s="162">
        <v>-5.0550887932628417</v>
      </c>
      <c r="AN590" s="162">
        <v>-3.9203116424407565</v>
      </c>
      <c r="AO590" s="162">
        <v>84.97011741683842</v>
      </c>
      <c r="AP590" s="162">
        <v>-29.785208788526894</v>
      </c>
      <c r="AQ590" s="162">
        <v>0</v>
      </c>
      <c r="AR590" s="710" t="str">
        <v>1613.par</v>
      </c>
      <c r="AV590" s="82" t="str">
        <v>204,204,0</v>
      </c>
      <c r="AW590" s="947">
        <v>84.97011741683842</v>
      </c>
      <c r="AX590" s="947">
        <v>84.97011741683842</v>
      </c>
      <c r="AY590" s="947">
        <v>0</v>
      </c>
    </row>
    <row r="591" spans="31:51" x14ac:dyDescent="0.25">
      <c r="AE591" s="75">
        <v>2.14</v>
      </c>
      <c r="AF591" s="82">
        <v>2</v>
      </c>
      <c r="AG591" s="82">
        <v>1</v>
      </c>
      <c r="AH591" s="82">
        <v>1</v>
      </c>
      <c r="AI591" s="82">
        <v>2.999999999992724</v>
      </c>
      <c r="AJ591" s="166">
        <v>2.1401300000000001</v>
      </c>
      <c r="AK591" s="82" t="str">
        <v>Base</v>
      </c>
      <c r="AL591" s="162">
        <v>-1.5</v>
      </c>
      <c r="AM591" s="162">
        <v>-5.0270040657372688</v>
      </c>
      <c r="AN591" s="162">
        <v>-3.1689083635256194</v>
      </c>
      <c r="AO591" s="162">
        <v>84.969949372155938</v>
      </c>
      <c r="AP591" s="162">
        <v>-29.784116024848295</v>
      </c>
      <c r="AQ591" s="162">
        <v>0</v>
      </c>
      <c r="AR591" s="710" t="str">
        <v>1613.par</v>
      </c>
      <c r="AV591" s="82" t="str">
        <v>204,204,0</v>
      </c>
      <c r="AW591" s="947">
        <v>84.969949372155938</v>
      </c>
      <c r="AX591" s="947">
        <v>84.969949372155938</v>
      </c>
      <c r="AY591" s="947">
        <v>0</v>
      </c>
    </row>
    <row r="592" spans="31:51" x14ac:dyDescent="0.25">
      <c r="AE592" s="75">
        <v>2.1339999999999999</v>
      </c>
      <c r="AF592" s="82">
        <v>2</v>
      </c>
      <c r="AG592" s="82">
        <v>1</v>
      </c>
      <c r="AH592" s="82">
        <v>1</v>
      </c>
      <c r="AI592" s="82">
        <v>2.999999999992724</v>
      </c>
      <c r="AJ592" s="166">
        <v>2.1341299999999999</v>
      </c>
      <c r="AK592" s="82" t="str">
        <v>Base</v>
      </c>
      <c r="AL592" s="162">
        <v>-1.5</v>
      </c>
      <c r="AM592" s="162">
        <v>-4.9033194043169575</v>
      </c>
      <c r="AN592" s="162">
        <v>-2.4134686474362472</v>
      </c>
      <c r="AO592" s="162">
        <v>66.440489504246187</v>
      </c>
      <c r="AP592" s="162">
        <v>-25.793602252313281</v>
      </c>
      <c r="AQ592" s="162">
        <v>0</v>
      </c>
      <c r="AR592" s="710" t="str">
        <v>1613.par</v>
      </c>
      <c r="AV592" s="82" t="str">
        <v>204,204,0</v>
      </c>
      <c r="AW592" s="947">
        <v>66.440489504246187</v>
      </c>
      <c r="AX592" s="947">
        <v>66.440489504246187</v>
      </c>
      <c r="AY592" s="947">
        <v>0</v>
      </c>
    </row>
    <row r="593" spans="31:51" x14ac:dyDescent="0.25">
      <c r="AE593" s="75">
        <v>2.1280000000000001</v>
      </c>
      <c r="AF593" s="82">
        <v>2</v>
      </c>
      <c r="AG593" s="82">
        <v>1</v>
      </c>
      <c r="AH593" s="82">
        <v>1</v>
      </c>
      <c r="AI593" s="82">
        <v>2.999999999992724</v>
      </c>
      <c r="AJ593" s="166">
        <v>2.1281300000000001</v>
      </c>
      <c r="AK593" s="82" t="str">
        <v>Base</v>
      </c>
      <c r="AL593" s="162">
        <v>-1.5</v>
      </c>
      <c r="AM593" s="162">
        <v>-4.5186798771013077</v>
      </c>
      <c r="AN593" s="162">
        <v>-1.7517352833025843</v>
      </c>
      <c r="AO593" s="162">
        <v>47.834713669325687</v>
      </c>
      <c r="AP593" s="162">
        <v>-21.816944784593154</v>
      </c>
      <c r="AQ593" s="162">
        <v>0</v>
      </c>
      <c r="AR593" s="710" t="str">
        <v>1613.par</v>
      </c>
      <c r="AV593" s="82" t="str">
        <v>204,204,0</v>
      </c>
      <c r="AW593" s="947">
        <v>47.834713669325687</v>
      </c>
      <c r="AX593" s="947">
        <v>47.834713669325687</v>
      </c>
      <c r="AY593" s="947">
        <v>0</v>
      </c>
    </row>
    <row r="594" spans="31:51" x14ac:dyDescent="0.25">
      <c r="AE594" s="75">
        <v>2.1219999999999999</v>
      </c>
      <c r="AF594" s="82">
        <v>2</v>
      </c>
      <c r="AG594" s="82">
        <v>1</v>
      </c>
      <c r="AH594" s="82">
        <v>1</v>
      </c>
      <c r="AI594" s="82">
        <v>2.999999999992724</v>
      </c>
      <c r="AJ594" s="166">
        <v>2.1221299999999998</v>
      </c>
      <c r="AK594" s="82" t="str">
        <v>Base</v>
      </c>
      <c r="AL594" s="162">
        <v>-1.5</v>
      </c>
      <c r="AM594" s="162">
        <v>-3.923195158347927</v>
      </c>
      <c r="AN594" s="162">
        <v>-1.2702772225499013</v>
      </c>
      <c r="AO594" s="162">
        <v>29.091158349317926</v>
      </c>
      <c r="AP594" s="162">
        <v>-17.860607850540081</v>
      </c>
      <c r="AQ594" s="162">
        <v>0</v>
      </c>
      <c r="AR594" s="710" t="str">
        <v>1613.par</v>
      </c>
      <c r="AV594" s="82" t="str">
        <v>204,204,0</v>
      </c>
      <c r="AW594" s="947">
        <v>29.091158349317926</v>
      </c>
      <c r="AX594" s="947">
        <v>29.091158349317926</v>
      </c>
      <c r="AY594" s="947">
        <v>0</v>
      </c>
    </row>
    <row r="595" spans="31:51" x14ac:dyDescent="0.25">
      <c r="AE595" s="75">
        <v>2.1160000000000001</v>
      </c>
      <c r="AF595" s="82">
        <v>2</v>
      </c>
      <c r="AG595" s="82">
        <v>1</v>
      </c>
      <c r="AH595" s="82">
        <v>1</v>
      </c>
      <c r="AI595" s="82">
        <v>2.999999999992724</v>
      </c>
      <c r="AJ595" s="166">
        <v>2.1161300000000001</v>
      </c>
      <c r="AK595" s="82" t="str">
        <v>Base</v>
      </c>
      <c r="AL595" s="162">
        <v>-1.5</v>
      </c>
      <c r="AM595" s="162">
        <v>-3.1946027962538608</v>
      </c>
      <c r="AN595" s="162">
        <v>-1.0322968803981987</v>
      </c>
      <c r="AO595" s="162">
        <v>10.242376499105918</v>
      </c>
      <c r="AP595" s="162">
        <v>-15.635007982189849</v>
      </c>
      <c r="AQ595" s="162">
        <v>0</v>
      </c>
      <c r="AR595" s="710" t="str">
        <v>1613 Ripper.par</v>
      </c>
      <c r="AV595" s="82" t="str">
        <v>204,204,0</v>
      </c>
      <c r="AW595" s="947">
        <v>10.242376499105918</v>
      </c>
      <c r="AX595" s="947">
        <v>10.242376499105918</v>
      </c>
      <c r="AY595" s="947">
        <v>0</v>
      </c>
    </row>
    <row r="596" spans="31:51" x14ac:dyDescent="0.25">
      <c r="AE596" s="75">
        <v>2.11</v>
      </c>
      <c r="AF596" s="82">
        <v>2</v>
      </c>
      <c r="AG596" s="82">
        <v>1</v>
      </c>
      <c r="AH596" s="82">
        <v>1</v>
      </c>
      <c r="AI596" s="82">
        <v>2.999999999992724</v>
      </c>
      <c r="AJ596" s="166">
        <v>2.1101299999999998</v>
      </c>
      <c r="AK596" s="82" t="str">
        <v>Base</v>
      </c>
      <c r="AL596" s="162">
        <v>-1.5</v>
      </c>
      <c r="AM596" s="162">
        <v>-2.4286205357576263</v>
      </c>
      <c r="AN596" s="162">
        <v>-1.0690880930456594</v>
      </c>
      <c r="AO596" s="162">
        <v>-8.604830320611164</v>
      </c>
      <c r="AP596" s="162">
        <v>-15.161593068640046</v>
      </c>
      <c r="AQ596" s="162">
        <v>0</v>
      </c>
      <c r="AR596" s="710" t="str">
        <v>1613 Ripper.par</v>
      </c>
      <c r="AV596" s="82" t="str">
        <v>204,204,0</v>
      </c>
      <c r="AW596" s="947">
        <v>-8.604830320611164</v>
      </c>
      <c r="AX596" s="947">
        <v>-8.604830320611164</v>
      </c>
      <c r="AY596" s="947">
        <v>0</v>
      </c>
    </row>
    <row r="597" spans="31:51" x14ac:dyDescent="0.25">
      <c r="AE597" s="75">
        <v>1.2529999999999999</v>
      </c>
      <c r="AF597" s="82">
        <v>1</v>
      </c>
      <c r="AG597" s="82">
        <v>2</v>
      </c>
      <c r="AH597" s="82">
        <v>1</v>
      </c>
      <c r="AI597" s="82">
        <v>2.999999999992724</v>
      </c>
      <c r="AJ597" s="166">
        <v>1.2531299999999999</v>
      </c>
      <c r="AK597" s="82" t="str">
        <v>Base</v>
      </c>
      <c r="AL597" s="162">
        <v>-0.75</v>
      </c>
      <c r="AM597" s="162">
        <v>-5.1223779559634792</v>
      </c>
      <c r="AN597" s="162">
        <v>-10.486606305805282</v>
      </c>
      <c r="AO597" s="162">
        <v>100.03561890671624</v>
      </c>
      <c r="AP597" s="162">
        <v>-39.831236627249616</v>
      </c>
      <c r="AQ597" s="162">
        <v>0</v>
      </c>
      <c r="AR597" s="710" t="str">
        <v>1313.par</v>
      </c>
      <c r="AV597" s="82" t="str">
        <v>255,188,121</v>
      </c>
      <c r="AW597" s="947">
        <v>100.03561890671624</v>
      </c>
      <c r="AX597" s="947">
        <v>100.03561890671624</v>
      </c>
      <c r="AY597" s="947">
        <v>0</v>
      </c>
    </row>
    <row r="598" spans="31:51" x14ac:dyDescent="0.25">
      <c r="AE598" s="75">
        <v>1.2470000000000001</v>
      </c>
      <c r="AF598" s="82">
        <v>1</v>
      </c>
      <c r="AG598" s="82">
        <v>2</v>
      </c>
      <c r="AH598" s="82">
        <v>1</v>
      </c>
      <c r="AI598" s="82">
        <v>3.0000000000109139</v>
      </c>
      <c r="AJ598" s="166">
        <v>1.2471300000000001</v>
      </c>
      <c r="AK598" s="82" t="str">
        <v>Base</v>
      </c>
      <c r="AL598" s="162">
        <v>-0.75</v>
      </c>
      <c r="AM598" s="162">
        <v>-5.0208747946625891</v>
      </c>
      <c r="AN598" s="162">
        <v>-4.1077976137071124</v>
      </c>
      <c r="AO598" s="162">
        <v>89.999987005609597</v>
      </c>
      <c r="AP598" s="162">
        <v>0</v>
      </c>
      <c r="AQ598" s="162">
        <v>0</v>
      </c>
      <c r="AR598" s="710" t="str">
        <v>32193r1.par</v>
      </c>
      <c r="AV598" s="82" t="str">
        <v>255,188,121</v>
      </c>
      <c r="AW598" s="947">
        <v>89.999987005609597</v>
      </c>
      <c r="AX598" s="947">
        <v>89.999987005609597</v>
      </c>
      <c r="AY598" s="947">
        <v>0</v>
      </c>
    </row>
    <row r="599" spans="31:51" x14ac:dyDescent="0.25">
      <c r="AE599" s="75">
        <v>1.2410000000000001</v>
      </c>
      <c r="AF599" s="82">
        <v>1</v>
      </c>
      <c r="AG599" s="82">
        <v>2</v>
      </c>
      <c r="AH599" s="82">
        <v>1</v>
      </c>
      <c r="AI599" s="82">
        <v>3.0000000000109139</v>
      </c>
      <c r="AJ599" s="166">
        <v>1.2411300000000001</v>
      </c>
      <c r="AK599" s="82" t="str">
        <v>Base</v>
      </c>
      <c r="AL599" s="162">
        <v>-0.75</v>
      </c>
      <c r="AM599" s="162">
        <v>-4.9927899012947687</v>
      </c>
      <c r="AN599" s="162">
        <v>-3.3564153699528094</v>
      </c>
      <c r="AO599" s="162">
        <v>89.999987005609611</v>
      </c>
      <c r="AP599" s="162">
        <v>0</v>
      </c>
      <c r="AQ599" s="162">
        <v>0</v>
      </c>
      <c r="AR599" s="710" t="str">
        <v>32193r1.par</v>
      </c>
      <c r="AV599" s="82" t="str">
        <v>255,188,121</v>
      </c>
      <c r="AW599" s="947">
        <v>89.999987005609611</v>
      </c>
      <c r="AX599" s="947">
        <v>89.999987005609611</v>
      </c>
      <c r="AY599" s="947">
        <v>0</v>
      </c>
    </row>
    <row r="600" spans="31:51" x14ac:dyDescent="0.25">
      <c r="AE600" s="75">
        <v>1.2350000000000001</v>
      </c>
      <c r="AF600" s="82">
        <v>1</v>
      </c>
      <c r="AG600" s="82">
        <v>2</v>
      </c>
      <c r="AH600" s="82">
        <v>1</v>
      </c>
      <c r="AI600" s="82">
        <v>3.0000000000109139</v>
      </c>
      <c r="AJ600" s="166">
        <v>1.2351300000000001</v>
      </c>
      <c r="AK600" s="82" t="str">
        <v>Base</v>
      </c>
      <c r="AL600" s="162">
        <v>-0.75</v>
      </c>
      <c r="AM600" s="162">
        <v>-4.9655836720076438</v>
      </c>
      <c r="AN600" s="162">
        <v>-2.5850220210197574</v>
      </c>
      <c r="AO600" s="162">
        <v>69.566043588691343</v>
      </c>
      <c r="AP600" s="162">
        <v>-31.467894876304182</v>
      </c>
      <c r="AQ600" s="162">
        <v>0</v>
      </c>
      <c r="AR600" s="710" t="str">
        <v>1313.par</v>
      </c>
      <c r="AV600" s="82" t="str">
        <v>255,188,121</v>
      </c>
      <c r="AW600" s="947">
        <v>69.566043588691343</v>
      </c>
      <c r="AX600" s="947">
        <v>69.566043588691343</v>
      </c>
      <c r="AY600" s="947">
        <v>0</v>
      </c>
    </row>
    <row r="601" spans="31:51" x14ac:dyDescent="0.25">
      <c r="AE601" s="75">
        <v>1.2290000000000001</v>
      </c>
      <c r="AF601" s="82">
        <v>1</v>
      </c>
      <c r="AG601" s="82">
        <v>2</v>
      </c>
      <c r="AH601" s="82">
        <v>1</v>
      </c>
      <c r="AI601" s="82">
        <v>3.0000000000109139</v>
      </c>
      <c r="AJ601" s="166">
        <v>1.2291300000000001</v>
      </c>
      <c r="AK601" s="82" t="str">
        <v>Base</v>
      </c>
      <c r="AL601" s="162">
        <v>-0.75</v>
      </c>
      <c r="AM601" s="162">
        <v>-4.6179594043500742</v>
      </c>
      <c r="AN601" s="162">
        <v>-1.8947238131582149</v>
      </c>
      <c r="AO601" s="162">
        <v>51.026324417745535</v>
      </c>
      <c r="AP601" s="162">
        <v>-27.48633572036287</v>
      </c>
      <c r="AQ601" s="162">
        <v>0</v>
      </c>
      <c r="AR601" s="710" t="str">
        <v>1313.par</v>
      </c>
      <c r="AV601" s="82" t="str">
        <v>255,188,121</v>
      </c>
      <c r="AW601" s="947">
        <v>51.026324417745535</v>
      </c>
      <c r="AX601" s="947">
        <v>51.026324417745535</v>
      </c>
      <c r="AY601" s="947">
        <v>0</v>
      </c>
    </row>
    <row r="602" spans="31:51" x14ac:dyDescent="0.25">
      <c r="AE602" s="75">
        <v>1.2230000000000001</v>
      </c>
      <c r="AF602" s="82">
        <v>1</v>
      </c>
      <c r="AG602" s="82">
        <v>2</v>
      </c>
      <c r="AH602" s="82">
        <v>1</v>
      </c>
      <c r="AI602" s="82">
        <v>3.0000000000109139</v>
      </c>
      <c r="AJ602" s="166">
        <v>1.2231300000000001</v>
      </c>
      <c r="AK602" s="82" t="str">
        <v>Base</v>
      </c>
      <c r="AL602" s="162">
        <v>-0.75</v>
      </c>
      <c r="AM602" s="162">
        <v>-4.0470214224005918</v>
      </c>
      <c r="AN602" s="162">
        <v>-1.3735409289453979</v>
      </c>
      <c r="AO602" s="162">
        <v>32.403257224374144</v>
      </c>
      <c r="AP602" s="162">
        <v>-23.52307731097898</v>
      </c>
      <c r="AQ602" s="162">
        <v>0</v>
      </c>
      <c r="AR602" s="710" t="str">
        <v>1313.par</v>
      </c>
      <c r="AV602" s="82" t="str">
        <v>255,188,121</v>
      </c>
      <c r="AW602" s="947">
        <v>32.403257224374144</v>
      </c>
      <c r="AX602" s="947">
        <v>32.403257224374144</v>
      </c>
      <c r="AY602" s="947">
        <v>0</v>
      </c>
    </row>
    <row r="603" spans="31:51" x14ac:dyDescent="0.25">
      <c r="AE603" s="75">
        <v>1.2170000000000001</v>
      </c>
      <c r="AF603" s="82">
        <v>1</v>
      </c>
      <c r="AG603" s="82">
        <v>2</v>
      </c>
      <c r="AH603" s="82">
        <v>1</v>
      </c>
      <c r="AI603" s="82">
        <v>3.0000000000109139</v>
      </c>
      <c r="AJ603" s="166">
        <v>1.21713</v>
      </c>
      <c r="AK603" s="82" t="str">
        <v>Base</v>
      </c>
      <c r="AL603" s="162">
        <v>-0.75</v>
      </c>
      <c r="AM603" s="162">
        <v>-3.3201755508845281</v>
      </c>
      <c r="AN603" s="162">
        <v>-1.1181635712138089</v>
      </c>
      <c r="AO603" s="162">
        <v>5.9999991337073153</v>
      </c>
      <c r="AP603" s="162">
        <v>0</v>
      </c>
      <c r="AQ603" s="162">
        <v>0</v>
      </c>
      <c r="AR603" s="710" t="str">
        <v>32193r1.par</v>
      </c>
      <c r="AV603" s="82" t="str">
        <v>255,188,121</v>
      </c>
      <c r="AW603" s="947">
        <v>5.9999991337073153</v>
      </c>
      <c r="AX603" s="947">
        <v>5.9999991337073153</v>
      </c>
      <c r="AY603" s="947">
        <v>0</v>
      </c>
    </row>
    <row r="604" spans="31:51" x14ac:dyDescent="0.25">
      <c r="AE604" s="75">
        <v>1.147</v>
      </c>
      <c r="AF604" s="82">
        <v>1</v>
      </c>
      <c r="AG604" s="82">
        <v>1</v>
      </c>
      <c r="AH604" s="82">
        <v>1</v>
      </c>
      <c r="AI604" s="82">
        <v>2.999999999992724</v>
      </c>
      <c r="AJ604" s="166">
        <v>1.14713</v>
      </c>
      <c r="AK604" s="82" t="str">
        <v>Base</v>
      </c>
      <c r="AL604" s="162">
        <v>0</v>
      </c>
      <c r="AM604" s="162">
        <v>-5.0550887932628417</v>
      </c>
      <c r="AN604" s="162">
        <v>-4.1010900760481199</v>
      </c>
      <c r="AO604" s="162">
        <v>84.970117416838434</v>
      </c>
      <c r="AP604" s="162">
        <v>-29.785208788526894</v>
      </c>
      <c r="AQ604" s="162">
        <v>0</v>
      </c>
      <c r="AR604" s="710" t="str">
        <v>1613.par</v>
      </c>
      <c r="AV604" s="82" t="str">
        <v>255,127,0</v>
      </c>
      <c r="AW604" s="947">
        <v>84.970117416838434</v>
      </c>
      <c r="AX604" s="947">
        <v>84.970117416838434</v>
      </c>
      <c r="AY604" s="947">
        <v>0</v>
      </c>
    </row>
    <row r="605" spans="31:51" x14ac:dyDescent="0.25">
      <c r="AE605" s="75">
        <v>1.141</v>
      </c>
      <c r="AF605" s="82">
        <v>1</v>
      </c>
      <c r="AG605" s="82">
        <v>1</v>
      </c>
      <c r="AH605" s="82">
        <v>1</v>
      </c>
      <c r="AI605" s="82">
        <v>2.999999999992724</v>
      </c>
      <c r="AJ605" s="166">
        <v>1.14113</v>
      </c>
      <c r="AK605" s="82" t="str">
        <v>Base</v>
      </c>
      <c r="AL605" s="162">
        <v>0</v>
      </c>
      <c r="AM605" s="162">
        <v>-5.0270040657372705</v>
      </c>
      <c r="AN605" s="162">
        <v>-3.349686797132982</v>
      </c>
      <c r="AO605" s="162">
        <v>84.96994937215598</v>
      </c>
      <c r="AP605" s="162">
        <v>-29.784116024848295</v>
      </c>
      <c r="AQ605" s="162">
        <v>0</v>
      </c>
      <c r="AR605" s="710" t="str">
        <v>1613.par</v>
      </c>
      <c r="AV605" s="82" t="str">
        <v>255,127,0</v>
      </c>
      <c r="AW605" s="947">
        <v>84.96994937215598</v>
      </c>
      <c r="AX605" s="947">
        <v>84.96994937215598</v>
      </c>
      <c r="AY605" s="947">
        <v>0</v>
      </c>
    </row>
    <row r="606" spans="31:51" x14ac:dyDescent="0.25">
      <c r="AE606" s="75">
        <v>1.135</v>
      </c>
      <c r="AF606" s="82">
        <v>1</v>
      </c>
      <c r="AG606" s="82">
        <v>1</v>
      </c>
      <c r="AH606" s="82">
        <v>1</v>
      </c>
      <c r="AI606" s="82">
        <v>2.999999999992724</v>
      </c>
      <c r="AJ606" s="166">
        <v>1.13513</v>
      </c>
      <c r="AK606" s="82" t="str">
        <v>Base</v>
      </c>
      <c r="AL606" s="162">
        <v>0</v>
      </c>
      <c r="AM606" s="162">
        <v>-4.9429492165422184</v>
      </c>
      <c r="AN606" s="162">
        <v>-2.5907023273785144</v>
      </c>
      <c r="AO606" s="162">
        <v>69.53293472939626</v>
      </c>
      <c r="AP606" s="162">
        <v>-26.457837763909776</v>
      </c>
      <c r="AQ606" s="162">
        <v>0</v>
      </c>
      <c r="AR606" s="710" t="str">
        <v>1613.par</v>
      </c>
      <c r="AV606" s="82" t="str">
        <v>255,127,0</v>
      </c>
      <c r="AW606" s="947">
        <v>69.53293472939626</v>
      </c>
      <c r="AX606" s="947">
        <v>69.53293472939626</v>
      </c>
      <c r="AY606" s="947">
        <v>0</v>
      </c>
    </row>
    <row r="607" spans="31:51" x14ac:dyDescent="0.25">
      <c r="AE607" s="75">
        <v>1.129</v>
      </c>
      <c r="AF607" s="82">
        <v>1</v>
      </c>
      <c r="AG607" s="82">
        <v>1</v>
      </c>
      <c r="AH607" s="82">
        <v>1</v>
      </c>
      <c r="AI607" s="82">
        <v>2.999999999992724</v>
      </c>
      <c r="AJ607" s="166">
        <v>1.12913</v>
      </c>
      <c r="AK607" s="82" t="str">
        <v>Base</v>
      </c>
      <c r="AL607" s="162">
        <v>0</v>
      </c>
      <c r="AM607" s="162">
        <v>-4.599152845196758</v>
      </c>
      <c r="AN607" s="162">
        <v>-1.9068911744535861</v>
      </c>
      <c r="AO607" s="162">
        <v>50.943025181030578</v>
      </c>
      <c r="AP607" s="162">
        <v>-22.478543785706282</v>
      </c>
      <c r="AQ607" s="162">
        <v>0</v>
      </c>
      <c r="AR607" s="710" t="str">
        <v>1613.par</v>
      </c>
      <c r="AV607" s="82" t="str">
        <v>255,127,0</v>
      </c>
      <c r="AW607" s="947">
        <v>50.943025181030578</v>
      </c>
      <c r="AX607" s="947">
        <v>50.943025181030578</v>
      </c>
      <c r="AY607" s="947">
        <v>0</v>
      </c>
    </row>
    <row r="608" spans="31:51" x14ac:dyDescent="0.25">
      <c r="AE608" s="75">
        <v>1.123</v>
      </c>
      <c r="AF608" s="82">
        <v>1</v>
      </c>
      <c r="AG608" s="82">
        <v>1</v>
      </c>
      <c r="AH608" s="82">
        <v>1</v>
      </c>
      <c r="AI608" s="82">
        <v>2.999999999992724</v>
      </c>
      <c r="AJ608" s="166">
        <v>1.12313</v>
      </c>
      <c r="AK608" s="82" t="str">
        <v>Base</v>
      </c>
      <c r="AL608" s="162">
        <v>0</v>
      </c>
      <c r="AM608" s="162">
        <v>-4.0340922214204733</v>
      </c>
      <c r="AN608" s="162">
        <v>-1.3902096808515245</v>
      </c>
      <c r="AO608" s="162">
        <v>32.228901208944677</v>
      </c>
      <c r="AP608" s="162">
        <v>-18.518146153032774</v>
      </c>
      <c r="AQ608" s="162">
        <v>0</v>
      </c>
      <c r="AR608" s="710" t="str">
        <v>1613.par</v>
      </c>
      <c r="AV608" s="82" t="str">
        <v>255,127,0</v>
      </c>
      <c r="AW608" s="947">
        <v>32.228901208944677</v>
      </c>
      <c r="AX608" s="947">
        <v>32.228901208944677</v>
      </c>
      <c r="AY608" s="947">
        <v>0</v>
      </c>
    </row>
    <row r="609" spans="31:51" x14ac:dyDescent="0.25">
      <c r="AE609" s="75">
        <v>1.117</v>
      </c>
      <c r="AF609" s="82">
        <v>1</v>
      </c>
      <c r="AG609" s="82">
        <v>1</v>
      </c>
      <c r="AH609" s="82">
        <v>1</v>
      </c>
      <c r="AI609" s="82">
        <v>2.999999999992724</v>
      </c>
      <c r="AJ609" s="166">
        <v>1.11713</v>
      </c>
      <c r="AK609" s="82" t="str">
        <v>Base</v>
      </c>
      <c r="AL609" s="162">
        <v>0</v>
      </c>
      <c r="AM609" s="162">
        <v>-3.3213108411312309</v>
      </c>
      <c r="AN609" s="162">
        <v>-1.108478758877451</v>
      </c>
      <c r="AO609" s="162">
        <v>13.374429842880255</v>
      </c>
      <c r="AP609" s="162">
        <v>-15.719986249129448</v>
      </c>
      <c r="AQ609" s="162">
        <v>0</v>
      </c>
      <c r="AR609" s="710" t="str">
        <v>1613 Ripper.par</v>
      </c>
      <c r="AV609" s="82" t="str">
        <v>255,127,0</v>
      </c>
      <c r="AW609" s="947">
        <v>13.374429842880255</v>
      </c>
      <c r="AX609" s="947">
        <v>13.374429842880255</v>
      </c>
      <c r="AY609" s="947">
        <v>0</v>
      </c>
    </row>
    <row r="610" spans="31:51" x14ac:dyDescent="0.25">
      <c r="AE610" s="75">
        <v>1.111</v>
      </c>
      <c r="AF610" s="82">
        <v>1</v>
      </c>
      <c r="AG610" s="82">
        <v>1</v>
      </c>
      <c r="AH610" s="82">
        <v>1</v>
      </c>
      <c r="AI610" s="82">
        <v>2.999999999992724</v>
      </c>
      <c r="AJ610" s="166">
        <v>1.11113</v>
      </c>
      <c r="AK610" s="82" t="str">
        <v>Base</v>
      </c>
      <c r="AL610" s="162">
        <v>0</v>
      </c>
      <c r="AM610" s="162">
        <v>-2.5545423236824747</v>
      </c>
      <c r="AN610" s="162">
        <v>-1.0988569422935888</v>
      </c>
      <c r="AO610" s="162">
        <v>-5.4571267998021593</v>
      </c>
      <c r="AP610" s="162">
        <v>-15.23519930996278</v>
      </c>
      <c r="AQ610" s="162">
        <v>0</v>
      </c>
      <c r="AR610" s="710" t="str">
        <v>1613 Ripper.par</v>
      </c>
      <c r="AV610" s="82" t="str">
        <v>255,127,0</v>
      </c>
      <c r="AW610" s="947">
        <v>-5.4571267998021593</v>
      </c>
      <c r="AX610" s="947">
        <v>-5.4571267998021593</v>
      </c>
      <c r="AY610" s="947">
        <v>0</v>
      </c>
    </row>
    <row r="611" spans="31:51" x14ac:dyDescent="0.25">
      <c r="AE611" s="75">
        <v>1.107</v>
      </c>
      <c r="AF611" s="82">
        <v>1</v>
      </c>
      <c r="AG611" s="82">
        <v>1</v>
      </c>
      <c r="AH611" s="82">
        <v>1</v>
      </c>
      <c r="AI611" s="82">
        <v>2.999999999992724</v>
      </c>
      <c r="AJ611" s="166">
        <v>1.1071299999999999</v>
      </c>
      <c r="AK611" s="82" t="str">
        <v>Base</v>
      </c>
      <c r="AL611" s="162">
        <v>0</v>
      </c>
      <c r="AM611" s="162">
        <v>-1.8451111286626787</v>
      </c>
      <c r="AN611" s="162">
        <v>-1.2793919901140263</v>
      </c>
      <c r="AO611" s="162">
        <v>-12.188363844259069</v>
      </c>
      <c r="AP611" s="162">
        <v>-15.1154526663362</v>
      </c>
      <c r="AQ611" s="162">
        <v>0</v>
      </c>
      <c r="AR611" s="710" t="str">
        <v>1613 Ripper.par</v>
      </c>
      <c r="AV611" s="82" t="str">
        <v>255,127,0</v>
      </c>
      <c r="AW611" s="947">
        <v>-12.188363844259069</v>
      </c>
      <c r="AX611" s="947">
        <v>-12.188363844259069</v>
      </c>
      <c r="AY611" s="947">
        <v>0</v>
      </c>
    </row>
    <row r="612" spans="31:51" x14ac:dyDescent="0.25">
      <c r="AE612" s="75">
        <v>1.1040000000000001</v>
      </c>
      <c r="AF612" s="82">
        <v>1</v>
      </c>
      <c r="AG612" s="82">
        <v>1</v>
      </c>
      <c r="AH612" s="82">
        <v>1</v>
      </c>
      <c r="AI612" s="82">
        <v>3.0000000000109139</v>
      </c>
      <c r="AJ612" s="166">
        <v>1.1041300000000001</v>
      </c>
      <c r="AK612" s="82" t="str">
        <v>Base</v>
      </c>
      <c r="AL612" s="162">
        <v>0</v>
      </c>
      <c r="AM612" s="162">
        <v>-1.117872544258617</v>
      </c>
      <c r="AN612" s="162">
        <v>-1.4737510791718658</v>
      </c>
      <c r="AO612" s="162">
        <v>-13.592723484172373</v>
      </c>
      <c r="AP612" s="162">
        <v>-15.202531777354526</v>
      </c>
      <c r="AQ612" s="162">
        <v>0</v>
      </c>
      <c r="AR612" s="710" t="str">
        <v>1613 Ripper.par</v>
      </c>
      <c r="AV612" s="82" t="str">
        <v>255,127,0</v>
      </c>
      <c r="AW612" s="947">
        <v>-13.592723484172373</v>
      </c>
      <c r="AX612" s="947">
        <v>-13.592723484172373</v>
      </c>
      <c r="AY612" s="947">
        <v>0</v>
      </c>
    </row>
    <row r="613" spans="31:51" x14ac:dyDescent="0.25">
      <c r="AE613" s="75">
        <v>1.101</v>
      </c>
      <c r="AF613" s="82">
        <v>1</v>
      </c>
      <c r="AG613" s="82">
        <v>1</v>
      </c>
      <c r="AH613" s="82">
        <v>1</v>
      </c>
      <c r="AI613" s="82">
        <v>2.999999999992724</v>
      </c>
      <c r="AJ613" s="166">
        <v>1.1011299999999999</v>
      </c>
      <c r="AK613" s="82" t="str">
        <v>Base</v>
      </c>
      <c r="AL613" s="162">
        <v>0</v>
      </c>
      <c r="AM613" s="162">
        <v>-0.34590084040938435</v>
      </c>
      <c r="AN613" s="162">
        <v>-1.6794405376821233</v>
      </c>
      <c r="AO613" s="162">
        <v>-18.141294048916745</v>
      </c>
      <c r="AP613" s="162">
        <v>-20.759298132405352</v>
      </c>
      <c r="AQ613" s="162">
        <v>0</v>
      </c>
      <c r="AR613" s="710" t="str">
        <v>1613.par</v>
      </c>
      <c r="AV613" s="82" t="str">
        <v>255,127,0</v>
      </c>
      <c r="AW613" s="947">
        <v>-18.141294048916745</v>
      </c>
      <c r="AX613" s="947">
        <v>-18.141294048916745</v>
      </c>
      <c r="AY613" s="947">
        <v>0</v>
      </c>
    </row>
    <row r="614" spans="31:51" x14ac:dyDescent="0.25">
      <c r="AE614" s="75">
        <v>6.2539999999999996</v>
      </c>
      <c r="AF614" s="82">
        <v>6</v>
      </c>
      <c r="AG614" s="82">
        <v>2</v>
      </c>
      <c r="AH614" s="82">
        <v>2</v>
      </c>
      <c r="AI614" s="82">
        <v>2.9999999999563443</v>
      </c>
      <c r="AJ614" s="166">
        <v>6.2542299999999997</v>
      </c>
      <c r="AK614" s="82">
        <v>6.25413</v>
      </c>
      <c r="AL614" s="162">
        <v>0</v>
      </c>
      <c r="AM614" s="162">
        <v>0</v>
      </c>
      <c r="AN614" s="162">
        <v>0</v>
      </c>
      <c r="AO614" s="162">
        <v>0</v>
      </c>
      <c r="AP614" s="162">
        <v>0</v>
      </c>
      <c r="AQ614" s="162">
        <v>0</v>
      </c>
      <c r="AR614" s="710" t="str">
        <v>1313.par</v>
      </c>
      <c r="AV614" s="82" t="str">
        <v>188,121,255</v>
      </c>
      <c r="AW614" s="947">
        <v>100.03561890671624</v>
      </c>
      <c r="AX614" s="947">
        <v>100.03561890671624</v>
      </c>
      <c r="AY614" s="947">
        <v>0</v>
      </c>
    </row>
    <row r="615" spans="31:51" x14ac:dyDescent="0.25">
      <c r="AE615" s="75">
        <v>6.2480000000000002</v>
      </c>
      <c r="AF615" s="82">
        <v>6</v>
      </c>
      <c r="AG615" s="82">
        <v>2</v>
      </c>
      <c r="AH615" s="82">
        <v>2</v>
      </c>
      <c r="AI615" s="82">
        <v>3.0000000000291038</v>
      </c>
      <c r="AJ615" s="166">
        <v>6.2482300000000004</v>
      </c>
      <c r="AK615" s="82">
        <v>6.2481300000000006</v>
      </c>
      <c r="AL615" s="162">
        <v>0</v>
      </c>
      <c r="AM615" s="162">
        <v>0</v>
      </c>
      <c r="AN615" s="162">
        <v>0</v>
      </c>
      <c r="AO615" s="162">
        <v>0</v>
      </c>
      <c r="AP615" s="162">
        <v>0</v>
      </c>
      <c r="AQ615" s="162">
        <v>0</v>
      </c>
      <c r="AR615" s="710" t="str">
        <v>32193r1.par</v>
      </c>
      <c r="AV615" s="82" t="str">
        <v>188,121,255</v>
      </c>
      <c r="AW615" s="947">
        <v>89.999987005609597</v>
      </c>
      <c r="AX615" s="947">
        <v>89.999987005609597</v>
      </c>
      <c r="AY615" s="947">
        <v>0</v>
      </c>
    </row>
    <row r="616" spans="31:51" x14ac:dyDescent="0.25">
      <c r="AE616" s="75">
        <v>6.242</v>
      </c>
      <c r="AF616" s="82">
        <v>6</v>
      </c>
      <c r="AG616" s="82">
        <v>2</v>
      </c>
      <c r="AH616" s="82">
        <v>2</v>
      </c>
      <c r="AI616" s="82">
        <v>3.0000000000291038</v>
      </c>
      <c r="AJ616" s="166">
        <v>6.2422300000000002</v>
      </c>
      <c r="AK616" s="82">
        <v>6.2421300000000004</v>
      </c>
      <c r="AL616" s="162">
        <v>0</v>
      </c>
      <c r="AM616" s="162">
        <v>0</v>
      </c>
      <c r="AN616" s="162">
        <v>0</v>
      </c>
      <c r="AO616" s="162">
        <v>0</v>
      </c>
      <c r="AP616" s="162">
        <v>0</v>
      </c>
      <c r="AQ616" s="162">
        <v>0</v>
      </c>
      <c r="AR616" s="710" t="str">
        <v>32193r1.par</v>
      </c>
      <c r="AV616" s="82" t="str">
        <v>188,121,255</v>
      </c>
      <c r="AW616" s="947">
        <v>89.999987005609626</v>
      </c>
      <c r="AX616" s="947">
        <v>89.999987005609626</v>
      </c>
      <c r="AY616" s="947">
        <v>0</v>
      </c>
    </row>
    <row r="617" spans="31:51" x14ac:dyDescent="0.25">
      <c r="AE617" s="75">
        <v>6.2359999999999998</v>
      </c>
      <c r="AF617" s="82">
        <v>6</v>
      </c>
      <c r="AG617" s="82">
        <v>2</v>
      </c>
      <c r="AH617" s="82">
        <v>2</v>
      </c>
      <c r="AI617" s="82">
        <v>3.0000000000291038</v>
      </c>
      <c r="AJ617" s="166">
        <v>6.2362299999999999</v>
      </c>
      <c r="AK617" s="82">
        <v>6.2361300000000002</v>
      </c>
      <c r="AL617" s="162">
        <v>0</v>
      </c>
      <c r="AM617" s="162">
        <v>0</v>
      </c>
      <c r="AN617" s="162">
        <v>0</v>
      </c>
      <c r="AO617" s="162">
        <v>0</v>
      </c>
      <c r="AP617" s="162">
        <v>0</v>
      </c>
      <c r="AQ617" s="162">
        <v>0</v>
      </c>
      <c r="AR617" s="710" t="str">
        <v>32193r1.par</v>
      </c>
      <c r="AV617" s="82" t="str">
        <v>188,121,255</v>
      </c>
      <c r="AW617" s="947">
        <v>75.999989026959227</v>
      </c>
      <c r="AX617" s="947">
        <v>75.999989026959227</v>
      </c>
      <c r="AY617" s="947">
        <v>0</v>
      </c>
    </row>
    <row r="618" spans="31:51" x14ac:dyDescent="0.25">
      <c r="AE618" s="75">
        <v>6.23</v>
      </c>
      <c r="AF618" s="82">
        <v>6</v>
      </c>
      <c r="AG618" s="82">
        <v>2</v>
      </c>
      <c r="AH618" s="82">
        <v>2</v>
      </c>
      <c r="AI618" s="82">
        <v>3.0000000000291038</v>
      </c>
      <c r="AJ618" s="166">
        <v>6.2302300000000006</v>
      </c>
      <c r="AK618" s="82">
        <v>6.2301300000000008</v>
      </c>
      <c r="AL618" s="162">
        <v>0</v>
      </c>
      <c r="AM618" s="162">
        <v>0</v>
      </c>
      <c r="AN618" s="162">
        <v>0</v>
      </c>
      <c r="AO618" s="162">
        <v>0</v>
      </c>
      <c r="AP618" s="162">
        <v>0</v>
      </c>
      <c r="AQ618" s="162">
        <v>0</v>
      </c>
      <c r="AR618" s="710" t="str">
        <v>32193r1.par</v>
      </c>
      <c r="AV618" s="82" t="str">
        <v>188,121,255</v>
      </c>
      <c r="AW618" s="947">
        <v>54.999992058983658</v>
      </c>
      <c r="AX618" s="947">
        <v>54.999992058983658</v>
      </c>
      <c r="AY618" s="947">
        <v>0</v>
      </c>
    </row>
    <row r="619" spans="31:51" x14ac:dyDescent="0.25">
      <c r="AE619" s="75">
        <v>6.2240000000000002</v>
      </c>
      <c r="AF619" s="82">
        <v>6</v>
      </c>
      <c r="AG619" s="82">
        <v>2</v>
      </c>
      <c r="AH619" s="82">
        <v>2</v>
      </c>
      <c r="AI619" s="82">
        <v>3.0000000000291038</v>
      </c>
      <c r="AJ619" s="166">
        <v>6.2242300000000004</v>
      </c>
      <c r="AK619" s="82">
        <v>6.2241300000000006</v>
      </c>
      <c r="AL619" s="162">
        <v>0</v>
      </c>
      <c r="AM619" s="162">
        <v>0</v>
      </c>
      <c r="AN619" s="162">
        <v>0</v>
      </c>
      <c r="AO619" s="162">
        <v>0</v>
      </c>
      <c r="AP619" s="162">
        <v>0</v>
      </c>
      <c r="AQ619" s="162">
        <v>0</v>
      </c>
      <c r="AR619" s="710" t="str">
        <v>32193r1.par</v>
      </c>
      <c r="AV619" s="82" t="str">
        <v>188,121,255</v>
      </c>
      <c r="AW619" s="947">
        <v>33.999995091008067</v>
      </c>
      <c r="AX619" s="947">
        <v>33.999995091008067</v>
      </c>
      <c r="AY619" s="947">
        <v>0</v>
      </c>
    </row>
    <row r="620" spans="31:51" x14ac:dyDescent="0.25">
      <c r="AE620" s="75">
        <v>6.218</v>
      </c>
      <c r="AF620" s="82">
        <v>6</v>
      </c>
      <c r="AG620" s="82">
        <v>2</v>
      </c>
      <c r="AH620" s="82">
        <v>2</v>
      </c>
      <c r="AI620" s="82">
        <v>3.0000000000291038</v>
      </c>
      <c r="AJ620" s="166">
        <v>6.2182300000000001</v>
      </c>
      <c r="AK620" s="82">
        <v>6.2181300000000004</v>
      </c>
      <c r="AL620" s="162">
        <v>0</v>
      </c>
      <c r="AM620" s="162">
        <v>0</v>
      </c>
      <c r="AN620" s="162">
        <v>0</v>
      </c>
      <c r="AO620" s="162">
        <v>0</v>
      </c>
      <c r="AP620" s="162">
        <v>0</v>
      </c>
      <c r="AQ620" s="162">
        <v>0</v>
      </c>
      <c r="AR620" s="710" t="str">
        <v>32193r1.par</v>
      </c>
      <c r="AV620" s="82" t="str">
        <v>188,121,255</v>
      </c>
      <c r="AW620" s="947">
        <v>12.999998123032499</v>
      </c>
      <c r="AX620" s="947">
        <v>12.999998123032499</v>
      </c>
      <c r="AY620" s="947">
        <v>0</v>
      </c>
    </row>
    <row r="621" spans="31:51" x14ac:dyDescent="0.25">
      <c r="AE621" s="75">
        <v>6.1479999999999997</v>
      </c>
      <c r="AF621" s="82">
        <v>6</v>
      </c>
      <c r="AG621" s="82">
        <v>1</v>
      </c>
      <c r="AH621" s="82">
        <v>2</v>
      </c>
      <c r="AI621" s="82">
        <v>2.9999999999563443</v>
      </c>
      <c r="AJ621" s="166">
        <v>6.1482299999999999</v>
      </c>
      <c r="AK621" s="82">
        <v>6.1481300000000001</v>
      </c>
      <c r="AL621" s="162">
        <v>0</v>
      </c>
      <c r="AM621" s="162">
        <v>0</v>
      </c>
      <c r="AN621" s="162">
        <v>0</v>
      </c>
      <c r="AO621" s="162">
        <v>0</v>
      </c>
      <c r="AP621" s="162">
        <v>0</v>
      </c>
      <c r="AQ621" s="162">
        <v>0</v>
      </c>
      <c r="AR621" s="710" t="str">
        <v>1613.par</v>
      </c>
      <c r="AV621" s="82" t="str">
        <v>127,0,255</v>
      </c>
      <c r="AW621" s="947">
        <v>84.970117416838406</v>
      </c>
      <c r="AX621" s="947">
        <v>84.970117416838406</v>
      </c>
      <c r="AY621" s="947">
        <v>0</v>
      </c>
    </row>
    <row r="622" spans="31:51" x14ac:dyDescent="0.25">
      <c r="AE622" s="75">
        <v>6.1420000000000003</v>
      </c>
      <c r="AF622" s="82">
        <v>6</v>
      </c>
      <c r="AG622" s="82">
        <v>1</v>
      </c>
      <c r="AH622" s="82">
        <v>2</v>
      </c>
      <c r="AI622" s="82">
        <v>3.0000000000291038</v>
      </c>
      <c r="AJ622" s="166">
        <v>6.1422300000000005</v>
      </c>
      <c r="AK622" s="82">
        <v>6.1421300000000008</v>
      </c>
      <c r="AL622" s="162">
        <v>0</v>
      </c>
      <c r="AM622" s="162">
        <v>0</v>
      </c>
      <c r="AN622" s="162">
        <v>0</v>
      </c>
      <c r="AO622" s="162">
        <v>0</v>
      </c>
      <c r="AP622" s="162">
        <v>0</v>
      </c>
      <c r="AQ622" s="162">
        <v>0</v>
      </c>
      <c r="AR622" s="710" t="str">
        <v>1613.par</v>
      </c>
      <c r="AV622" s="82" t="str">
        <v>127,0,255</v>
      </c>
      <c r="AW622" s="947">
        <v>84.96994937215598</v>
      </c>
      <c r="AX622" s="947">
        <v>84.96994937215598</v>
      </c>
      <c r="AY622" s="947">
        <v>0</v>
      </c>
    </row>
    <row r="623" spans="31:51" x14ac:dyDescent="0.25">
      <c r="AE623" s="75">
        <v>6.1360000000000001</v>
      </c>
      <c r="AF623" s="82">
        <v>6</v>
      </c>
      <c r="AG623" s="82">
        <v>1</v>
      </c>
      <c r="AH623" s="82">
        <v>2</v>
      </c>
      <c r="AI623" s="82">
        <v>3.0000000000291038</v>
      </c>
      <c r="AJ623" s="166">
        <v>6.1362300000000003</v>
      </c>
      <c r="AK623" s="82">
        <v>6.1361300000000005</v>
      </c>
      <c r="AL623" s="162">
        <v>0</v>
      </c>
      <c r="AM623" s="162">
        <v>0</v>
      </c>
      <c r="AN623" s="162">
        <v>0</v>
      </c>
      <c r="AO623" s="162">
        <v>0</v>
      </c>
      <c r="AP623" s="162">
        <v>0</v>
      </c>
      <c r="AQ623" s="162">
        <v>0</v>
      </c>
      <c r="AR623" s="710" t="str">
        <v>1613.par</v>
      </c>
      <c r="AV623" s="82" t="str">
        <v>127,0,255</v>
      </c>
      <c r="AW623" s="947">
        <v>72.623499997444313</v>
      </c>
      <c r="AX623" s="947">
        <v>72.623499997444313</v>
      </c>
      <c r="AY623" s="947">
        <v>0</v>
      </c>
    </row>
    <row r="624" spans="31:51" x14ac:dyDescent="0.25">
      <c r="AE624" s="75">
        <v>6.13</v>
      </c>
      <c r="AF624" s="82">
        <v>6</v>
      </c>
      <c r="AG624" s="82">
        <v>1</v>
      </c>
      <c r="AH624" s="82">
        <v>2</v>
      </c>
      <c r="AI624" s="82">
        <v>3.0000000000291038</v>
      </c>
      <c r="AJ624" s="166">
        <v>6.1302300000000001</v>
      </c>
      <c r="AK624" s="82">
        <v>6.1301300000000003</v>
      </c>
      <c r="AL624" s="162">
        <v>0</v>
      </c>
      <c r="AM624" s="162">
        <v>0</v>
      </c>
      <c r="AN624" s="162">
        <v>0</v>
      </c>
      <c r="AO624" s="162">
        <v>0</v>
      </c>
      <c r="AP624" s="162">
        <v>0</v>
      </c>
      <c r="AQ624" s="162">
        <v>0</v>
      </c>
      <c r="AR624" s="710" t="str">
        <v>1613.par</v>
      </c>
      <c r="AV624" s="82" t="str">
        <v>127,0,255</v>
      </c>
      <c r="AW624" s="947">
        <v>54.048010045486649</v>
      </c>
      <c r="AX624" s="947">
        <v>54.048010045486649</v>
      </c>
      <c r="AY624" s="947">
        <v>0</v>
      </c>
    </row>
    <row r="625" spans="31:51" x14ac:dyDescent="0.25">
      <c r="AE625" s="75">
        <v>6.1239999999999997</v>
      </c>
      <c r="AF625" s="82">
        <v>6</v>
      </c>
      <c r="AG625" s="82">
        <v>1</v>
      </c>
      <c r="AH625" s="82">
        <v>2</v>
      </c>
      <c r="AI625" s="82">
        <v>2.9999999999563443</v>
      </c>
      <c r="AJ625" s="166">
        <v>6.1242299999999998</v>
      </c>
      <c r="AK625" s="82">
        <v>6.1241300000000001</v>
      </c>
      <c r="AL625" s="162">
        <v>0</v>
      </c>
      <c r="AM625" s="162">
        <v>0</v>
      </c>
      <c r="AN625" s="162">
        <v>0</v>
      </c>
      <c r="AO625" s="162">
        <v>0</v>
      </c>
      <c r="AP625" s="162">
        <v>0</v>
      </c>
      <c r="AQ625" s="162">
        <v>0</v>
      </c>
      <c r="AR625" s="710" t="str">
        <v>1613.par</v>
      </c>
      <c r="AV625" s="82" t="str">
        <v>127,0,255</v>
      </c>
      <c r="AW625" s="947">
        <v>35.360276952469491</v>
      </c>
      <c r="AX625" s="947">
        <v>35.360276952469491</v>
      </c>
      <c r="AY625" s="947">
        <v>0</v>
      </c>
    </row>
    <row r="626" spans="31:51" x14ac:dyDescent="0.25">
      <c r="AE626" s="75">
        <v>6.1180000000000003</v>
      </c>
      <c r="AF626" s="82">
        <v>6</v>
      </c>
      <c r="AG626" s="82">
        <v>1</v>
      </c>
      <c r="AH626" s="82">
        <v>2</v>
      </c>
      <c r="AI626" s="82">
        <v>3.0000000000291038</v>
      </c>
      <c r="AJ626" s="166">
        <v>6.1182300000000005</v>
      </c>
      <c r="AK626" s="82">
        <v>6.1181300000000007</v>
      </c>
      <c r="AL626" s="162">
        <v>0</v>
      </c>
      <c r="AM626" s="162">
        <v>0</v>
      </c>
      <c r="AN626" s="162">
        <v>0</v>
      </c>
      <c r="AO626" s="162">
        <v>0</v>
      </c>
      <c r="AP626" s="162">
        <v>0</v>
      </c>
      <c r="AQ626" s="162">
        <v>0</v>
      </c>
      <c r="AR626" s="710" t="str">
        <v>1613 Ripper.par</v>
      </c>
      <c r="AV626" s="82" t="str">
        <v>127,0,255</v>
      </c>
      <c r="AW626" s="947">
        <v>16.504059297615232</v>
      </c>
      <c r="AX626" s="947">
        <v>16.504059297615232</v>
      </c>
      <c r="AY626" s="947">
        <v>0</v>
      </c>
    </row>
    <row r="627" spans="31:51" x14ac:dyDescent="0.25">
      <c r="AE627" s="75">
        <v>6.1120000000000001</v>
      </c>
      <c r="AF627" s="82">
        <v>6</v>
      </c>
      <c r="AG627" s="82">
        <v>1</v>
      </c>
      <c r="AH627" s="82">
        <v>2</v>
      </c>
      <c r="AI627" s="82">
        <v>3.0000000000291038</v>
      </c>
      <c r="AJ627" s="166">
        <v>6.1122300000000003</v>
      </c>
      <c r="AK627" s="82">
        <v>6.1121300000000005</v>
      </c>
      <c r="AL627" s="162">
        <v>0</v>
      </c>
      <c r="AM627" s="162">
        <v>0</v>
      </c>
      <c r="AN627" s="162">
        <v>0</v>
      </c>
      <c r="AO627" s="162">
        <v>0</v>
      </c>
      <c r="AP627" s="162">
        <v>0</v>
      </c>
      <c r="AQ627" s="162">
        <v>0</v>
      </c>
      <c r="AR627" s="710" t="str">
        <v>1613 Ripper.par</v>
      </c>
      <c r="AV627" s="82" t="str">
        <v>127,0,255</v>
      </c>
      <c r="AW627" s="947">
        <v>-2.3119637600075813</v>
      </c>
      <c r="AX627" s="947">
        <v>-2.3119637600075813</v>
      </c>
      <c r="AY627" s="947">
        <v>0</v>
      </c>
    </row>
    <row r="628" spans="31:51" x14ac:dyDescent="0.25">
      <c r="AE628" s="75">
        <v>5.2549999999999999</v>
      </c>
      <c r="AF628" s="82">
        <v>5</v>
      </c>
      <c r="AG628" s="82">
        <v>2</v>
      </c>
      <c r="AH628" s="82">
        <v>2</v>
      </c>
      <c r="AI628" s="82">
        <v>3.0000000000291038</v>
      </c>
      <c r="AJ628" s="166">
        <v>5.2552300000000001</v>
      </c>
      <c r="AK628" s="82">
        <v>5.2551300000000003</v>
      </c>
      <c r="AL628" s="162">
        <v>0</v>
      </c>
      <c r="AM628" s="162">
        <v>0</v>
      </c>
      <c r="AN628" s="162">
        <v>0</v>
      </c>
      <c r="AO628" s="162">
        <v>0</v>
      </c>
      <c r="AP628" s="162">
        <v>0</v>
      </c>
      <c r="AQ628" s="162">
        <v>0</v>
      </c>
      <c r="AR628" s="710" t="str">
        <v>1313.par</v>
      </c>
      <c r="AV628" s="82" t="str">
        <v>121,188,255</v>
      </c>
      <c r="AW628" s="947">
        <v>100.03561890671617</v>
      </c>
      <c r="AX628" s="947">
        <v>100.03561890671617</v>
      </c>
      <c r="AY628" s="947">
        <v>0</v>
      </c>
    </row>
    <row r="629" spans="31:51" x14ac:dyDescent="0.25">
      <c r="AE629" s="75">
        <v>5.2489999999999997</v>
      </c>
      <c r="AF629" s="82">
        <v>5</v>
      </c>
      <c r="AG629" s="82">
        <v>2</v>
      </c>
      <c r="AH629" s="82">
        <v>2</v>
      </c>
      <c r="AI629" s="82">
        <v>2.9999999999563443</v>
      </c>
      <c r="AJ629" s="166">
        <v>5.2492299999999998</v>
      </c>
      <c r="AK629" s="82">
        <v>5.2491300000000001</v>
      </c>
      <c r="AL629" s="162">
        <v>0</v>
      </c>
      <c r="AM629" s="162">
        <v>0</v>
      </c>
      <c r="AN629" s="162">
        <v>0</v>
      </c>
      <c r="AO629" s="162">
        <v>0</v>
      </c>
      <c r="AP629" s="162">
        <v>0</v>
      </c>
      <c r="AQ629" s="162">
        <v>0</v>
      </c>
      <c r="AR629" s="710" t="str">
        <v>32193r1.par</v>
      </c>
      <c r="AV629" s="82" t="str">
        <v>121,188,255</v>
      </c>
      <c r="AW629" s="947">
        <v>89.999987005609597</v>
      </c>
      <c r="AX629" s="947">
        <v>89.999987005609597</v>
      </c>
      <c r="AY629" s="947">
        <v>0</v>
      </c>
    </row>
    <row r="630" spans="31:51" x14ac:dyDescent="0.25">
      <c r="AE630" s="75">
        <v>5.2430000000000003</v>
      </c>
      <c r="AF630" s="82">
        <v>5</v>
      </c>
      <c r="AG630" s="82">
        <v>2</v>
      </c>
      <c r="AH630" s="82">
        <v>2</v>
      </c>
      <c r="AI630" s="82">
        <v>3.0000000000291038</v>
      </c>
      <c r="AJ630" s="166">
        <v>5.2432300000000005</v>
      </c>
      <c r="AK630" s="82">
        <v>5.2431300000000007</v>
      </c>
      <c r="AL630" s="162">
        <v>0</v>
      </c>
      <c r="AM630" s="162">
        <v>0</v>
      </c>
      <c r="AN630" s="162">
        <v>0</v>
      </c>
      <c r="AO630" s="162">
        <v>0</v>
      </c>
      <c r="AP630" s="162">
        <v>0</v>
      </c>
      <c r="AQ630" s="162">
        <v>0</v>
      </c>
      <c r="AR630" s="710" t="str">
        <v>32193r1.par</v>
      </c>
      <c r="AV630" s="82" t="str">
        <v>121,188,255</v>
      </c>
      <c r="AW630" s="947">
        <v>89.999987005609597</v>
      </c>
      <c r="AX630" s="947">
        <v>89.999987005609597</v>
      </c>
      <c r="AY630" s="947">
        <v>0</v>
      </c>
    </row>
    <row r="631" spans="31:51" x14ac:dyDescent="0.25">
      <c r="AE631" s="75">
        <v>5.2370000000000001</v>
      </c>
      <c r="AF631" s="82">
        <v>5</v>
      </c>
      <c r="AG631" s="82">
        <v>2</v>
      </c>
      <c r="AH631" s="82">
        <v>2</v>
      </c>
      <c r="AI631" s="82">
        <v>3.0000000000291038</v>
      </c>
      <c r="AJ631" s="166">
        <v>5.2372300000000003</v>
      </c>
      <c r="AK631" s="82">
        <v>5.2371300000000005</v>
      </c>
      <c r="AL631" s="162">
        <v>0</v>
      </c>
      <c r="AM631" s="162">
        <v>0</v>
      </c>
      <c r="AN631" s="162">
        <v>0</v>
      </c>
      <c r="AO631" s="162">
        <v>0</v>
      </c>
      <c r="AP631" s="162">
        <v>0</v>
      </c>
      <c r="AQ631" s="162">
        <v>0</v>
      </c>
      <c r="AR631" s="710" t="str">
        <v>1313.par</v>
      </c>
      <c r="AV631" s="82" t="str">
        <v>121,188,255</v>
      </c>
      <c r="AW631" s="947">
        <v>75.733702256223253</v>
      </c>
      <c r="AX631" s="947">
        <v>75.733702256223253</v>
      </c>
      <c r="AY631" s="947">
        <v>0</v>
      </c>
    </row>
    <row r="632" spans="31:51" x14ac:dyDescent="0.25">
      <c r="AE632" s="75">
        <v>5.2309999999999999</v>
      </c>
      <c r="AF632" s="82">
        <v>5</v>
      </c>
      <c r="AG632" s="82">
        <v>2</v>
      </c>
      <c r="AH632" s="82">
        <v>2</v>
      </c>
      <c r="AI632" s="82">
        <v>3.0000000000291038</v>
      </c>
      <c r="AJ632" s="166">
        <v>5.23123</v>
      </c>
      <c r="AK632" s="82">
        <v>5.2311300000000003</v>
      </c>
      <c r="AL632" s="162">
        <v>0</v>
      </c>
      <c r="AM632" s="162">
        <v>0</v>
      </c>
      <c r="AN632" s="162">
        <v>0</v>
      </c>
      <c r="AO632" s="162">
        <v>0</v>
      </c>
      <c r="AP632" s="162">
        <v>0</v>
      </c>
      <c r="AQ632" s="162">
        <v>0</v>
      </c>
      <c r="AR632" s="710" t="str">
        <v>1313.par</v>
      </c>
      <c r="AV632" s="82" t="str">
        <v>121,188,255</v>
      </c>
      <c r="AW632" s="947">
        <v>57.213428741154814</v>
      </c>
      <c r="AX632" s="947">
        <v>57.213428741154814</v>
      </c>
      <c r="AY632" s="947">
        <v>0</v>
      </c>
    </row>
    <row r="633" spans="31:51" x14ac:dyDescent="0.25">
      <c r="AE633" s="75">
        <v>5.2249999999999996</v>
      </c>
      <c r="AF633" s="82">
        <v>5</v>
      </c>
      <c r="AG633" s="82">
        <v>2</v>
      </c>
      <c r="AH633" s="82">
        <v>2</v>
      </c>
      <c r="AI633" s="82">
        <v>2.9999999999563443</v>
      </c>
      <c r="AJ633" s="166">
        <v>5.2252299999999998</v>
      </c>
      <c r="AK633" s="82">
        <v>5.2251300000000001</v>
      </c>
      <c r="AL633" s="162">
        <v>0</v>
      </c>
      <c r="AM633" s="162">
        <v>0</v>
      </c>
      <c r="AN633" s="162">
        <v>0</v>
      </c>
      <c r="AO633" s="162">
        <v>0</v>
      </c>
      <c r="AP633" s="162">
        <v>0</v>
      </c>
      <c r="AQ633" s="162">
        <v>0</v>
      </c>
      <c r="AR633" s="710" t="str">
        <v>1313.par</v>
      </c>
      <c r="AV633" s="82" t="str">
        <v>121,188,255</v>
      </c>
      <c r="AW633" s="947">
        <v>38.623227592362632</v>
      </c>
      <c r="AX633" s="947">
        <v>38.623227592362632</v>
      </c>
      <c r="AY633" s="947">
        <v>0</v>
      </c>
    </row>
    <row r="634" spans="31:51" x14ac:dyDescent="0.25">
      <c r="AE634" s="75">
        <v>5.2190000000000003</v>
      </c>
      <c r="AF634" s="82">
        <v>5</v>
      </c>
      <c r="AG634" s="82">
        <v>2</v>
      </c>
      <c r="AH634" s="82">
        <v>2</v>
      </c>
      <c r="AI634" s="82">
        <v>3.0000000000291038</v>
      </c>
      <c r="AJ634" s="166">
        <v>5.2192300000000005</v>
      </c>
      <c r="AK634" s="82">
        <v>5.2191300000000007</v>
      </c>
      <c r="AL634" s="162">
        <v>0</v>
      </c>
      <c r="AM634" s="162">
        <v>0</v>
      </c>
      <c r="AN634" s="162">
        <v>0</v>
      </c>
      <c r="AO634" s="162">
        <v>0</v>
      </c>
      <c r="AP634" s="162">
        <v>0</v>
      </c>
      <c r="AQ634" s="162">
        <v>0</v>
      </c>
      <c r="AR634" s="710" t="str">
        <v>32193r1.par</v>
      </c>
      <c r="AV634" s="82" t="str">
        <v>121,188,255</v>
      </c>
      <c r="AW634" s="947">
        <v>12.999998123032507</v>
      </c>
      <c r="AX634" s="947">
        <v>12.999998123032507</v>
      </c>
      <c r="AY634" s="947">
        <v>0</v>
      </c>
    </row>
    <row r="635" spans="31:51" x14ac:dyDescent="0.25">
      <c r="AE635" s="75">
        <v>5.149</v>
      </c>
      <c r="AF635" s="82">
        <v>5</v>
      </c>
      <c r="AG635" s="82">
        <v>1</v>
      </c>
      <c r="AH635" s="82">
        <v>2</v>
      </c>
      <c r="AI635" s="82">
        <v>3.0000000000291038</v>
      </c>
      <c r="AJ635" s="166">
        <v>5.1492300000000002</v>
      </c>
      <c r="AK635" s="82">
        <v>5.1491300000000004</v>
      </c>
      <c r="AL635" s="162">
        <v>0</v>
      </c>
      <c r="AM635" s="162">
        <v>0</v>
      </c>
      <c r="AN635" s="162">
        <v>0</v>
      </c>
      <c r="AO635" s="162">
        <v>0</v>
      </c>
      <c r="AP635" s="162">
        <v>0</v>
      </c>
      <c r="AQ635" s="162">
        <v>0</v>
      </c>
      <c r="AR635" s="710" t="str">
        <v>1613.par</v>
      </c>
      <c r="AV635" s="82" t="str">
        <v>0,102,204</v>
      </c>
      <c r="AW635" s="947">
        <v>84.97011741683842</v>
      </c>
      <c r="AX635" s="947">
        <v>84.97011741683842</v>
      </c>
      <c r="AY635" s="947">
        <v>0</v>
      </c>
    </row>
    <row r="636" spans="31:51" x14ac:dyDescent="0.25">
      <c r="AE636" s="75">
        <v>5.1429999999999998</v>
      </c>
      <c r="AF636" s="82">
        <v>5</v>
      </c>
      <c r="AG636" s="82">
        <v>1</v>
      </c>
      <c r="AH636" s="82">
        <v>2</v>
      </c>
      <c r="AI636" s="82">
        <v>3.0000000000291038</v>
      </c>
      <c r="AJ636" s="166">
        <v>5.14323</v>
      </c>
      <c r="AK636" s="82">
        <v>5.1431300000000002</v>
      </c>
      <c r="AL636" s="162">
        <v>0</v>
      </c>
      <c r="AM636" s="162">
        <v>0</v>
      </c>
      <c r="AN636" s="162">
        <v>0</v>
      </c>
      <c r="AO636" s="162">
        <v>0</v>
      </c>
      <c r="AP636" s="162">
        <v>0</v>
      </c>
      <c r="AQ636" s="162">
        <v>0</v>
      </c>
      <c r="AR636" s="710" t="str">
        <v>1613.par</v>
      </c>
      <c r="AV636" s="82" t="str">
        <v>0,102,204</v>
      </c>
      <c r="AW636" s="947">
        <v>84.969949372155952</v>
      </c>
      <c r="AX636" s="947">
        <v>84.969949372155952</v>
      </c>
      <c r="AY636" s="947">
        <v>0</v>
      </c>
    </row>
    <row r="637" spans="31:51" x14ac:dyDescent="0.25">
      <c r="AE637" s="75">
        <v>5.1369999999999996</v>
      </c>
      <c r="AF637" s="82">
        <v>5</v>
      </c>
      <c r="AG637" s="82">
        <v>1</v>
      </c>
      <c r="AH637" s="82">
        <v>2</v>
      </c>
      <c r="AI637" s="82">
        <v>2.9999999999563443</v>
      </c>
      <c r="AJ637" s="166">
        <v>5.1372299999999997</v>
      </c>
      <c r="AK637" s="82">
        <v>5.13713</v>
      </c>
      <c r="AL637" s="162">
        <v>0</v>
      </c>
      <c r="AM637" s="162">
        <v>0</v>
      </c>
      <c r="AN637" s="162">
        <v>0</v>
      </c>
      <c r="AO637" s="162">
        <v>0</v>
      </c>
      <c r="AP637" s="162">
        <v>0</v>
      </c>
      <c r="AQ637" s="162">
        <v>0</v>
      </c>
      <c r="AR637" s="710" t="str">
        <v>1613.par</v>
      </c>
      <c r="AV637" s="82" t="str">
        <v>0,102,204</v>
      </c>
      <c r="AW637" s="947">
        <v>75.712346529077777</v>
      </c>
      <c r="AX637" s="947">
        <v>75.712346529077777</v>
      </c>
      <c r="AY637" s="947">
        <v>0</v>
      </c>
    </row>
    <row r="638" spans="31:51" x14ac:dyDescent="0.25">
      <c r="AE638" s="75">
        <v>5.1310000000000002</v>
      </c>
      <c r="AF638" s="82">
        <v>5</v>
      </c>
      <c r="AG638" s="82">
        <v>1</v>
      </c>
      <c r="AH638" s="82">
        <v>2</v>
      </c>
      <c r="AI638" s="82">
        <v>3.0000000000291038</v>
      </c>
      <c r="AJ638" s="166">
        <v>5.1312300000000004</v>
      </c>
      <c r="AK638" s="82">
        <v>5.1311300000000006</v>
      </c>
      <c r="AL638" s="162">
        <v>0</v>
      </c>
      <c r="AM638" s="162">
        <v>0</v>
      </c>
      <c r="AN638" s="162">
        <v>0</v>
      </c>
      <c r="AO638" s="162">
        <v>0</v>
      </c>
      <c r="AP638" s="162">
        <v>0</v>
      </c>
      <c r="AQ638" s="162">
        <v>0</v>
      </c>
      <c r="AR638" s="710" t="str">
        <v>1613.par</v>
      </c>
      <c r="AV638" s="82" t="str">
        <v>0,102,204</v>
      </c>
      <c r="AW638" s="947">
        <v>57.149982620263913</v>
      </c>
      <c r="AX638" s="947">
        <v>57.149982620263913</v>
      </c>
      <c r="AY638" s="947">
        <v>0</v>
      </c>
    </row>
    <row r="639" spans="31:51" x14ac:dyDescent="0.25">
      <c r="AE639" s="75">
        <v>5.125</v>
      </c>
      <c r="AF639" s="82">
        <v>5</v>
      </c>
      <c r="AG639" s="82">
        <v>1</v>
      </c>
      <c r="AH639" s="82">
        <v>2</v>
      </c>
      <c r="AI639" s="82">
        <v>3.0000000000291038</v>
      </c>
      <c r="AJ639" s="166">
        <v>5.1252300000000002</v>
      </c>
      <c r="AK639" s="82">
        <v>5.1251300000000004</v>
      </c>
      <c r="AL639" s="162">
        <v>0</v>
      </c>
      <c r="AM639" s="162">
        <v>0</v>
      </c>
      <c r="AN639" s="162">
        <v>0</v>
      </c>
      <c r="AO639" s="162">
        <v>0</v>
      </c>
      <c r="AP639" s="162">
        <v>0</v>
      </c>
      <c r="AQ639" s="162">
        <v>0</v>
      </c>
      <c r="AR639" s="710" t="str">
        <v>1613.par</v>
      </c>
      <c r="AV639" s="82" t="str">
        <v>0,102,204</v>
      </c>
      <c r="AW639" s="947">
        <v>38.485986851085471</v>
      </c>
      <c r="AX639" s="947">
        <v>38.485986851085471</v>
      </c>
      <c r="AY639" s="947">
        <v>0</v>
      </c>
    </row>
    <row r="640" spans="31:51" x14ac:dyDescent="0.25">
      <c r="AE640" s="75">
        <v>5.1189999999999998</v>
      </c>
      <c r="AF640" s="82">
        <v>5</v>
      </c>
      <c r="AG640" s="82">
        <v>1</v>
      </c>
      <c r="AH640" s="82">
        <v>2</v>
      </c>
      <c r="AI640" s="82">
        <v>3.0000000000291038</v>
      </c>
      <c r="AJ640" s="166">
        <v>5.1192299999999999</v>
      </c>
      <c r="AK640" s="82">
        <v>5.1191300000000002</v>
      </c>
      <c r="AL640" s="162">
        <v>0</v>
      </c>
      <c r="AM640" s="162">
        <v>0</v>
      </c>
      <c r="AN640" s="162">
        <v>0</v>
      </c>
      <c r="AO640" s="162">
        <v>0</v>
      </c>
      <c r="AP640" s="162">
        <v>0</v>
      </c>
      <c r="AQ640" s="162">
        <v>0</v>
      </c>
      <c r="AR640" s="710" t="str">
        <v>1613 Ripper.par</v>
      </c>
      <c r="AV640" s="82" t="str">
        <v>0,102,204</v>
      </c>
      <c r="AW640" s="947">
        <v>19.63131247542724</v>
      </c>
      <c r="AX640" s="947">
        <v>19.63131247542724</v>
      </c>
      <c r="AY640" s="947">
        <v>0</v>
      </c>
    </row>
    <row r="641" spans="31:51" x14ac:dyDescent="0.25">
      <c r="AE641" s="75">
        <v>5.1130000000000004</v>
      </c>
      <c r="AF641" s="82">
        <v>5</v>
      </c>
      <c r="AG641" s="82">
        <v>1</v>
      </c>
      <c r="AH641" s="82">
        <v>2</v>
      </c>
      <c r="AI641" s="82">
        <v>3.0000000000291038</v>
      </c>
      <c r="AJ641" s="166">
        <v>5.1132300000000006</v>
      </c>
      <c r="AK641" s="82">
        <v>5.1131300000000008</v>
      </c>
      <c r="AL641" s="162">
        <v>0</v>
      </c>
      <c r="AM641" s="162">
        <v>0</v>
      </c>
      <c r="AN641" s="162">
        <v>0</v>
      </c>
      <c r="AO641" s="162">
        <v>0</v>
      </c>
      <c r="AP641" s="162">
        <v>0</v>
      </c>
      <c r="AQ641" s="162">
        <v>0</v>
      </c>
      <c r="AR641" s="710" t="str">
        <v>1613 Ripper.par</v>
      </c>
      <c r="AV641" s="82" t="str">
        <v>0,102,204</v>
      </c>
      <c r="AW641" s="947">
        <v>0.8306004126858153</v>
      </c>
      <c r="AX641" s="947">
        <v>0.8306004126858153</v>
      </c>
      <c r="AY641" s="947">
        <v>0</v>
      </c>
    </row>
    <row r="642" spans="31:51" x14ac:dyDescent="0.25">
      <c r="AE642" s="75">
        <v>5.1079999999999997</v>
      </c>
      <c r="AF642" s="82">
        <v>5</v>
      </c>
      <c r="AG642" s="82">
        <v>1</v>
      </c>
      <c r="AH642" s="82">
        <v>2</v>
      </c>
      <c r="AI642" s="82">
        <v>2.9999999999563443</v>
      </c>
      <c r="AJ642" s="166">
        <v>5.1082299999999998</v>
      </c>
      <c r="AK642" s="82">
        <v>5.1081300000000001</v>
      </c>
      <c r="AL642" s="162">
        <v>0</v>
      </c>
      <c r="AM642" s="162">
        <v>0</v>
      </c>
      <c r="AN642" s="162">
        <v>0</v>
      </c>
      <c r="AO642" s="162">
        <v>0</v>
      </c>
      <c r="AP642" s="162">
        <v>0</v>
      </c>
      <c r="AQ642" s="162">
        <v>0</v>
      </c>
      <c r="AR642" s="710" t="str">
        <v>1613 Ripper.par</v>
      </c>
      <c r="AV642" s="82" t="str">
        <v>0,102,204</v>
      </c>
      <c r="AW642" s="947">
        <v>-11.945289726695552</v>
      </c>
      <c r="AX642" s="947">
        <v>-11.945289726695552</v>
      </c>
      <c r="AY642" s="947">
        <v>0</v>
      </c>
    </row>
    <row r="643" spans="31:51" x14ac:dyDescent="0.25">
      <c r="AE643" s="75">
        <v>5.1050000000000004</v>
      </c>
      <c r="AF643" s="82">
        <v>5</v>
      </c>
      <c r="AG643" s="82">
        <v>1</v>
      </c>
      <c r="AH643" s="82">
        <v>2</v>
      </c>
      <c r="AI643" s="82">
        <v>3.0000000000291038</v>
      </c>
      <c r="AJ643" s="166">
        <v>5.1052300000000006</v>
      </c>
      <c r="AK643" s="82">
        <v>5.1051300000000008</v>
      </c>
      <c r="AL643" s="162">
        <v>0</v>
      </c>
      <c r="AM643" s="162">
        <v>0</v>
      </c>
      <c r="AN643" s="162">
        <v>0</v>
      </c>
      <c r="AO643" s="162">
        <v>0</v>
      </c>
      <c r="AP643" s="162">
        <v>0</v>
      </c>
      <c r="AQ643" s="162">
        <v>0</v>
      </c>
      <c r="AR643" s="710" t="str">
        <v>1613 Ripper.par</v>
      </c>
      <c r="AV643" s="82" t="str">
        <v>0,102,204</v>
      </c>
      <c r="AW643" s="947">
        <v>-12.949138827495569</v>
      </c>
      <c r="AX643" s="947">
        <v>-12.949138827495569</v>
      </c>
      <c r="AY643" s="947">
        <v>0</v>
      </c>
    </row>
    <row r="644" spans="31:51" x14ac:dyDescent="0.25">
      <c r="AE644" s="75">
        <v>5.1020000000000003</v>
      </c>
      <c r="AF644" s="82">
        <v>5</v>
      </c>
      <c r="AG644" s="82">
        <v>1</v>
      </c>
      <c r="AH644" s="82">
        <v>2</v>
      </c>
      <c r="AI644" s="82">
        <v>3.0000000000291038</v>
      </c>
      <c r="AJ644" s="166">
        <v>5.1022300000000005</v>
      </c>
      <c r="AK644" s="82">
        <v>5.1021300000000007</v>
      </c>
      <c r="AL644" s="162">
        <v>0</v>
      </c>
      <c r="AM644" s="162">
        <v>0</v>
      </c>
      <c r="AN644" s="162">
        <v>0</v>
      </c>
      <c r="AO644" s="162">
        <v>0</v>
      </c>
      <c r="AP644" s="162">
        <v>0</v>
      </c>
      <c r="AQ644" s="162">
        <v>0</v>
      </c>
      <c r="AR644" s="710" t="str">
        <v>1613.par</v>
      </c>
      <c r="AV644" s="82" t="str">
        <v>0,102,204</v>
      </c>
      <c r="AW644" s="947">
        <v>-15.496960293563548</v>
      </c>
      <c r="AX644" s="947">
        <v>-15.496960293563548</v>
      </c>
      <c r="AY644" s="947">
        <v>0</v>
      </c>
    </row>
    <row r="645" spans="31:51" x14ac:dyDescent="0.25">
      <c r="AE645" s="75">
        <v>4.25</v>
      </c>
      <c r="AF645" s="82">
        <v>4</v>
      </c>
      <c r="AG645" s="82">
        <v>2</v>
      </c>
      <c r="AH645" s="82">
        <v>2</v>
      </c>
      <c r="AI645" s="82">
        <v>3.0000000000291038</v>
      </c>
      <c r="AJ645" s="166">
        <v>4.2502300000000002</v>
      </c>
      <c r="AK645" s="82">
        <v>4.2501300000000004</v>
      </c>
      <c r="AL645" s="162">
        <v>0</v>
      </c>
      <c r="AM645" s="162">
        <v>0</v>
      </c>
      <c r="AN645" s="162">
        <v>0</v>
      </c>
      <c r="AO645" s="162">
        <v>0</v>
      </c>
      <c r="AP645" s="162">
        <v>0</v>
      </c>
      <c r="AQ645" s="162">
        <v>0</v>
      </c>
      <c r="AR645" s="710" t="str">
        <v>1313.par</v>
      </c>
      <c r="AV645" s="82" t="str">
        <v>91,255,255</v>
      </c>
      <c r="AW645" s="947">
        <v>100.03561890671628</v>
      </c>
      <c r="AX645" s="947">
        <v>100.03561890671628</v>
      </c>
      <c r="AY645" s="947">
        <v>0</v>
      </c>
    </row>
    <row r="646" spans="31:51" x14ac:dyDescent="0.25">
      <c r="AE646" s="75">
        <v>4.2439999999999998</v>
      </c>
      <c r="AF646" s="82">
        <v>4</v>
      </c>
      <c r="AG646" s="82">
        <v>2</v>
      </c>
      <c r="AH646" s="82">
        <v>2</v>
      </c>
      <c r="AI646" s="82">
        <v>3.0000000000291038</v>
      </c>
      <c r="AJ646" s="166">
        <v>4.2442299999999999</v>
      </c>
      <c r="AK646" s="82">
        <v>4.2441300000000002</v>
      </c>
      <c r="AL646" s="162">
        <v>0</v>
      </c>
      <c r="AM646" s="162">
        <v>0</v>
      </c>
      <c r="AN646" s="162">
        <v>0</v>
      </c>
      <c r="AO646" s="162">
        <v>0</v>
      </c>
      <c r="AP646" s="162">
        <v>0</v>
      </c>
      <c r="AQ646" s="162">
        <v>0</v>
      </c>
      <c r="AR646" s="710" t="str">
        <v>32193r1.par</v>
      </c>
      <c r="AV646" s="82" t="str">
        <v>91,255,255</v>
      </c>
      <c r="AW646" s="947">
        <v>89.999987005609597</v>
      </c>
      <c r="AX646" s="947">
        <v>89.999987005609597</v>
      </c>
      <c r="AY646" s="947">
        <v>0</v>
      </c>
    </row>
    <row r="647" spans="31:51" x14ac:dyDescent="0.25">
      <c r="AE647" s="75">
        <v>4.2380000000000004</v>
      </c>
      <c r="AF647" s="82">
        <v>4</v>
      </c>
      <c r="AG647" s="82">
        <v>2</v>
      </c>
      <c r="AH647" s="82">
        <v>2</v>
      </c>
      <c r="AI647" s="82">
        <v>3.0000000000291038</v>
      </c>
      <c r="AJ647" s="166">
        <v>4.2382300000000006</v>
      </c>
      <c r="AK647" s="82">
        <v>4.2381300000000008</v>
      </c>
      <c r="AL647" s="162">
        <v>0</v>
      </c>
      <c r="AM647" s="162">
        <v>0</v>
      </c>
      <c r="AN647" s="162">
        <v>0</v>
      </c>
      <c r="AO647" s="162">
        <v>0</v>
      </c>
      <c r="AP647" s="162">
        <v>0</v>
      </c>
      <c r="AQ647" s="162">
        <v>0</v>
      </c>
      <c r="AR647" s="710" t="str">
        <v>32193r1.par</v>
      </c>
      <c r="AV647" s="82" t="str">
        <v>91,255,255</v>
      </c>
      <c r="AW647" s="947">
        <v>82.999988016284419</v>
      </c>
      <c r="AX647" s="947">
        <v>82.999988016284419</v>
      </c>
      <c r="AY647" s="947">
        <v>0</v>
      </c>
    </row>
    <row r="648" spans="31:51" x14ac:dyDescent="0.25">
      <c r="AE648" s="75">
        <v>4.2320000000000002</v>
      </c>
      <c r="AF648" s="82">
        <v>4</v>
      </c>
      <c r="AG648" s="82">
        <v>2</v>
      </c>
      <c r="AH648" s="82">
        <v>2</v>
      </c>
      <c r="AI648" s="82">
        <v>3.0000000000291038</v>
      </c>
      <c r="AJ648" s="166">
        <v>4.2322300000000004</v>
      </c>
      <c r="AK648" s="82">
        <v>4.2321300000000006</v>
      </c>
      <c r="AL648" s="162">
        <v>0</v>
      </c>
      <c r="AM648" s="162">
        <v>0</v>
      </c>
      <c r="AN648" s="162">
        <v>0</v>
      </c>
      <c r="AO648" s="162">
        <v>0</v>
      </c>
      <c r="AP648" s="162">
        <v>0</v>
      </c>
      <c r="AQ648" s="162">
        <v>0</v>
      </c>
      <c r="AR648" s="710" t="str">
        <v>32193r1.par</v>
      </c>
      <c r="AV648" s="82" t="str">
        <v>91,255,255</v>
      </c>
      <c r="AW648" s="947">
        <v>61.99999104830885</v>
      </c>
      <c r="AX648" s="947">
        <v>61.99999104830885</v>
      </c>
      <c r="AY648" s="947">
        <v>0</v>
      </c>
    </row>
    <row r="649" spans="31:51" x14ac:dyDescent="0.25">
      <c r="AE649" s="75">
        <v>4.226</v>
      </c>
      <c r="AF649" s="82">
        <v>4</v>
      </c>
      <c r="AG649" s="82">
        <v>2</v>
      </c>
      <c r="AH649" s="82">
        <v>2</v>
      </c>
      <c r="AI649" s="82">
        <v>3.0000000000291038</v>
      </c>
      <c r="AJ649" s="166">
        <v>4.2262300000000002</v>
      </c>
      <c r="AK649" s="82">
        <v>4.2261300000000004</v>
      </c>
      <c r="AL649" s="162">
        <v>0</v>
      </c>
      <c r="AM649" s="162">
        <v>0</v>
      </c>
      <c r="AN649" s="162">
        <v>0</v>
      </c>
      <c r="AO649" s="162">
        <v>0</v>
      </c>
      <c r="AP649" s="162">
        <v>0</v>
      </c>
      <c r="AQ649" s="162">
        <v>0</v>
      </c>
      <c r="AR649" s="710" t="str">
        <v>32193r1.par</v>
      </c>
      <c r="AV649" s="82" t="str">
        <v>91,255,255</v>
      </c>
      <c r="AW649" s="947">
        <v>40.999994080333266</v>
      </c>
      <c r="AX649" s="947">
        <v>40.999994080333266</v>
      </c>
      <c r="AY649" s="947">
        <v>0</v>
      </c>
    </row>
    <row r="650" spans="31:51" x14ac:dyDescent="0.25">
      <c r="AE650" s="75">
        <v>4.22</v>
      </c>
      <c r="AF650" s="82">
        <v>4</v>
      </c>
      <c r="AG650" s="82">
        <v>2</v>
      </c>
      <c r="AH650" s="82">
        <v>2</v>
      </c>
      <c r="AI650" s="82">
        <v>2.9999999999563443</v>
      </c>
      <c r="AJ650" s="166">
        <v>4.2202299999999999</v>
      </c>
      <c r="AK650" s="82">
        <v>4.2201300000000002</v>
      </c>
      <c r="AL650" s="162">
        <v>0</v>
      </c>
      <c r="AM650" s="162">
        <v>0</v>
      </c>
      <c r="AN650" s="162">
        <v>0</v>
      </c>
      <c r="AO650" s="162">
        <v>0</v>
      </c>
      <c r="AP650" s="162">
        <v>0</v>
      </c>
      <c r="AQ650" s="162">
        <v>0</v>
      </c>
      <c r="AR650" s="710" t="str">
        <v>32193r1.par</v>
      </c>
      <c r="AV650" s="82" t="str">
        <v>91,255,255</v>
      </c>
      <c r="AW650" s="947">
        <v>19.99999711235769</v>
      </c>
      <c r="AX650" s="947">
        <v>19.99999711235769</v>
      </c>
      <c r="AY650" s="947">
        <v>0</v>
      </c>
    </row>
    <row r="651" spans="31:51" x14ac:dyDescent="0.25">
      <c r="AE651" s="75">
        <v>4.1440000000000001</v>
      </c>
      <c r="AF651" s="82">
        <v>4</v>
      </c>
      <c r="AG651" s="82">
        <v>1</v>
      </c>
      <c r="AH651" s="82">
        <v>2</v>
      </c>
      <c r="AI651" s="82">
        <v>3.0000000000291038</v>
      </c>
      <c r="AJ651" s="166">
        <v>4.1442300000000003</v>
      </c>
      <c r="AK651" s="82">
        <v>4.1441300000000005</v>
      </c>
      <c r="AL651" s="162">
        <v>0</v>
      </c>
      <c r="AM651" s="162">
        <v>0</v>
      </c>
      <c r="AN651" s="162">
        <v>0</v>
      </c>
      <c r="AO651" s="162">
        <v>0</v>
      </c>
      <c r="AP651" s="162">
        <v>0</v>
      </c>
      <c r="AQ651" s="162">
        <v>0</v>
      </c>
      <c r="AR651" s="710" t="str">
        <v>1613.par</v>
      </c>
      <c r="AV651" s="82" t="str">
        <v>0,204,204</v>
      </c>
      <c r="AW651" s="947">
        <v>84.970117416838406</v>
      </c>
      <c r="AX651" s="947">
        <v>84.970117416838406</v>
      </c>
      <c r="AY651" s="947">
        <v>0</v>
      </c>
    </row>
    <row r="652" spans="31:51" x14ac:dyDescent="0.25">
      <c r="AE652" s="75">
        <v>4.1379999999999999</v>
      </c>
      <c r="AF652" s="82">
        <v>4</v>
      </c>
      <c r="AG652" s="82">
        <v>1</v>
      </c>
      <c r="AH652" s="82">
        <v>2</v>
      </c>
      <c r="AI652" s="82">
        <v>3.0000000000291038</v>
      </c>
      <c r="AJ652" s="166">
        <v>4.1382300000000001</v>
      </c>
      <c r="AK652" s="82">
        <v>4.1381300000000003</v>
      </c>
      <c r="AL652" s="162">
        <v>0</v>
      </c>
      <c r="AM652" s="162">
        <v>0</v>
      </c>
      <c r="AN652" s="162">
        <v>0</v>
      </c>
      <c r="AO652" s="162">
        <v>0</v>
      </c>
      <c r="AP652" s="162">
        <v>0</v>
      </c>
      <c r="AQ652" s="162">
        <v>0</v>
      </c>
      <c r="AR652" s="710" t="str">
        <v>1613.par</v>
      </c>
      <c r="AV652" s="82" t="str">
        <v>0,204,204</v>
      </c>
      <c r="AW652" s="947">
        <v>78.799617313561896</v>
      </c>
      <c r="AX652" s="947">
        <v>78.799617313561896</v>
      </c>
      <c r="AY652" s="947">
        <v>0</v>
      </c>
    </row>
    <row r="653" spans="31:51" x14ac:dyDescent="0.25">
      <c r="AE653" s="75">
        <v>4.1319999999999997</v>
      </c>
      <c r="AF653" s="82">
        <v>4</v>
      </c>
      <c r="AG653" s="82">
        <v>1</v>
      </c>
      <c r="AH653" s="82">
        <v>2</v>
      </c>
      <c r="AI653" s="82">
        <v>2.9999999999563443</v>
      </c>
      <c r="AJ653" s="166">
        <v>4.1322299999999998</v>
      </c>
      <c r="AK653" s="82">
        <v>4.1321300000000001</v>
      </c>
      <c r="AL653" s="162">
        <v>0</v>
      </c>
      <c r="AM653" s="162">
        <v>0</v>
      </c>
      <c r="AN653" s="162">
        <v>0</v>
      </c>
      <c r="AO653" s="162">
        <v>0</v>
      </c>
      <c r="AP653" s="162">
        <v>0</v>
      </c>
      <c r="AQ653" s="162">
        <v>0</v>
      </c>
      <c r="AR653" s="710" t="str">
        <v>1613.par</v>
      </c>
      <c r="AV653" s="82" t="str">
        <v>0,204,204</v>
      </c>
      <c r="AW653" s="947">
        <v>60.249226457616452</v>
      </c>
      <c r="AX653" s="947">
        <v>60.249226457616452</v>
      </c>
      <c r="AY653" s="947">
        <v>0</v>
      </c>
    </row>
    <row r="654" spans="31:51" x14ac:dyDescent="0.25">
      <c r="AE654" s="75">
        <v>4.1260000000000003</v>
      </c>
      <c r="AF654" s="82">
        <v>4</v>
      </c>
      <c r="AG654" s="82">
        <v>1</v>
      </c>
      <c r="AH654" s="82">
        <v>2</v>
      </c>
      <c r="AI654" s="82">
        <v>3.0000000000291038</v>
      </c>
      <c r="AJ654" s="166">
        <v>4.1262300000000005</v>
      </c>
      <c r="AK654" s="82">
        <v>4.1261300000000007</v>
      </c>
      <c r="AL654" s="162">
        <v>0</v>
      </c>
      <c r="AM654" s="162">
        <v>0</v>
      </c>
      <c r="AN654" s="162">
        <v>0</v>
      </c>
      <c r="AO654" s="162">
        <v>0</v>
      </c>
      <c r="AP654" s="162">
        <v>0</v>
      </c>
      <c r="AQ654" s="162">
        <v>0</v>
      </c>
      <c r="AR654" s="710" t="str">
        <v>1613.par</v>
      </c>
      <c r="AV654" s="82" t="str">
        <v>0,204,204</v>
      </c>
      <c r="AW654" s="947">
        <v>41.606624611766414</v>
      </c>
      <c r="AX654" s="947">
        <v>41.606624611766414</v>
      </c>
      <c r="AY654" s="947">
        <v>0</v>
      </c>
    </row>
    <row r="655" spans="31:51" x14ac:dyDescent="0.25">
      <c r="AE655" s="75">
        <v>4.12</v>
      </c>
      <c r="AF655" s="82">
        <v>4</v>
      </c>
      <c r="AG655" s="82">
        <v>1</v>
      </c>
      <c r="AH655" s="82">
        <v>2</v>
      </c>
      <c r="AI655" s="82">
        <v>3.0000000000291038</v>
      </c>
      <c r="AJ655" s="166">
        <v>4.1202300000000003</v>
      </c>
      <c r="AK655" s="82">
        <v>4.1201300000000005</v>
      </c>
      <c r="AL655" s="162">
        <v>0</v>
      </c>
      <c r="AM655" s="162">
        <v>0</v>
      </c>
      <c r="AN655" s="162">
        <v>0</v>
      </c>
      <c r="AO655" s="162">
        <v>0</v>
      </c>
      <c r="AP655" s="162">
        <v>0</v>
      </c>
      <c r="AQ655" s="162">
        <v>0</v>
      </c>
      <c r="AR655" s="710" t="str">
        <v>1613 Ripper.par</v>
      </c>
      <c r="AV655" s="82" t="str">
        <v>0,204,204</v>
      </c>
      <c r="AW655" s="947">
        <v>22.793338283804125</v>
      </c>
      <c r="AX655" s="947">
        <v>22.793338283804125</v>
      </c>
      <c r="AY655" s="947">
        <v>0</v>
      </c>
    </row>
    <row r="656" spans="31:51" x14ac:dyDescent="0.25">
      <c r="AE656" s="75">
        <v>4.1139999999999999</v>
      </c>
      <c r="AF656" s="82">
        <v>4</v>
      </c>
      <c r="AG656" s="82">
        <v>1</v>
      </c>
      <c r="AH656" s="82">
        <v>2</v>
      </c>
      <c r="AI656" s="82">
        <v>3.0000000000291038</v>
      </c>
      <c r="AJ656" s="166">
        <v>4.1142300000000001</v>
      </c>
      <c r="AK656" s="82">
        <v>4.1141300000000003</v>
      </c>
      <c r="AL656" s="162">
        <v>0</v>
      </c>
      <c r="AM656" s="162">
        <v>0</v>
      </c>
      <c r="AN656" s="162">
        <v>0</v>
      </c>
      <c r="AO656" s="162">
        <v>0</v>
      </c>
      <c r="AP656" s="162">
        <v>0</v>
      </c>
      <c r="AQ656" s="162">
        <v>0</v>
      </c>
      <c r="AR656" s="710" t="str">
        <v>1613 Ripper.par</v>
      </c>
      <c r="AV656" s="82" t="str">
        <v>0,204,204</v>
      </c>
      <c r="AW656" s="947">
        <v>3.9705087662236287</v>
      </c>
      <c r="AX656" s="947">
        <v>3.9705087662236287</v>
      </c>
      <c r="AY656" s="947">
        <v>0</v>
      </c>
    </row>
    <row r="657" spans="31:51" x14ac:dyDescent="0.25">
      <c r="AE657" s="75">
        <v>3.2509999999999999</v>
      </c>
      <c r="AF657" s="82">
        <v>3</v>
      </c>
      <c r="AG657" s="82">
        <v>2</v>
      </c>
      <c r="AH657" s="82">
        <v>2</v>
      </c>
      <c r="AI657" s="82">
        <v>2.999999999992724</v>
      </c>
      <c r="AJ657" s="166">
        <v>3.2512300000000001</v>
      </c>
      <c r="AK657" s="82">
        <v>3.2511299999999999</v>
      </c>
      <c r="AL657" s="162">
        <v>0</v>
      </c>
      <c r="AM657" s="162">
        <v>0</v>
      </c>
      <c r="AN657" s="162">
        <v>0</v>
      </c>
      <c r="AO657" s="162">
        <v>0</v>
      </c>
      <c r="AP657" s="162">
        <v>0</v>
      </c>
      <c r="AQ657" s="162">
        <v>0</v>
      </c>
      <c r="AR657" s="710" t="str">
        <v>1313.par</v>
      </c>
      <c r="AV657" s="82" t="str">
        <v>97,255,97</v>
      </c>
      <c r="AW657" s="947">
        <v>100.03561890671625</v>
      </c>
      <c r="AX657" s="947">
        <v>100.03561890671625</v>
      </c>
      <c r="AY657" s="947">
        <v>0</v>
      </c>
    </row>
    <row r="658" spans="31:51" x14ac:dyDescent="0.25">
      <c r="AE658" s="75">
        <v>3.2450000000000001</v>
      </c>
      <c r="AF658" s="82">
        <v>3</v>
      </c>
      <c r="AG658" s="82">
        <v>2</v>
      </c>
      <c r="AH658" s="82">
        <v>2</v>
      </c>
      <c r="AI658" s="82">
        <v>3.0000000000291038</v>
      </c>
      <c r="AJ658" s="166">
        <v>3.2452300000000003</v>
      </c>
      <c r="AK658" s="82">
        <v>3.2451300000000001</v>
      </c>
      <c r="AL658" s="162">
        <v>0</v>
      </c>
      <c r="AM658" s="162">
        <v>0</v>
      </c>
      <c r="AN658" s="162">
        <v>0</v>
      </c>
      <c r="AO658" s="162">
        <v>0</v>
      </c>
      <c r="AP658" s="162">
        <v>0</v>
      </c>
      <c r="AQ658" s="162">
        <v>0</v>
      </c>
      <c r="AR658" s="710" t="str">
        <v>32193r1.par</v>
      </c>
      <c r="AV658" s="82" t="str">
        <v>97,255,97</v>
      </c>
      <c r="AW658" s="947">
        <v>89.999987005609611</v>
      </c>
      <c r="AX658" s="947">
        <v>89.999987005609611</v>
      </c>
      <c r="AY658" s="947">
        <v>0</v>
      </c>
    </row>
    <row r="659" spans="31:51" x14ac:dyDescent="0.25">
      <c r="AE659" s="75">
        <v>3.2389999999999999</v>
      </c>
      <c r="AF659" s="82">
        <v>3</v>
      </c>
      <c r="AG659" s="82">
        <v>2</v>
      </c>
      <c r="AH659" s="82">
        <v>2</v>
      </c>
      <c r="AI659" s="82">
        <v>2.999999999992724</v>
      </c>
      <c r="AJ659" s="166">
        <v>3.2392300000000001</v>
      </c>
      <c r="AK659" s="82">
        <v>3.2391299999999998</v>
      </c>
      <c r="AL659" s="162">
        <v>0</v>
      </c>
      <c r="AM659" s="162">
        <v>0</v>
      </c>
      <c r="AN659" s="162">
        <v>0</v>
      </c>
      <c r="AO659" s="162">
        <v>0</v>
      </c>
      <c r="AP659" s="162">
        <v>0</v>
      </c>
      <c r="AQ659" s="162">
        <v>0</v>
      </c>
      <c r="AR659" s="710" t="str">
        <v>32193r1.par</v>
      </c>
      <c r="AV659" s="82" t="str">
        <v>97,255,97</v>
      </c>
      <c r="AW659" s="947">
        <v>82.999988016284419</v>
      </c>
      <c r="AX659" s="947">
        <v>82.999988016284419</v>
      </c>
      <c r="AY659" s="947">
        <v>0</v>
      </c>
    </row>
    <row r="660" spans="31:51" x14ac:dyDescent="0.25">
      <c r="AE660" s="75">
        <v>3.2330000000000001</v>
      </c>
      <c r="AF660" s="82">
        <v>3</v>
      </c>
      <c r="AG660" s="82">
        <v>2</v>
      </c>
      <c r="AH660" s="82">
        <v>2</v>
      </c>
      <c r="AI660" s="82">
        <v>3.0000000000291038</v>
      </c>
      <c r="AJ660" s="166">
        <v>3.2332300000000003</v>
      </c>
      <c r="AK660" s="82">
        <v>3.2331300000000001</v>
      </c>
      <c r="AL660" s="162">
        <v>0</v>
      </c>
      <c r="AM660" s="162">
        <v>0</v>
      </c>
      <c r="AN660" s="162">
        <v>0</v>
      </c>
      <c r="AO660" s="162">
        <v>0</v>
      </c>
      <c r="AP660" s="162">
        <v>0</v>
      </c>
      <c r="AQ660" s="162">
        <v>0</v>
      </c>
      <c r="AR660" s="710" t="str">
        <v>1313.par</v>
      </c>
      <c r="AV660" s="82" t="str">
        <v>97,255,97</v>
      </c>
      <c r="AW660" s="947">
        <v>63.392943063786667</v>
      </c>
      <c r="AX660" s="947">
        <v>63.392943063786667</v>
      </c>
      <c r="AY660" s="947">
        <v>0</v>
      </c>
    </row>
    <row r="661" spans="31:51" x14ac:dyDescent="0.25">
      <c r="AE661" s="75">
        <v>3.2269999999999999</v>
      </c>
      <c r="AF661" s="82">
        <v>3</v>
      </c>
      <c r="AG661" s="82">
        <v>2</v>
      </c>
      <c r="AH661" s="82">
        <v>2</v>
      </c>
      <c r="AI661" s="82">
        <v>2.999999999992724</v>
      </c>
      <c r="AJ661" s="166">
        <v>3.22723</v>
      </c>
      <c r="AK661" s="82">
        <v>3.2271299999999998</v>
      </c>
      <c r="AL661" s="162">
        <v>0</v>
      </c>
      <c r="AM661" s="162">
        <v>0</v>
      </c>
      <c r="AN661" s="162">
        <v>0</v>
      </c>
      <c r="AO661" s="162">
        <v>0</v>
      </c>
      <c r="AP661" s="162">
        <v>0</v>
      </c>
      <c r="AQ661" s="162">
        <v>0</v>
      </c>
      <c r="AR661" s="710" t="str">
        <v>1313.par</v>
      </c>
      <c r="AV661" s="82" t="str">
        <v>97,255,97</v>
      </c>
      <c r="AW661" s="947">
        <v>44.830187859593472</v>
      </c>
      <c r="AX661" s="947">
        <v>44.830187859593472</v>
      </c>
      <c r="AY661" s="947">
        <v>0</v>
      </c>
    </row>
    <row r="662" spans="31:51" x14ac:dyDescent="0.25">
      <c r="AE662" s="75">
        <v>3.2210000000000001</v>
      </c>
      <c r="AF662" s="82">
        <v>3</v>
      </c>
      <c r="AG662" s="82">
        <v>2</v>
      </c>
      <c r="AH662" s="82">
        <v>2</v>
      </c>
      <c r="AI662" s="82">
        <v>3.0000000000291038</v>
      </c>
      <c r="AJ662" s="166">
        <v>3.2212300000000003</v>
      </c>
      <c r="AK662" s="82">
        <v>3.22113</v>
      </c>
      <c r="AL662" s="162">
        <v>0</v>
      </c>
      <c r="AM662" s="162">
        <v>0</v>
      </c>
      <c r="AN662" s="162">
        <v>0</v>
      </c>
      <c r="AO662" s="162">
        <v>0</v>
      </c>
      <c r="AP662" s="162">
        <v>0</v>
      </c>
      <c r="AQ662" s="162">
        <v>0</v>
      </c>
      <c r="AR662" s="710" t="str">
        <v>1313.par</v>
      </c>
      <c r="AV662" s="82" t="str">
        <v>97,255,97</v>
      </c>
      <c r="AW662" s="947">
        <v>26.167511622001179</v>
      </c>
      <c r="AX662" s="947">
        <v>26.167511622001179</v>
      </c>
      <c r="AY662" s="947">
        <v>0</v>
      </c>
    </row>
    <row r="663" spans="31:51" x14ac:dyDescent="0.25">
      <c r="AE663" s="75">
        <v>3.2149999999999999</v>
      </c>
      <c r="AF663" s="82">
        <v>3</v>
      </c>
      <c r="AG663" s="82">
        <v>2</v>
      </c>
      <c r="AH663" s="82">
        <v>2</v>
      </c>
      <c r="AI663" s="82">
        <v>2.999999999992724</v>
      </c>
      <c r="AJ663" s="166">
        <v>3.21523</v>
      </c>
      <c r="AK663" s="82">
        <v>3.2151299999999998</v>
      </c>
      <c r="AL663" s="162">
        <v>0</v>
      </c>
      <c r="AM663" s="162">
        <v>0</v>
      </c>
      <c r="AN663" s="162">
        <v>0</v>
      </c>
      <c r="AO663" s="162">
        <v>0</v>
      </c>
      <c r="AP663" s="162">
        <v>0</v>
      </c>
      <c r="AQ663" s="162">
        <v>0</v>
      </c>
      <c r="AR663" s="710" t="str">
        <v>32193r1.par</v>
      </c>
      <c r="AV663" s="82" t="str">
        <v>97,255,97</v>
      </c>
      <c r="AW663" s="947">
        <v>-0.99999985561788196</v>
      </c>
      <c r="AX663" s="947">
        <v>-0.99999985561788196</v>
      </c>
      <c r="AY663" s="947">
        <v>0</v>
      </c>
    </row>
    <row r="664" spans="31:51" x14ac:dyDescent="0.25">
      <c r="AE664" s="75">
        <v>3.145</v>
      </c>
      <c r="AF664" s="82">
        <v>3</v>
      </c>
      <c r="AG664" s="82">
        <v>1</v>
      </c>
      <c r="AH664" s="82">
        <v>2</v>
      </c>
      <c r="AI664" s="82">
        <v>3.0000000000291038</v>
      </c>
      <c r="AJ664" s="166">
        <v>3.1452300000000002</v>
      </c>
      <c r="AK664" s="82">
        <v>3.14513</v>
      </c>
      <c r="AL664" s="162">
        <v>0</v>
      </c>
      <c r="AM664" s="162">
        <v>0</v>
      </c>
      <c r="AN664" s="162">
        <v>0</v>
      </c>
      <c r="AO664" s="162">
        <v>0</v>
      </c>
      <c r="AP664" s="162">
        <v>0</v>
      </c>
      <c r="AQ664" s="162">
        <v>0</v>
      </c>
      <c r="AR664" s="710" t="str">
        <v>1613.par</v>
      </c>
      <c r="AV664" s="82" t="str">
        <v>0,204,0</v>
      </c>
      <c r="AW664" s="947">
        <v>84.97011741683842</v>
      </c>
      <c r="AX664" s="947">
        <v>84.97011741683842</v>
      </c>
      <c r="AY664" s="947">
        <v>0</v>
      </c>
    </row>
    <row r="665" spans="31:51" x14ac:dyDescent="0.25">
      <c r="AE665" s="75">
        <v>3.1389999999999998</v>
      </c>
      <c r="AF665" s="82">
        <v>3</v>
      </c>
      <c r="AG665" s="82">
        <v>1</v>
      </c>
      <c r="AH665" s="82">
        <v>2</v>
      </c>
      <c r="AI665" s="82">
        <v>2.999999999992724</v>
      </c>
      <c r="AJ665" s="166">
        <v>3.13923</v>
      </c>
      <c r="AK665" s="82">
        <v>3.1391299999999998</v>
      </c>
      <c r="AL665" s="162">
        <v>0</v>
      </c>
      <c r="AM665" s="162">
        <v>0</v>
      </c>
      <c r="AN665" s="162">
        <v>0</v>
      </c>
      <c r="AO665" s="162">
        <v>0</v>
      </c>
      <c r="AP665" s="162">
        <v>0</v>
      </c>
      <c r="AQ665" s="162">
        <v>0</v>
      </c>
      <c r="AR665" s="710" t="str">
        <v>1613.par</v>
      </c>
      <c r="AV665" s="82" t="str">
        <v>0,204,0</v>
      </c>
      <c r="AW665" s="947">
        <v>81.885446807640747</v>
      </c>
      <c r="AX665" s="947">
        <v>81.885446807640747</v>
      </c>
      <c r="AY665" s="947">
        <v>0</v>
      </c>
    </row>
    <row r="666" spans="31:51" x14ac:dyDescent="0.25">
      <c r="AE666" s="75">
        <v>3.133</v>
      </c>
      <c r="AF666" s="82">
        <v>3</v>
      </c>
      <c r="AG666" s="82">
        <v>1</v>
      </c>
      <c r="AH666" s="82">
        <v>2</v>
      </c>
      <c r="AI666" s="82">
        <v>3.0000000000291038</v>
      </c>
      <c r="AJ666" s="166">
        <v>3.1332300000000002</v>
      </c>
      <c r="AK666" s="82">
        <v>3.13313</v>
      </c>
      <c r="AL666" s="162">
        <v>0</v>
      </c>
      <c r="AM666" s="162">
        <v>0</v>
      </c>
      <c r="AN666" s="162">
        <v>0</v>
      </c>
      <c r="AO666" s="162">
        <v>0</v>
      </c>
      <c r="AP666" s="162">
        <v>0</v>
      </c>
      <c r="AQ666" s="162">
        <v>0</v>
      </c>
      <c r="AR666" s="710" t="str">
        <v>1613.par</v>
      </c>
      <c r="AV666" s="82" t="str">
        <v>0,204,0</v>
      </c>
      <c r="AW666" s="947">
        <v>63.345987496311885</v>
      </c>
      <c r="AX666" s="947">
        <v>63.345987496311885</v>
      </c>
      <c r="AY666" s="947">
        <v>0</v>
      </c>
    </row>
    <row r="667" spans="31:51" x14ac:dyDescent="0.25">
      <c r="AE667" s="75">
        <v>3.1269999999999998</v>
      </c>
      <c r="AF667" s="82">
        <v>3</v>
      </c>
      <c r="AG667" s="82">
        <v>1</v>
      </c>
      <c r="AH667" s="82">
        <v>2</v>
      </c>
      <c r="AI667" s="82">
        <v>2.999999999992724</v>
      </c>
      <c r="AJ667" s="166">
        <v>3.12723</v>
      </c>
      <c r="AK667" s="82">
        <v>3.1271299999999997</v>
      </c>
      <c r="AL667" s="162">
        <v>0</v>
      </c>
      <c r="AM667" s="162">
        <v>0</v>
      </c>
      <c r="AN667" s="162">
        <v>0</v>
      </c>
      <c r="AO667" s="162">
        <v>0</v>
      </c>
      <c r="AP667" s="162">
        <v>0</v>
      </c>
      <c r="AQ667" s="162">
        <v>0</v>
      </c>
      <c r="AR667" s="710" t="str">
        <v>1613.par</v>
      </c>
      <c r="AV667" s="82" t="str">
        <v>0,204,0</v>
      </c>
      <c r="AW667" s="947">
        <v>44.722719194276351</v>
      </c>
      <c r="AX667" s="947">
        <v>44.722719194276351</v>
      </c>
      <c r="AY667" s="947">
        <v>0</v>
      </c>
    </row>
    <row r="668" spans="31:51" x14ac:dyDescent="0.25">
      <c r="AE668" s="75">
        <v>3.121</v>
      </c>
      <c r="AF668" s="82">
        <v>3</v>
      </c>
      <c r="AG668" s="82">
        <v>1</v>
      </c>
      <c r="AH668" s="82">
        <v>2</v>
      </c>
      <c r="AI668" s="82">
        <v>3.0000000000291038</v>
      </c>
      <c r="AJ668" s="166">
        <v>3.1212300000000002</v>
      </c>
      <c r="AK668" s="82">
        <v>3.12113</v>
      </c>
      <c r="AL668" s="162">
        <v>0</v>
      </c>
      <c r="AM668" s="162">
        <v>0</v>
      </c>
      <c r="AN668" s="162">
        <v>0</v>
      </c>
      <c r="AO668" s="162">
        <v>0</v>
      </c>
      <c r="AP668" s="162">
        <v>0</v>
      </c>
      <c r="AQ668" s="162">
        <v>0</v>
      </c>
      <c r="AR668" s="710" t="str">
        <v>1613 Ripper.par</v>
      </c>
      <c r="AV668" s="82" t="str">
        <v>0,204,0</v>
      </c>
      <c r="AW668" s="947">
        <v>25.946275176386688</v>
      </c>
      <c r="AX668" s="947">
        <v>25.946275176386688</v>
      </c>
      <c r="AY668" s="947">
        <v>0</v>
      </c>
    </row>
    <row r="669" spans="31:51" x14ac:dyDescent="0.25">
      <c r="AE669" s="75">
        <v>3.1150000000000002</v>
      </c>
      <c r="AF669" s="82">
        <v>3</v>
      </c>
      <c r="AG669" s="82">
        <v>1</v>
      </c>
      <c r="AH669" s="82">
        <v>2</v>
      </c>
      <c r="AI669" s="82">
        <v>3.0000000000291038</v>
      </c>
      <c r="AJ669" s="166">
        <v>3.1152300000000004</v>
      </c>
      <c r="AK669" s="82">
        <v>3.1151300000000002</v>
      </c>
      <c r="AL669" s="162">
        <v>0</v>
      </c>
      <c r="AM669" s="162">
        <v>0</v>
      </c>
      <c r="AN669" s="162">
        <v>0</v>
      </c>
      <c r="AO669" s="162">
        <v>0</v>
      </c>
      <c r="AP669" s="162">
        <v>0</v>
      </c>
      <c r="AQ669" s="162">
        <v>0</v>
      </c>
      <c r="AR669" s="710" t="str">
        <v>1613 Ripper.par</v>
      </c>
      <c r="AV669" s="82" t="str">
        <v>0,204,0</v>
      </c>
      <c r="AW669" s="947">
        <v>7.1077563806310833</v>
      </c>
      <c r="AX669" s="947">
        <v>7.1077563806310833</v>
      </c>
      <c r="AY669" s="947">
        <v>0</v>
      </c>
    </row>
    <row r="670" spans="31:51" x14ac:dyDescent="0.25">
      <c r="AE670" s="75">
        <v>3.109</v>
      </c>
      <c r="AF670" s="82">
        <v>3</v>
      </c>
      <c r="AG670" s="82">
        <v>1</v>
      </c>
      <c r="AH670" s="82">
        <v>2</v>
      </c>
      <c r="AI670" s="82">
        <v>3.0000000000291038</v>
      </c>
      <c r="AJ670" s="166">
        <v>3.1092300000000002</v>
      </c>
      <c r="AK670" s="82">
        <v>3.1091299999999999</v>
      </c>
      <c r="AL670" s="162">
        <v>0</v>
      </c>
      <c r="AM670" s="162">
        <v>0</v>
      </c>
      <c r="AN670" s="162">
        <v>0</v>
      </c>
      <c r="AO670" s="162">
        <v>0</v>
      </c>
      <c r="AP670" s="162">
        <v>0</v>
      </c>
      <c r="AQ670" s="162">
        <v>0</v>
      </c>
      <c r="AR670" s="710" t="str">
        <v>1613 Ripper.par</v>
      </c>
      <c r="AV670" s="82" t="str">
        <v>0,204,0</v>
      </c>
      <c r="AW670" s="947">
        <v>-11.754573914654843</v>
      </c>
      <c r="AX670" s="947">
        <v>-11.754573914654843</v>
      </c>
      <c r="AY670" s="947">
        <v>0</v>
      </c>
    </row>
    <row r="671" spans="31:51" x14ac:dyDescent="0.25">
      <c r="AE671" s="75">
        <v>3.1059999999999999</v>
      </c>
      <c r="AF671" s="82">
        <v>3</v>
      </c>
      <c r="AG671" s="82">
        <v>1</v>
      </c>
      <c r="AH671" s="82">
        <v>2</v>
      </c>
      <c r="AI671" s="82">
        <v>2.999999999992724</v>
      </c>
      <c r="AJ671" s="166">
        <v>3.10623</v>
      </c>
      <c r="AK671" s="82">
        <v>3.1061299999999998</v>
      </c>
      <c r="AL671" s="162">
        <v>0</v>
      </c>
      <c r="AM671" s="162">
        <v>0</v>
      </c>
      <c r="AN671" s="162">
        <v>0</v>
      </c>
      <c r="AO671" s="162">
        <v>0</v>
      </c>
      <c r="AP671" s="162">
        <v>0</v>
      </c>
      <c r="AQ671" s="162">
        <v>0</v>
      </c>
      <c r="AR671" s="710" t="str">
        <v>1613 Ripper.par</v>
      </c>
      <c r="AV671" s="82" t="str">
        <v>0,204,0</v>
      </c>
      <c r="AW671" s="947">
        <v>-12.508515021959289</v>
      </c>
      <c r="AX671" s="947">
        <v>-12.508515021959289</v>
      </c>
      <c r="AY671" s="947">
        <v>0</v>
      </c>
    </row>
    <row r="672" spans="31:51" x14ac:dyDescent="0.25">
      <c r="AE672" s="75">
        <v>3.1030000000000002</v>
      </c>
      <c r="AF672" s="82">
        <v>3</v>
      </c>
      <c r="AG672" s="82">
        <v>1</v>
      </c>
      <c r="AH672" s="82">
        <v>2</v>
      </c>
      <c r="AI672" s="82">
        <v>3.0000000000291038</v>
      </c>
      <c r="AJ672" s="166">
        <v>3.1032300000000004</v>
      </c>
      <c r="AK672" s="82">
        <v>3.1031300000000002</v>
      </c>
      <c r="AL672" s="162">
        <v>0</v>
      </c>
      <c r="AM672" s="162">
        <v>0</v>
      </c>
      <c r="AN672" s="162">
        <v>0</v>
      </c>
      <c r="AO672" s="162">
        <v>0</v>
      </c>
      <c r="AP672" s="162">
        <v>0</v>
      </c>
      <c r="AQ672" s="162">
        <v>0</v>
      </c>
      <c r="AR672" s="710" t="str">
        <v>1613.par</v>
      </c>
      <c r="AV672" s="82" t="str">
        <v>0,204,0</v>
      </c>
      <c r="AW672" s="947">
        <v>-14.302653650703496</v>
      </c>
      <c r="AX672" s="947">
        <v>-14.302653650703496</v>
      </c>
      <c r="AY672" s="947">
        <v>0</v>
      </c>
    </row>
    <row r="673" spans="31:51" x14ac:dyDescent="0.25">
      <c r="AE673" s="75">
        <v>2.2519999999999998</v>
      </c>
      <c r="AF673" s="82">
        <v>2</v>
      </c>
      <c r="AG673" s="82">
        <v>2</v>
      </c>
      <c r="AH673" s="82">
        <v>2</v>
      </c>
      <c r="AI673" s="82">
        <v>2.999999999992724</v>
      </c>
      <c r="AJ673" s="166">
        <v>2.25223</v>
      </c>
      <c r="AK673" s="82">
        <v>2.2521299999999997</v>
      </c>
      <c r="AL673" s="162">
        <v>0</v>
      </c>
      <c r="AM673" s="162">
        <v>0</v>
      </c>
      <c r="AN673" s="162">
        <v>0</v>
      </c>
      <c r="AO673" s="162">
        <v>0</v>
      </c>
      <c r="AP673" s="162">
        <v>0</v>
      </c>
      <c r="AQ673" s="162">
        <v>0</v>
      </c>
      <c r="AR673" s="710" t="str">
        <v>1313.par</v>
      </c>
      <c r="AV673" s="82" t="str">
        <v>255,255,91</v>
      </c>
      <c r="AW673" s="947">
        <v>100.03561890671624</v>
      </c>
      <c r="AX673" s="947">
        <v>100.03561890671624</v>
      </c>
      <c r="AY673" s="947">
        <v>0</v>
      </c>
    </row>
    <row r="674" spans="31:51" x14ac:dyDescent="0.25">
      <c r="AE674" s="75">
        <v>2.246</v>
      </c>
      <c r="AF674" s="82">
        <v>2</v>
      </c>
      <c r="AG674" s="82">
        <v>2</v>
      </c>
      <c r="AH674" s="82">
        <v>2</v>
      </c>
      <c r="AI674" s="82">
        <v>3.0000000000291038</v>
      </c>
      <c r="AJ674" s="166">
        <v>2.2462300000000002</v>
      </c>
      <c r="AK674" s="82">
        <v>2.24613</v>
      </c>
      <c r="AL674" s="162">
        <v>0</v>
      </c>
      <c r="AM674" s="162">
        <v>0</v>
      </c>
      <c r="AN674" s="162">
        <v>0</v>
      </c>
      <c r="AO674" s="162">
        <v>0</v>
      </c>
      <c r="AP674" s="162">
        <v>0</v>
      </c>
      <c r="AQ674" s="162">
        <v>0</v>
      </c>
      <c r="AR674" s="710" t="str">
        <v>32193r1.par</v>
      </c>
      <c r="AV674" s="82" t="str">
        <v>255,255,91</v>
      </c>
      <c r="AW674" s="947">
        <v>89.999987005609626</v>
      </c>
      <c r="AX674" s="947">
        <v>89.999987005609626</v>
      </c>
      <c r="AY674" s="947">
        <v>0</v>
      </c>
    </row>
    <row r="675" spans="31:51" x14ac:dyDescent="0.25">
      <c r="AE675" s="75">
        <v>2.2400000000000002</v>
      </c>
      <c r="AF675" s="82">
        <v>2</v>
      </c>
      <c r="AG675" s="82">
        <v>2</v>
      </c>
      <c r="AH675" s="82">
        <v>2</v>
      </c>
      <c r="AI675" s="82">
        <v>3.0000000000291038</v>
      </c>
      <c r="AJ675" s="166">
        <v>2.2402300000000004</v>
      </c>
      <c r="AK675" s="82">
        <v>2.2401300000000002</v>
      </c>
      <c r="AL675" s="162">
        <v>0</v>
      </c>
      <c r="AM675" s="162">
        <v>0</v>
      </c>
      <c r="AN675" s="162">
        <v>0</v>
      </c>
      <c r="AO675" s="162">
        <v>0</v>
      </c>
      <c r="AP675" s="162">
        <v>0</v>
      </c>
      <c r="AQ675" s="162">
        <v>0</v>
      </c>
      <c r="AR675" s="710" t="str">
        <v>32193r1.par</v>
      </c>
      <c r="AV675" s="82" t="str">
        <v>255,255,91</v>
      </c>
      <c r="AW675" s="947">
        <v>89.999987005609611</v>
      </c>
      <c r="AX675" s="947">
        <v>89.999987005609611</v>
      </c>
      <c r="AY675" s="947">
        <v>0</v>
      </c>
    </row>
    <row r="676" spans="31:51" x14ac:dyDescent="0.25">
      <c r="AE676" s="75">
        <v>2.234</v>
      </c>
      <c r="AF676" s="82">
        <v>2</v>
      </c>
      <c r="AG676" s="82">
        <v>2</v>
      </c>
      <c r="AH676" s="82">
        <v>2</v>
      </c>
      <c r="AI676" s="82">
        <v>3.0000000000291038</v>
      </c>
      <c r="AJ676" s="166">
        <v>2.2342300000000002</v>
      </c>
      <c r="AK676" s="82">
        <v>2.2341299999999999</v>
      </c>
      <c r="AL676" s="162">
        <v>0</v>
      </c>
      <c r="AM676" s="162">
        <v>0</v>
      </c>
      <c r="AN676" s="162">
        <v>0</v>
      </c>
      <c r="AO676" s="162">
        <v>0</v>
      </c>
      <c r="AP676" s="162">
        <v>0</v>
      </c>
      <c r="AQ676" s="162">
        <v>0</v>
      </c>
      <c r="AR676" s="710" t="str">
        <v>32193r1.par</v>
      </c>
      <c r="AV676" s="82" t="str">
        <v>255,255,91</v>
      </c>
      <c r="AW676" s="947">
        <v>68.999990037634035</v>
      </c>
      <c r="AX676" s="947">
        <v>68.999990037634035</v>
      </c>
      <c r="AY676" s="947">
        <v>0</v>
      </c>
    </row>
    <row r="677" spans="31:51" x14ac:dyDescent="0.25">
      <c r="AE677" s="75">
        <v>2.2280000000000002</v>
      </c>
      <c r="AF677" s="82">
        <v>2</v>
      </c>
      <c r="AG677" s="82">
        <v>2</v>
      </c>
      <c r="AH677" s="82">
        <v>2</v>
      </c>
      <c r="AI677" s="82">
        <v>3.0000000000291038</v>
      </c>
      <c r="AJ677" s="166">
        <v>2.2282300000000004</v>
      </c>
      <c r="AK677" s="82">
        <v>2.2281300000000002</v>
      </c>
      <c r="AL677" s="162">
        <v>0</v>
      </c>
      <c r="AM677" s="162">
        <v>0</v>
      </c>
      <c r="AN677" s="162">
        <v>0</v>
      </c>
      <c r="AO677" s="162">
        <v>0</v>
      </c>
      <c r="AP677" s="162">
        <v>0</v>
      </c>
      <c r="AQ677" s="162">
        <v>0</v>
      </c>
      <c r="AR677" s="710" t="str">
        <v>32193r1.par</v>
      </c>
      <c r="AV677" s="82" t="str">
        <v>255,255,91</v>
      </c>
      <c r="AW677" s="947">
        <v>47.999993069658451</v>
      </c>
      <c r="AX677" s="947">
        <v>47.999993069658451</v>
      </c>
      <c r="AY677" s="947">
        <v>0</v>
      </c>
    </row>
    <row r="678" spans="31:51" x14ac:dyDescent="0.25">
      <c r="AE678" s="75">
        <v>2.222</v>
      </c>
      <c r="AF678" s="82">
        <v>2</v>
      </c>
      <c r="AG678" s="82">
        <v>2</v>
      </c>
      <c r="AH678" s="82">
        <v>2</v>
      </c>
      <c r="AI678" s="82">
        <v>3.0000000000291038</v>
      </c>
      <c r="AJ678" s="166">
        <v>2.2222300000000001</v>
      </c>
      <c r="AK678" s="82">
        <v>2.2221299999999999</v>
      </c>
      <c r="AL678" s="162">
        <v>0</v>
      </c>
      <c r="AM678" s="162">
        <v>0</v>
      </c>
      <c r="AN678" s="162">
        <v>0</v>
      </c>
      <c r="AO678" s="162">
        <v>0</v>
      </c>
      <c r="AP678" s="162">
        <v>0</v>
      </c>
      <c r="AQ678" s="162">
        <v>0</v>
      </c>
      <c r="AR678" s="710" t="str">
        <v>32193r1.par</v>
      </c>
      <c r="AV678" s="82" t="str">
        <v>255,255,91</v>
      </c>
      <c r="AW678" s="947">
        <v>26.999996101682878</v>
      </c>
      <c r="AX678" s="947">
        <v>26.999996101682878</v>
      </c>
      <c r="AY678" s="947">
        <v>0</v>
      </c>
    </row>
    <row r="679" spans="31:51" x14ac:dyDescent="0.25">
      <c r="AE679" s="75">
        <v>2.2160000000000002</v>
      </c>
      <c r="AF679" s="82">
        <v>2</v>
      </c>
      <c r="AG679" s="82">
        <v>2</v>
      </c>
      <c r="AH679" s="82">
        <v>2</v>
      </c>
      <c r="AI679" s="82">
        <v>3.0000000000291038</v>
      </c>
      <c r="AJ679" s="166">
        <v>2.2162300000000004</v>
      </c>
      <c r="AK679" s="82">
        <v>2.2161300000000002</v>
      </c>
      <c r="AL679" s="162">
        <v>0</v>
      </c>
      <c r="AM679" s="162">
        <v>0</v>
      </c>
      <c r="AN679" s="162">
        <v>0</v>
      </c>
      <c r="AO679" s="162">
        <v>0</v>
      </c>
      <c r="AP679" s="162">
        <v>0</v>
      </c>
      <c r="AQ679" s="162">
        <v>0</v>
      </c>
      <c r="AR679" s="710" t="str">
        <v>32193r1.par</v>
      </c>
      <c r="AV679" s="82" t="str">
        <v>255,255,91</v>
      </c>
      <c r="AW679" s="947">
        <v>5.9999991337073082</v>
      </c>
      <c r="AX679" s="947">
        <v>5.9999991337073082</v>
      </c>
      <c r="AY679" s="947">
        <v>0</v>
      </c>
    </row>
    <row r="680" spans="31:51" x14ac:dyDescent="0.25">
      <c r="AE680" s="75">
        <v>2.1459999999999999</v>
      </c>
      <c r="AF680" s="82">
        <v>2</v>
      </c>
      <c r="AG680" s="82">
        <v>1</v>
      </c>
      <c r="AH680" s="82">
        <v>2</v>
      </c>
      <c r="AI680" s="82">
        <v>2.999999999992724</v>
      </c>
      <c r="AJ680" s="166">
        <v>2.1462300000000001</v>
      </c>
      <c r="AK680" s="82">
        <v>2.1461299999999999</v>
      </c>
      <c r="AL680" s="162">
        <v>0</v>
      </c>
      <c r="AM680" s="162">
        <v>0</v>
      </c>
      <c r="AN680" s="162">
        <v>0</v>
      </c>
      <c r="AO680" s="162">
        <v>0</v>
      </c>
      <c r="AP680" s="162">
        <v>0</v>
      </c>
      <c r="AQ680" s="162">
        <v>0</v>
      </c>
      <c r="AR680" s="710" t="str">
        <v>1613.par</v>
      </c>
      <c r="AV680" s="82" t="str">
        <v>204,204,0</v>
      </c>
      <c r="AW680" s="947">
        <v>84.97011741683842</v>
      </c>
      <c r="AX680" s="947">
        <v>84.97011741683842</v>
      </c>
      <c r="AY680" s="947">
        <v>0</v>
      </c>
    </row>
    <row r="681" spans="31:51" x14ac:dyDescent="0.25">
      <c r="AE681" s="75">
        <v>2.14</v>
      </c>
      <c r="AF681" s="82">
        <v>2</v>
      </c>
      <c r="AG681" s="82">
        <v>1</v>
      </c>
      <c r="AH681" s="82">
        <v>2</v>
      </c>
      <c r="AI681" s="82">
        <v>3.0000000000291038</v>
      </c>
      <c r="AJ681" s="166">
        <v>2.1402300000000003</v>
      </c>
      <c r="AK681" s="82">
        <v>2.1401300000000001</v>
      </c>
      <c r="AL681" s="162">
        <v>0</v>
      </c>
      <c r="AM681" s="162">
        <v>0</v>
      </c>
      <c r="AN681" s="162">
        <v>0</v>
      </c>
      <c r="AO681" s="162">
        <v>0</v>
      </c>
      <c r="AP681" s="162">
        <v>0</v>
      </c>
      <c r="AQ681" s="162">
        <v>0</v>
      </c>
      <c r="AR681" s="710" t="str">
        <v>1613.par</v>
      </c>
      <c r="AV681" s="82" t="str">
        <v>204,204,0</v>
      </c>
      <c r="AW681" s="947">
        <v>84.969949372155938</v>
      </c>
      <c r="AX681" s="947">
        <v>84.969949372155938</v>
      </c>
      <c r="AY681" s="947">
        <v>0</v>
      </c>
    </row>
    <row r="682" spans="31:51" x14ac:dyDescent="0.25">
      <c r="AE682" s="75">
        <v>2.1339999999999999</v>
      </c>
      <c r="AF682" s="82">
        <v>2</v>
      </c>
      <c r="AG682" s="82">
        <v>1</v>
      </c>
      <c r="AH682" s="82">
        <v>2</v>
      </c>
      <c r="AI682" s="82">
        <v>2.999999999992724</v>
      </c>
      <c r="AJ682" s="166">
        <v>2.1342300000000001</v>
      </c>
      <c r="AK682" s="82">
        <v>2.1341299999999999</v>
      </c>
      <c r="AL682" s="162">
        <v>0</v>
      </c>
      <c r="AM682" s="162">
        <v>0</v>
      </c>
      <c r="AN682" s="162">
        <v>0</v>
      </c>
      <c r="AO682" s="162">
        <v>0</v>
      </c>
      <c r="AP682" s="162">
        <v>0</v>
      </c>
      <c r="AQ682" s="162">
        <v>0</v>
      </c>
      <c r="AR682" s="710" t="str">
        <v>1613.par</v>
      </c>
      <c r="AV682" s="82" t="str">
        <v>204,204,0</v>
      </c>
      <c r="AW682" s="947">
        <v>66.440489504246187</v>
      </c>
      <c r="AX682" s="947">
        <v>66.440489504246187</v>
      </c>
      <c r="AY682" s="947">
        <v>0</v>
      </c>
    </row>
    <row r="683" spans="31:51" x14ac:dyDescent="0.25">
      <c r="AE683" s="75">
        <v>2.1280000000000001</v>
      </c>
      <c r="AF683" s="82">
        <v>2</v>
      </c>
      <c r="AG683" s="82">
        <v>1</v>
      </c>
      <c r="AH683" s="82">
        <v>2</v>
      </c>
      <c r="AI683" s="82">
        <v>3.0000000000291038</v>
      </c>
      <c r="AJ683" s="166">
        <v>2.1282300000000003</v>
      </c>
      <c r="AK683" s="82">
        <v>2.1281300000000001</v>
      </c>
      <c r="AL683" s="162">
        <v>0</v>
      </c>
      <c r="AM683" s="162">
        <v>0</v>
      </c>
      <c r="AN683" s="162">
        <v>0</v>
      </c>
      <c r="AO683" s="162">
        <v>0</v>
      </c>
      <c r="AP683" s="162">
        <v>0</v>
      </c>
      <c r="AQ683" s="162">
        <v>0</v>
      </c>
      <c r="AR683" s="710" t="str">
        <v>1613.par</v>
      </c>
      <c r="AV683" s="82" t="str">
        <v>204,204,0</v>
      </c>
      <c r="AW683" s="947">
        <v>47.834713669325687</v>
      </c>
      <c r="AX683" s="947">
        <v>47.834713669325687</v>
      </c>
      <c r="AY683" s="947">
        <v>0</v>
      </c>
    </row>
    <row r="684" spans="31:51" x14ac:dyDescent="0.25">
      <c r="AE684" s="75">
        <v>2.1219999999999999</v>
      </c>
      <c r="AF684" s="82">
        <v>2</v>
      </c>
      <c r="AG684" s="82">
        <v>1</v>
      </c>
      <c r="AH684" s="82">
        <v>2</v>
      </c>
      <c r="AI684" s="82">
        <v>2.999999999992724</v>
      </c>
      <c r="AJ684" s="166">
        <v>2.1222300000000001</v>
      </c>
      <c r="AK684" s="82">
        <v>2.1221299999999998</v>
      </c>
      <c r="AL684" s="162">
        <v>0</v>
      </c>
      <c r="AM684" s="162">
        <v>0</v>
      </c>
      <c r="AN684" s="162">
        <v>0</v>
      </c>
      <c r="AO684" s="162">
        <v>0</v>
      </c>
      <c r="AP684" s="162">
        <v>0</v>
      </c>
      <c r="AQ684" s="162">
        <v>0</v>
      </c>
      <c r="AR684" s="710" t="str">
        <v>1613.par</v>
      </c>
      <c r="AV684" s="82" t="str">
        <v>204,204,0</v>
      </c>
      <c r="AW684" s="947">
        <v>29.091158349317926</v>
      </c>
      <c r="AX684" s="947">
        <v>29.091158349317926</v>
      </c>
      <c r="AY684" s="947">
        <v>0</v>
      </c>
    </row>
    <row r="685" spans="31:51" x14ac:dyDescent="0.25">
      <c r="AE685" s="75">
        <v>2.1160000000000001</v>
      </c>
      <c r="AF685" s="82">
        <v>2</v>
      </c>
      <c r="AG685" s="82">
        <v>1</v>
      </c>
      <c r="AH685" s="82">
        <v>2</v>
      </c>
      <c r="AI685" s="82">
        <v>3.0000000000291038</v>
      </c>
      <c r="AJ685" s="166">
        <v>2.1162300000000003</v>
      </c>
      <c r="AK685" s="82">
        <v>2.1161300000000001</v>
      </c>
      <c r="AL685" s="162">
        <v>0</v>
      </c>
      <c r="AM685" s="162">
        <v>0</v>
      </c>
      <c r="AN685" s="162">
        <v>0</v>
      </c>
      <c r="AO685" s="162">
        <v>0</v>
      </c>
      <c r="AP685" s="162">
        <v>0</v>
      </c>
      <c r="AQ685" s="162">
        <v>0</v>
      </c>
      <c r="AR685" s="710" t="str">
        <v>1613 Ripper.par</v>
      </c>
      <c r="AV685" s="82" t="str">
        <v>204,204,0</v>
      </c>
      <c r="AW685" s="947">
        <v>10.242376499105918</v>
      </c>
      <c r="AX685" s="947">
        <v>10.242376499105918</v>
      </c>
      <c r="AY685" s="947">
        <v>0</v>
      </c>
    </row>
    <row r="686" spans="31:51" x14ac:dyDescent="0.25">
      <c r="AE686" s="75">
        <v>2.11</v>
      </c>
      <c r="AF686" s="82">
        <v>2</v>
      </c>
      <c r="AG686" s="82">
        <v>1</v>
      </c>
      <c r="AH686" s="82">
        <v>2</v>
      </c>
      <c r="AI686" s="82">
        <v>2.999999999992724</v>
      </c>
      <c r="AJ686" s="166">
        <v>2.1102300000000001</v>
      </c>
      <c r="AK686" s="82">
        <v>2.1101299999999998</v>
      </c>
      <c r="AL686" s="162">
        <v>0</v>
      </c>
      <c r="AM686" s="162">
        <v>0</v>
      </c>
      <c r="AN686" s="162">
        <v>0</v>
      </c>
      <c r="AO686" s="162">
        <v>0</v>
      </c>
      <c r="AP686" s="162">
        <v>0</v>
      </c>
      <c r="AQ686" s="162">
        <v>0</v>
      </c>
      <c r="AR686" s="710" t="str">
        <v>1613 Ripper.par</v>
      </c>
      <c r="AV686" s="82" t="str">
        <v>204,204,0</v>
      </c>
      <c r="AW686" s="947">
        <v>-8.604830320611164</v>
      </c>
      <c r="AX686" s="947">
        <v>-8.604830320611164</v>
      </c>
      <c r="AY686" s="947">
        <v>0</v>
      </c>
    </row>
    <row r="687" spans="31:51" x14ac:dyDescent="0.25">
      <c r="AE687" s="75">
        <v>1.2529999999999999</v>
      </c>
      <c r="AF687" s="82">
        <v>1</v>
      </c>
      <c r="AG687" s="82">
        <v>2</v>
      </c>
      <c r="AH687" s="82">
        <v>2</v>
      </c>
      <c r="AI687" s="82">
        <v>2.999999999992724</v>
      </c>
      <c r="AJ687" s="166">
        <v>1.2532299999999998</v>
      </c>
      <c r="AK687" s="82">
        <v>1.2531299999999999</v>
      </c>
      <c r="AL687" s="162">
        <v>0</v>
      </c>
      <c r="AM687" s="162">
        <v>0</v>
      </c>
      <c r="AN687" s="162">
        <v>0</v>
      </c>
      <c r="AO687" s="162">
        <v>0</v>
      </c>
      <c r="AP687" s="162">
        <v>0</v>
      </c>
      <c r="AQ687" s="162">
        <v>0</v>
      </c>
      <c r="AR687" s="710" t="str">
        <v>1313.par</v>
      </c>
      <c r="AV687" s="82" t="str">
        <v>255,188,121</v>
      </c>
      <c r="AW687" s="947">
        <v>100.03561890671624</v>
      </c>
      <c r="AX687" s="947">
        <v>100.03561890671624</v>
      </c>
      <c r="AY687" s="947">
        <v>0</v>
      </c>
    </row>
    <row r="688" spans="31:51" x14ac:dyDescent="0.25">
      <c r="AE688" s="75">
        <v>1.2470000000000001</v>
      </c>
      <c r="AF688" s="82">
        <v>1</v>
      </c>
      <c r="AG688" s="82">
        <v>2</v>
      </c>
      <c r="AH688" s="82">
        <v>2</v>
      </c>
      <c r="AI688" s="82">
        <v>3.0000000000109139</v>
      </c>
      <c r="AJ688" s="166">
        <v>1.2472300000000001</v>
      </c>
      <c r="AK688" s="82">
        <v>1.2471300000000001</v>
      </c>
      <c r="AL688" s="162">
        <v>0</v>
      </c>
      <c r="AM688" s="162">
        <v>0</v>
      </c>
      <c r="AN688" s="162">
        <v>0</v>
      </c>
      <c r="AO688" s="162">
        <v>0</v>
      </c>
      <c r="AP688" s="162">
        <v>0</v>
      </c>
      <c r="AQ688" s="162">
        <v>0</v>
      </c>
      <c r="AR688" s="710" t="str">
        <v>32193r1.par</v>
      </c>
      <c r="AV688" s="82" t="str">
        <v>255,188,121</v>
      </c>
      <c r="AW688" s="947">
        <v>89.999987005609597</v>
      </c>
      <c r="AX688" s="947">
        <v>89.999987005609597</v>
      </c>
      <c r="AY688" s="947">
        <v>0</v>
      </c>
    </row>
    <row r="689" spans="31:51" x14ac:dyDescent="0.25">
      <c r="AE689" s="75">
        <v>1.2410000000000001</v>
      </c>
      <c r="AF689" s="82">
        <v>1</v>
      </c>
      <c r="AG689" s="82">
        <v>2</v>
      </c>
      <c r="AH689" s="82">
        <v>2</v>
      </c>
      <c r="AI689" s="82">
        <v>3.0000000000109139</v>
      </c>
      <c r="AJ689" s="166">
        <v>1.2412300000000001</v>
      </c>
      <c r="AK689" s="82">
        <v>1.2411300000000001</v>
      </c>
      <c r="AL689" s="162">
        <v>0</v>
      </c>
      <c r="AM689" s="162">
        <v>0</v>
      </c>
      <c r="AN689" s="162">
        <v>0</v>
      </c>
      <c r="AO689" s="162">
        <v>0</v>
      </c>
      <c r="AP689" s="162">
        <v>0</v>
      </c>
      <c r="AQ689" s="162">
        <v>0</v>
      </c>
      <c r="AR689" s="710" t="str">
        <v>32193r1.par</v>
      </c>
      <c r="AV689" s="82" t="str">
        <v>255,188,121</v>
      </c>
      <c r="AW689" s="947">
        <v>89.999987005609611</v>
      </c>
      <c r="AX689" s="947">
        <v>89.999987005609611</v>
      </c>
      <c r="AY689" s="947">
        <v>0</v>
      </c>
    </row>
    <row r="690" spans="31:51" x14ac:dyDescent="0.25">
      <c r="AE690" s="75">
        <v>1.2350000000000001</v>
      </c>
      <c r="AF690" s="82">
        <v>1</v>
      </c>
      <c r="AG690" s="82">
        <v>2</v>
      </c>
      <c r="AH690" s="82">
        <v>2</v>
      </c>
      <c r="AI690" s="82">
        <v>3.0000000000109139</v>
      </c>
      <c r="AJ690" s="166">
        <v>1.2352300000000001</v>
      </c>
      <c r="AK690" s="82">
        <v>1.2351300000000001</v>
      </c>
      <c r="AL690" s="162">
        <v>0</v>
      </c>
      <c r="AM690" s="162">
        <v>0</v>
      </c>
      <c r="AN690" s="162">
        <v>0</v>
      </c>
      <c r="AO690" s="162">
        <v>0</v>
      </c>
      <c r="AP690" s="162">
        <v>0</v>
      </c>
      <c r="AQ690" s="162">
        <v>0</v>
      </c>
      <c r="AR690" s="710" t="str">
        <v>1313.par</v>
      </c>
      <c r="AV690" s="82" t="str">
        <v>255,188,121</v>
      </c>
      <c r="AW690" s="947">
        <v>69.566043588691343</v>
      </c>
      <c r="AX690" s="947">
        <v>69.566043588691343</v>
      </c>
      <c r="AY690" s="947">
        <v>0</v>
      </c>
    </row>
    <row r="691" spans="31:51" x14ac:dyDescent="0.25">
      <c r="AE691" s="75">
        <v>1.2290000000000001</v>
      </c>
      <c r="AF691" s="82">
        <v>1</v>
      </c>
      <c r="AG691" s="82">
        <v>2</v>
      </c>
      <c r="AH691" s="82">
        <v>2</v>
      </c>
      <c r="AI691" s="82">
        <v>3.0000000000109139</v>
      </c>
      <c r="AJ691" s="166">
        <v>1.22923</v>
      </c>
      <c r="AK691" s="82">
        <v>1.2291300000000001</v>
      </c>
      <c r="AL691" s="162">
        <v>0</v>
      </c>
      <c r="AM691" s="162">
        <v>0</v>
      </c>
      <c r="AN691" s="162">
        <v>0</v>
      </c>
      <c r="AO691" s="162">
        <v>0</v>
      </c>
      <c r="AP691" s="162">
        <v>0</v>
      </c>
      <c r="AQ691" s="162">
        <v>0</v>
      </c>
      <c r="AR691" s="710" t="str">
        <v>1313.par</v>
      </c>
      <c r="AV691" s="82" t="str">
        <v>255,188,121</v>
      </c>
      <c r="AW691" s="947">
        <v>51.026324417745535</v>
      </c>
      <c r="AX691" s="947">
        <v>51.026324417745535</v>
      </c>
      <c r="AY691" s="947">
        <v>0</v>
      </c>
    </row>
    <row r="692" spans="31:51" x14ac:dyDescent="0.25">
      <c r="AE692" s="75">
        <v>1.2230000000000001</v>
      </c>
      <c r="AF692" s="82">
        <v>1</v>
      </c>
      <c r="AG692" s="82">
        <v>2</v>
      </c>
      <c r="AH692" s="82">
        <v>2</v>
      </c>
      <c r="AI692" s="82">
        <v>3.0000000000109139</v>
      </c>
      <c r="AJ692" s="166">
        <v>1.22323</v>
      </c>
      <c r="AK692" s="82">
        <v>1.2231300000000001</v>
      </c>
      <c r="AL692" s="162">
        <v>0</v>
      </c>
      <c r="AM692" s="162">
        <v>0</v>
      </c>
      <c r="AN692" s="162">
        <v>0</v>
      </c>
      <c r="AO692" s="162">
        <v>0</v>
      </c>
      <c r="AP692" s="162">
        <v>0</v>
      </c>
      <c r="AQ692" s="162">
        <v>0</v>
      </c>
      <c r="AR692" s="710" t="str">
        <v>1313.par</v>
      </c>
      <c r="AV692" s="82" t="str">
        <v>255,188,121</v>
      </c>
      <c r="AW692" s="947">
        <v>32.403257224374144</v>
      </c>
      <c r="AX692" s="947">
        <v>32.403257224374144</v>
      </c>
      <c r="AY692" s="947">
        <v>0</v>
      </c>
    </row>
    <row r="693" spans="31:51" x14ac:dyDescent="0.25">
      <c r="AE693" s="75">
        <v>1.2170000000000001</v>
      </c>
      <c r="AF693" s="82">
        <v>1</v>
      </c>
      <c r="AG693" s="82">
        <v>2</v>
      </c>
      <c r="AH693" s="82">
        <v>2</v>
      </c>
      <c r="AI693" s="82">
        <v>3.0000000000109139</v>
      </c>
      <c r="AJ693" s="166">
        <v>1.21723</v>
      </c>
      <c r="AK693" s="82">
        <v>1.21713</v>
      </c>
      <c r="AL693" s="162">
        <v>0</v>
      </c>
      <c r="AM693" s="162">
        <v>0</v>
      </c>
      <c r="AN693" s="162">
        <v>0</v>
      </c>
      <c r="AO693" s="162">
        <v>0</v>
      </c>
      <c r="AP693" s="162">
        <v>0</v>
      </c>
      <c r="AQ693" s="162">
        <v>0</v>
      </c>
      <c r="AR693" s="710" t="str">
        <v>32193r1.par</v>
      </c>
      <c r="AV693" s="82" t="str">
        <v>255,188,121</v>
      </c>
      <c r="AW693" s="947">
        <v>5.9999991337073153</v>
      </c>
      <c r="AX693" s="947">
        <v>5.9999991337073153</v>
      </c>
      <c r="AY693" s="947">
        <v>0</v>
      </c>
    </row>
    <row r="694" spans="31:51" x14ac:dyDescent="0.25">
      <c r="AE694" s="75">
        <v>1.147</v>
      </c>
      <c r="AF694" s="82">
        <v>1</v>
      </c>
      <c r="AG694" s="82">
        <v>1</v>
      </c>
      <c r="AH694" s="82">
        <v>2</v>
      </c>
      <c r="AI694" s="82">
        <v>2.999999999992724</v>
      </c>
      <c r="AJ694" s="166">
        <v>1.14723</v>
      </c>
      <c r="AK694" s="82">
        <v>1.14713</v>
      </c>
      <c r="AL694" s="162">
        <v>0</v>
      </c>
      <c r="AM694" s="162">
        <v>0</v>
      </c>
      <c r="AN694" s="162">
        <v>0</v>
      </c>
      <c r="AO694" s="162">
        <v>0</v>
      </c>
      <c r="AP694" s="162">
        <v>0</v>
      </c>
      <c r="AQ694" s="162">
        <v>0</v>
      </c>
      <c r="AR694" s="710" t="str">
        <v>1613.par</v>
      </c>
      <c r="AV694" s="82" t="str">
        <v>255,127,0</v>
      </c>
      <c r="AW694" s="947">
        <v>84.970117416838434</v>
      </c>
      <c r="AX694" s="947">
        <v>84.970117416838434</v>
      </c>
      <c r="AY694" s="947">
        <v>0</v>
      </c>
    </row>
    <row r="695" spans="31:51" x14ac:dyDescent="0.25">
      <c r="AE695" s="75">
        <v>1.141</v>
      </c>
      <c r="AF695" s="82">
        <v>1</v>
      </c>
      <c r="AG695" s="82">
        <v>1</v>
      </c>
      <c r="AH695" s="82">
        <v>2</v>
      </c>
      <c r="AI695" s="82">
        <v>2.999999999992724</v>
      </c>
      <c r="AJ695" s="166">
        <v>1.14123</v>
      </c>
      <c r="AK695" s="82">
        <v>1.14113</v>
      </c>
      <c r="AL695" s="162">
        <v>0</v>
      </c>
      <c r="AM695" s="162">
        <v>0</v>
      </c>
      <c r="AN695" s="162">
        <v>0</v>
      </c>
      <c r="AO695" s="162">
        <v>0</v>
      </c>
      <c r="AP695" s="162">
        <v>0</v>
      </c>
      <c r="AQ695" s="162">
        <v>0</v>
      </c>
      <c r="AR695" s="710" t="str">
        <v>1613.par</v>
      </c>
      <c r="AV695" s="82" t="str">
        <v>255,127,0</v>
      </c>
      <c r="AW695" s="947">
        <v>84.96994937215598</v>
      </c>
      <c r="AX695" s="947">
        <v>84.96994937215598</v>
      </c>
      <c r="AY695" s="947">
        <v>0</v>
      </c>
    </row>
    <row r="696" spans="31:51" x14ac:dyDescent="0.25">
      <c r="AE696" s="75">
        <v>1.135</v>
      </c>
      <c r="AF696" s="82">
        <v>1</v>
      </c>
      <c r="AG696" s="82">
        <v>1</v>
      </c>
      <c r="AH696" s="82">
        <v>2</v>
      </c>
      <c r="AI696" s="82">
        <v>2.999999999992724</v>
      </c>
      <c r="AJ696" s="166">
        <v>1.13523</v>
      </c>
      <c r="AK696" s="82">
        <v>1.13513</v>
      </c>
      <c r="AL696" s="162">
        <v>0</v>
      </c>
      <c r="AM696" s="162">
        <v>0</v>
      </c>
      <c r="AN696" s="162">
        <v>0</v>
      </c>
      <c r="AO696" s="162">
        <v>0</v>
      </c>
      <c r="AP696" s="162">
        <v>0</v>
      </c>
      <c r="AQ696" s="162">
        <v>0</v>
      </c>
      <c r="AR696" s="710" t="str">
        <v>1613.par</v>
      </c>
      <c r="AV696" s="82" t="str">
        <v>255,127,0</v>
      </c>
      <c r="AW696" s="947">
        <v>69.53293472939626</v>
      </c>
      <c r="AX696" s="947">
        <v>69.53293472939626</v>
      </c>
      <c r="AY696" s="947">
        <v>0</v>
      </c>
    </row>
    <row r="697" spans="31:51" x14ac:dyDescent="0.25">
      <c r="AE697" s="75">
        <v>1.129</v>
      </c>
      <c r="AF697" s="82">
        <v>1</v>
      </c>
      <c r="AG697" s="82">
        <v>1</v>
      </c>
      <c r="AH697" s="82">
        <v>2</v>
      </c>
      <c r="AI697" s="82">
        <v>2.999999999992724</v>
      </c>
      <c r="AJ697" s="166">
        <v>1.12923</v>
      </c>
      <c r="AK697" s="82">
        <v>1.12913</v>
      </c>
      <c r="AL697" s="162">
        <v>0</v>
      </c>
      <c r="AM697" s="162">
        <v>0</v>
      </c>
      <c r="AN697" s="162">
        <v>0</v>
      </c>
      <c r="AO697" s="162">
        <v>0</v>
      </c>
      <c r="AP697" s="162">
        <v>0</v>
      </c>
      <c r="AQ697" s="162">
        <v>0</v>
      </c>
      <c r="AR697" s="710" t="str">
        <v>1613.par</v>
      </c>
      <c r="AV697" s="82" t="str">
        <v>255,127,0</v>
      </c>
      <c r="AW697" s="947">
        <v>50.943025181030578</v>
      </c>
      <c r="AX697" s="947">
        <v>50.943025181030578</v>
      </c>
      <c r="AY697" s="947">
        <v>0</v>
      </c>
    </row>
    <row r="698" spans="31:51" x14ac:dyDescent="0.25">
      <c r="AE698" s="75">
        <v>1.123</v>
      </c>
      <c r="AF698" s="82">
        <v>1</v>
      </c>
      <c r="AG698" s="82">
        <v>1</v>
      </c>
      <c r="AH698" s="82">
        <v>2</v>
      </c>
      <c r="AI698" s="82">
        <v>2.999999999992724</v>
      </c>
      <c r="AJ698" s="166">
        <v>1.12323</v>
      </c>
      <c r="AK698" s="82">
        <v>1.12313</v>
      </c>
      <c r="AL698" s="162">
        <v>0</v>
      </c>
      <c r="AM698" s="162">
        <v>0</v>
      </c>
      <c r="AN698" s="162">
        <v>0</v>
      </c>
      <c r="AO698" s="162">
        <v>0</v>
      </c>
      <c r="AP698" s="162">
        <v>0</v>
      </c>
      <c r="AQ698" s="162">
        <v>0</v>
      </c>
      <c r="AR698" s="710" t="str">
        <v>1613.par</v>
      </c>
      <c r="AV698" s="82" t="str">
        <v>255,127,0</v>
      </c>
      <c r="AW698" s="947">
        <v>32.228901208944677</v>
      </c>
      <c r="AX698" s="947">
        <v>32.228901208944677</v>
      </c>
      <c r="AY698" s="947">
        <v>0</v>
      </c>
    </row>
    <row r="699" spans="31:51" x14ac:dyDescent="0.25">
      <c r="AE699" s="75">
        <v>1.117</v>
      </c>
      <c r="AF699" s="82">
        <v>1</v>
      </c>
      <c r="AG699" s="82">
        <v>1</v>
      </c>
      <c r="AH699" s="82">
        <v>2</v>
      </c>
      <c r="AI699" s="82">
        <v>2.999999999992724</v>
      </c>
      <c r="AJ699" s="166">
        <v>1.1172299999999999</v>
      </c>
      <c r="AK699" s="82">
        <v>1.11713</v>
      </c>
      <c r="AL699" s="162">
        <v>0</v>
      </c>
      <c r="AM699" s="162">
        <v>0</v>
      </c>
      <c r="AN699" s="162">
        <v>0</v>
      </c>
      <c r="AO699" s="162">
        <v>0</v>
      </c>
      <c r="AP699" s="162">
        <v>0</v>
      </c>
      <c r="AQ699" s="162">
        <v>0</v>
      </c>
      <c r="AR699" s="710" t="str">
        <v>1613 Ripper.par</v>
      </c>
      <c r="AV699" s="82" t="str">
        <v>255,127,0</v>
      </c>
      <c r="AW699" s="947">
        <v>13.374429842880255</v>
      </c>
      <c r="AX699" s="947">
        <v>13.374429842880255</v>
      </c>
      <c r="AY699" s="947">
        <v>0</v>
      </c>
    </row>
    <row r="700" spans="31:51" x14ac:dyDescent="0.25">
      <c r="AE700" s="75">
        <v>1.111</v>
      </c>
      <c r="AF700" s="82">
        <v>1</v>
      </c>
      <c r="AG700" s="82">
        <v>1</v>
      </c>
      <c r="AH700" s="82">
        <v>2</v>
      </c>
      <c r="AI700" s="82">
        <v>2.999999999992724</v>
      </c>
      <c r="AJ700" s="166">
        <v>1.1112299999999999</v>
      </c>
      <c r="AK700" s="82">
        <v>1.11113</v>
      </c>
      <c r="AL700" s="162">
        <v>0</v>
      </c>
      <c r="AM700" s="162">
        <v>0</v>
      </c>
      <c r="AN700" s="162">
        <v>0</v>
      </c>
      <c r="AO700" s="162">
        <v>0</v>
      </c>
      <c r="AP700" s="162">
        <v>0</v>
      </c>
      <c r="AQ700" s="162">
        <v>0</v>
      </c>
      <c r="AR700" s="710" t="str">
        <v>1613 Ripper.par</v>
      </c>
      <c r="AV700" s="82" t="str">
        <v>255,127,0</v>
      </c>
      <c r="AW700" s="947">
        <v>-5.4571267998021593</v>
      </c>
      <c r="AX700" s="947">
        <v>-5.4571267998021593</v>
      </c>
      <c r="AY700" s="947">
        <v>0</v>
      </c>
    </row>
    <row r="701" spans="31:51" x14ac:dyDescent="0.25">
      <c r="AE701" s="75">
        <v>1.107</v>
      </c>
      <c r="AF701" s="82">
        <v>1</v>
      </c>
      <c r="AG701" s="82">
        <v>1</v>
      </c>
      <c r="AH701" s="82">
        <v>2</v>
      </c>
      <c r="AI701" s="82">
        <v>2.999999999992724</v>
      </c>
      <c r="AJ701" s="166">
        <v>1.1072299999999999</v>
      </c>
      <c r="AK701" s="82">
        <v>1.1071299999999999</v>
      </c>
      <c r="AL701" s="162">
        <v>0</v>
      </c>
      <c r="AM701" s="162">
        <v>0</v>
      </c>
      <c r="AN701" s="162">
        <v>0</v>
      </c>
      <c r="AO701" s="162">
        <v>0</v>
      </c>
      <c r="AP701" s="162">
        <v>0</v>
      </c>
      <c r="AQ701" s="162">
        <v>0</v>
      </c>
      <c r="AR701" s="710" t="str">
        <v>1613 Ripper.par</v>
      </c>
      <c r="AV701" s="82" t="str">
        <v>255,127,0</v>
      </c>
      <c r="AW701" s="947">
        <v>-12.188363844259069</v>
      </c>
      <c r="AX701" s="947">
        <v>-12.188363844259069</v>
      </c>
      <c r="AY701" s="947">
        <v>0</v>
      </c>
    </row>
    <row r="702" spans="31:51" x14ac:dyDescent="0.25">
      <c r="AE702" s="75">
        <v>1.1040000000000001</v>
      </c>
      <c r="AF702" s="82">
        <v>1</v>
      </c>
      <c r="AG702" s="82">
        <v>1</v>
      </c>
      <c r="AH702" s="82">
        <v>2</v>
      </c>
      <c r="AI702" s="82">
        <v>3.0000000000109139</v>
      </c>
      <c r="AJ702" s="166">
        <v>1.10423</v>
      </c>
      <c r="AK702" s="82">
        <v>1.1041300000000001</v>
      </c>
      <c r="AL702" s="162">
        <v>0</v>
      </c>
      <c r="AM702" s="162">
        <v>0</v>
      </c>
      <c r="AN702" s="162">
        <v>0</v>
      </c>
      <c r="AO702" s="162">
        <v>0</v>
      </c>
      <c r="AP702" s="162">
        <v>0</v>
      </c>
      <c r="AQ702" s="162">
        <v>0</v>
      </c>
      <c r="AR702" s="710" t="str">
        <v>1613 Ripper.par</v>
      </c>
      <c r="AV702" s="82" t="str">
        <v>255,127,0</v>
      </c>
      <c r="AW702" s="947">
        <v>-13.592723484172373</v>
      </c>
      <c r="AX702" s="947">
        <v>-13.592723484172373</v>
      </c>
      <c r="AY702" s="947">
        <v>0</v>
      </c>
    </row>
    <row r="703" spans="31:51" x14ac:dyDescent="0.25">
      <c r="AE703" s="75">
        <v>1.101</v>
      </c>
      <c r="AF703" s="82">
        <v>1</v>
      </c>
      <c r="AG703" s="82">
        <v>1</v>
      </c>
      <c r="AH703" s="82">
        <v>2</v>
      </c>
      <c r="AI703" s="82">
        <v>2.999999999992724</v>
      </c>
      <c r="AJ703" s="166">
        <v>1.1012299999999999</v>
      </c>
      <c r="AK703" s="82">
        <v>1.1011299999999999</v>
      </c>
      <c r="AL703" s="162">
        <v>0</v>
      </c>
      <c r="AM703" s="162">
        <v>0</v>
      </c>
      <c r="AN703" s="162">
        <v>0</v>
      </c>
      <c r="AO703" s="162">
        <v>0</v>
      </c>
      <c r="AP703" s="162">
        <v>0</v>
      </c>
      <c r="AQ703" s="162">
        <v>0</v>
      </c>
      <c r="AR703" s="710" t="str">
        <v>1613.par</v>
      </c>
      <c r="AV703" s="82" t="str">
        <v>255,127,0</v>
      </c>
      <c r="AW703" s="947">
        <v>-18.141294048916745</v>
      </c>
      <c r="AX703" s="947">
        <v>-18.141294048916745</v>
      </c>
      <c r="AY703" s="947">
        <v>0</v>
      </c>
    </row>
    <row r="704" spans="31:51" x14ac:dyDescent="0.25">
      <c r="AE704" s="75"/>
      <c r="AF704" s="82"/>
      <c r="AG704" s="82"/>
      <c r="AH704" s="82"/>
      <c r="AI704" s="82"/>
      <c r="AJ704" s="166"/>
      <c r="AK704" s="82"/>
      <c r="AL704" s="162"/>
      <c r="AM704" s="162"/>
      <c r="AN704" s="162"/>
      <c r="AO704" s="162"/>
      <c r="AP704" s="162"/>
      <c r="AQ704" s="162"/>
      <c r="AR704" s="710"/>
      <c r="AV704" s="82"/>
      <c r="AW704" s="947"/>
      <c r="AX704" s="947"/>
      <c r="AY704" s="947"/>
    </row>
    <row r="705" spans="31:51" x14ac:dyDescent="0.25">
      <c r="AE705" s="75"/>
      <c r="AF705" s="82"/>
      <c r="AG705" s="82"/>
      <c r="AH705" s="82"/>
      <c r="AI705" s="82"/>
      <c r="AJ705" s="166"/>
      <c r="AK705" s="82"/>
      <c r="AL705" s="162"/>
      <c r="AM705" s="162"/>
      <c r="AN705" s="162"/>
      <c r="AO705" s="162"/>
      <c r="AP705" s="162"/>
      <c r="AQ705" s="162"/>
      <c r="AR705" s="710"/>
      <c r="AV705" s="82"/>
      <c r="AW705" s="947"/>
      <c r="AX705" s="947"/>
      <c r="AY705" s="947"/>
    </row>
    <row r="706" spans="31:51" x14ac:dyDescent="0.25">
      <c r="AE706" s="75"/>
      <c r="AF706" s="82"/>
      <c r="AG706" s="82"/>
      <c r="AH706" s="82"/>
      <c r="AI706" s="82"/>
      <c r="AJ706" s="166"/>
      <c r="AK706" s="82"/>
      <c r="AL706" s="162"/>
      <c r="AM706" s="162"/>
      <c r="AN706" s="162"/>
      <c r="AO706" s="162"/>
      <c r="AP706" s="162"/>
      <c r="AQ706" s="162"/>
      <c r="AR706" s="710"/>
      <c r="AV706" s="82"/>
      <c r="AW706" s="947"/>
      <c r="AX706" s="947"/>
      <c r="AY706" s="947"/>
    </row>
    <row r="707" spans="31:51" x14ac:dyDescent="0.25">
      <c r="AE707" s="75"/>
      <c r="AF707" s="82"/>
      <c r="AG707" s="82"/>
      <c r="AH707" s="82"/>
      <c r="AI707" s="82"/>
      <c r="AJ707" s="166"/>
      <c r="AK707" s="82"/>
      <c r="AL707" s="162"/>
      <c r="AM707" s="162"/>
      <c r="AN707" s="162"/>
      <c r="AO707" s="162"/>
      <c r="AP707" s="162"/>
      <c r="AQ707" s="162"/>
      <c r="AR707" s="710"/>
      <c r="AV707" s="82"/>
      <c r="AW707" s="947"/>
      <c r="AX707" s="947"/>
      <c r="AY707" s="947"/>
    </row>
    <row r="708" spans="31:51" x14ac:dyDescent="0.25">
      <c r="AE708" s="75"/>
      <c r="AF708" s="82"/>
      <c r="AG708" s="82"/>
      <c r="AH708" s="82"/>
      <c r="AI708" s="82"/>
      <c r="AJ708" s="166"/>
      <c r="AK708" s="82"/>
      <c r="AL708" s="162"/>
      <c r="AM708" s="162"/>
      <c r="AN708" s="162"/>
      <c r="AO708" s="162"/>
      <c r="AP708" s="162"/>
      <c r="AQ708" s="162"/>
      <c r="AR708" s="710"/>
      <c r="AV708" s="82"/>
      <c r="AW708" s="947"/>
      <c r="AX708" s="947"/>
      <c r="AY708" s="947"/>
    </row>
    <row r="709" spans="31:51" x14ac:dyDescent="0.25">
      <c r="AE709" s="75"/>
      <c r="AF709" s="82"/>
      <c r="AG709" s="82"/>
      <c r="AH709" s="82"/>
      <c r="AI709" s="82"/>
      <c r="AJ709" s="166"/>
      <c r="AK709" s="82"/>
      <c r="AL709" s="162"/>
      <c r="AM709" s="162"/>
      <c r="AN709" s="162"/>
      <c r="AO709" s="162"/>
      <c r="AP709" s="162"/>
      <c r="AQ709" s="162"/>
      <c r="AR709" s="710"/>
      <c r="AV709" s="82"/>
      <c r="AW709" s="947"/>
      <c r="AX709" s="947"/>
      <c r="AY709" s="947"/>
    </row>
    <row r="710" spans="31:51" x14ac:dyDescent="0.25">
      <c r="AE710" s="75"/>
      <c r="AF710" s="82"/>
      <c r="AG710" s="82"/>
      <c r="AH710" s="82"/>
      <c r="AI710" s="82"/>
      <c r="AJ710" s="166"/>
      <c r="AK710" s="82"/>
      <c r="AL710" s="162"/>
      <c r="AM710" s="162"/>
      <c r="AN710" s="162"/>
      <c r="AO710" s="162"/>
      <c r="AP710" s="162"/>
      <c r="AQ710" s="162"/>
      <c r="AR710" s="710"/>
      <c r="AV710" s="82"/>
      <c r="AW710" s="947"/>
      <c r="AX710" s="947"/>
      <c r="AY710" s="947"/>
    </row>
    <row r="711" spans="31:51" x14ac:dyDescent="0.25">
      <c r="AE711" s="75"/>
      <c r="AF711" s="82"/>
      <c r="AG711" s="82"/>
      <c r="AH711" s="82"/>
      <c r="AI711" s="82"/>
      <c r="AJ711" s="166"/>
      <c r="AK711" s="82"/>
      <c r="AL711" s="162"/>
      <c r="AM711" s="162"/>
      <c r="AN711" s="162"/>
      <c r="AO711" s="162"/>
      <c r="AP711" s="162"/>
      <c r="AQ711" s="162"/>
      <c r="AR711" s="710"/>
      <c r="AV711" s="82"/>
      <c r="AW711" s="947"/>
      <c r="AX711" s="947"/>
      <c r="AY711" s="947"/>
    </row>
    <row r="712" spans="31:51" x14ac:dyDescent="0.25">
      <c r="AE712" s="75"/>
      <c r="AF712" s="82"/>
      <c r="AG712" s="82"/>
      <c r="AH712" s="82"/>
      <c r="AI712" s="82"/>
      <c r="AJ712" s="166"/>
      <c r="AK712" s="82"/>
      <c r="AL712" s="162"/>
      <c r="AM712" s="162"/>
      <c r="AN712" s="162"/>
      <c r="AO712" s="162"/>
      <c r="AP712" s="162"/>
      <c r="AQ712" s="162"/>
      <c r="AR712" s="710"/>
      <c r="AV712" s="82"/>
      <c r="AW712" s="947"/>
      <c r="AX712" s="947"/>
      <c r="AY712" s="947"/>
    </row>
    <row r="713" spans="31:51" x14ac:dyDescent="0.25">
      <c r="AE713" s="75"/>
      <c r="AF713" s="82"/>
      <c r="AG713" s="82"/>
      <c r="AH713" s="82"/>
      <c r="AI713" s="82"/>
      <c r="AJ713" s="166"/>
      <c r="AK713" s="82"/>
      <c r="AL713" s="162"/>
      <c r="AM713" s="162"/>
      <c r="AN713" s="162"/>
      <c r="AO713" s="162"/>
      <c r="AP713" s="162"/>
      <c r="AQ713" s="162"/>
      <c r="AR713" s="710"/>
      <c r="AV713" s="82"/>
      <c r="AW713" s="947"/>
      <c r="AX713" s="947"/>
      <c r="AY713" s="947"/>
    </row>
    <row r="714" spans="31:51" x14ac:dyDescent="0.25">
      <c r="AE714" s="75"/>
      <c r="AF714" s="82"/>
      <c r="AG714" s="82"/>
      <c r="AH714" s="82"/>
      <c r="AI714" s="82"/>
      <c r="AJ714" s="166"/>
      <c r="AK714" s="82"/>
      <c r="AL714" s="162"/>
      <c r="AM714" s="162"/>
      <c r="AN714" s="162"/>
      <c r="AO714" s="162"/>
      <c r="AP714" s="162"/>
      <c r="AQ714" s="162"/>
      <c r="AR714" s="710"/>
      <c r="AV714" s="82"/>
      <c r="AW714" s="947"/>
      <c r="AX714" s="947"/>
      <c r="AY714" s="947"/>
    </row>
    <row r="715" spans="31:51" x14ac:dyDescent="0.25">
      <c r="AE715" s="75"/>
      <c r="AF715" s="82"/>
      <c r="AG715" s="82"/>
      <c r="AH715" s="82"/>
      <c r="AI715" s="82"/>
      <c r="AJ715" s="166"/>
      <c r="AK715" s="82"/>
      <c r="AL715" s="162"/>
      <c r="AM715" s="162"/>
      <c r="AN715" s="162"/>
      <c r="AO715" s="162"/>
      <c r="AP715" s="162"/>
      <c r="AQ715" s="162"/>
      <c r="AR715" s="710"/>
      <c r="AV715" s="82"/>
      <c r="AW715" s="947"/>
      <c r="AX715" s="947"/>
      <c r="AY715" s="947"/>
    </row>
    <row r="716" spans="31:51" x14ac:dyDescent="0.25">
      <c r="AE716" s="75"/>
      <c r="AF716" s="82"/>
      <c r="AG716" s="82"/>
      <c r="AH716" s="82"/>
      <c r="AI716" s="82"/>
      <c r="AJ716" s="166"/>
      <c r="AK716" s="82"/>
      <c r="AL716" s="162"/>
      <c r="AM716" s="162"/>
      <c r="AN716" s="162"/>
      <c r="AO716" s="162"/>
      <c r="AP716" s="162"/>
      <c r="AQ716" s="162"/>
      <c r="AR716" s="710"/>
      <c r="AV716" s="82"/>
      <c r="AW716" s="947"/>
      <c r="AX716" s="947"/>
      <c r="AY716" s="947"/>
    </row>
    <row r="717" spans="31:51" x14ac:dyDescent="0.25">
      <c r="AE717" s="75"/>
      <c r="AF717" s="82"/>
      <c r="AG717" s="82"/>
      <c r="AH717" s="82"/>
      <c r="AI717" s="82"/>
      <c r="AJ717" s="166"/>
      <c r="AK717" s="82"/>
      <c r="AL717" s="162"/>
      <c r="AM717" s="162"/>
      <c r="AN717" s="162"/>
      <c r="AO717" s="162"/>
      <c r="AP717" s="162"/>
      <c r="AQ717" s="162"/>
      <c r="AR717" s="710"/>
      <c r="AV717" s="82"/>
      <c r="AW717" s="947"/>
      <c r="AX717" s="947"/>
      <c r="AY717" s="947"/>
    </row>
    <row r="718" spans="31:51" x14ac:dyDescent="0.25">
      <c r="AE718" s="75"/>
      <c r="AF718" s="82"/>
      <c r="AG718" s="82"/>
      <c r="AH718" s="82"/>
      <c r="AI718" s="82"/>
      <c r="AJ718" s="166"/>
      <c r="AK718" s="82"/>
      <c r="AL718" s="162"/>
      <c r="AM718" s="162"/>
      <c r="AN718" s="162"/>
      <c r="AO718" s="162"/>
      <c r="AP718" s="162"/>
      <c r="AQ718" s="162"/>
      <c r="AR718" s="710"/>
      <c r="AV718" s="82"/>
      <c r="AW718" s="947"/>
      <c r="AX718" s="947"/>
      <c r="AY718" s="947"/>
    </row>
    <row r="719" spans="31:51" x14ac:dyDescent="0.25">
      <c r="AE719" s="75"/>
      <c r="AF719" s="82"/>
      <c r="AG719" s="82"/>
      <c r="AH719" s="82"/>
      <c r="AI719" s="82"/>
      <c r="AJ719" s="166"/>
      <c r="AK719" s="82"/>
      <c r="AL719" s="162"/>
      <c r="AM719" s="162"/>
      <c r="AN719" s="162"/>
      <c r="AO719" s="162"/>
      <c r="AP719" s="162"/>
      <c r="AQ719" s="162"/>
      <c r="AR719" s="710"/>
      <c r="AV719" s="82"/>
      <c r="AW719" s="947"/>
      <c r="AX719" s="947"/>
      <c r="AY719" s="947"/>
    </row>
    <row r="720" spans="31:51" x14ac:dyDescent="0.25">
      <c r="AE720" s="75"/>
      <c r="AF720" s="82"/>
      <c r="AG720" s="82"/>
      <c r="AH720" s="82"/>
      <c r="AI720" s="82"/>
      <c r="AJ720" s="166"/>
      <c r="AK720" s="82"/>
      <c r="AL720" s="162"/>
      <c r="AM720" s="162"/>
      <c r="AN720" s="162"/>
      <c r="AO720" s="162"/>
      <c r="AP720" s="162"/>
      <c r="AQ720" s="162"/>
      <c r="AR720" s="710"/>
      <c r="AV720" s="82"/>
      <c r="AW720" s="947"/>
      <c r="AX720" s="947"/>
      <c r="AY720" s="947"/>
    </row>
    <row r="721" spans="31:51" x14ac:dyDescent="0.25">
      <c r="AE721" s="75"/>
      <c r="AF721" s="82"/>
      <c r="AG721" s="82"/>
      <c r="AH721" s="82"/>
      <c r="AI721" s="82"/>
      <c r="AJ721" s="166"/>
      <c r="AK721" s="82"/>
      <c r="AL721" s="162"/>
      <c r="AM721" s="162"/>
      <c r="AN721" s="162"/>
      <c r="AO721" s="162"/>
      <c r="AP721" s="162"/>
      <c r="AQ721" s="162"/>
      <c r="AR721" s="710"/>
      <c r="AV721" s="82"/>
      <c r="AW721" s="947"/>
      <c r="AX721" s="947"/>
      <c r="AY721" s="947"/>
    </row>
    <row r="722" spans="31:51" x14ac:dyDescent="0.25">
      <c r="AE722" s="75"/>
      <c r="AF722" s="82"/>
      <c r="AG722" s="82"/>
      <c r="AH722" s="82"/>
      <c r="AI722" s="82"/>
      <c r="AJ722" s="166"/>
      <c r="AK722" s="82"/>
      <c r="AL722" s="162"/>
      <c r="AM722" s="162"/>
      <c r="AN722" s="162"/>
      <c r="AO722" s="162"/>
      <c r="AP722" s="162"/>
      <c r="AQ722" s="162"/>
      <c r="AR722" s="710"/>
      <c r="AV722" s="82"/>
      <c r="AW722" s="947"/>
      <c r="AX722" s="947"/>
      <c r="AY722" s="947"/>
    </row>
    <row r="723" spans="31:51" x14ac:dyDescent="0.25">
      <c r="AE723" s="75"/>
      <c r="AF723" s="82"/>
      <c r="AG723" s="82"/>
      <c r="AH723" s="82"/>
      <c r="AI723" s="82"/>
      <c r="AJ723" s="166"/>
      <c r="AK723" s="82"/>
      <c r="AL723" s="162"/>
      <c r="AM723" s="162"/>
      <c r="AN723" s="162"/>
      <c r="AO723" s="162"/>
      <c r="AP723" s="162"/>
      <c r="AQ723" s="162"/>
      <c r="AR723" s="710"/>
      <c r="AV723" s="82"/>
      <c r="AW723" s="947"/>
      <c r="AX723" s="947"/>
      <c r="AY723" s="947"/>
    </row>
    <row r="724" spans="31:51" x14ac:dyDescent="0.25">
      <c r="AE724" s="75"/>
      <c r="AF724" s="82"/>
      <c r="AG724" s="82"/>
      <c r="AH724" s="82"/>
      <c r="AI724" s="82"/>
      <c r="AJ724" s="166"/>
      <c r="AK724" s="82"/>
      <c r="AL724" s="162"/>
      <c r="AM724" s="162"/>
      <c r="AN724" s="162"/>
      <c r="AO724" s="162"/>
      <c r="AP724" s="162"/>
      <c r="AQ724" s="162"/>
      <c r="AR724" s="710"/>
      <c r="AV724" s="82"/>
      <c r="AW724" s="947"/>
      <c r="AX724" s="947"/>
      <c r="AY724" s="947"/>
    </row>
    <row r="725" spans="31:51" x14ac:dyDescent="0.25">
      <c r="AE725" s="75"/>
      <c r="AF725" s="82"/>
      <c r="AG725" s="82"/>
      <c r="AH725" s="82"/>
      <c r="AI725" s="82"/>
      <c r="AJ725" s="166"/>
      <c r="AK725" s="82"/>
      <c r="AL725" s="162"/>
      <c r="AM725" s="162"/>
      <c r="AN725" s="162"/>
      <c r="AO725" s="162"/>
      <c r="AP725" s="162"/>
      <c r="AQ725" s="162"/>
      <c r="AR725" s="710"/>
      <c r="AV725" s="82"/>
      <c r="AW725" s="947"/>
      <c r="AX725" s="947"/>
      <c r="AY725" s="947"/>
    </row>
    <row r="726" spans="31:51" x14ac:dyDescent="0.25">
      <c r="AE726" s="75"/>
      <c r="AF726" s="82"/>
      <c r="AG726" s="82"/>
      <c r="AH726" s="82"/>
      <c r="AI726" s="82"/>
      <c r="AJ726" s="166"/>
      <c r="AK726" s="82"/>
      <c r="AL726" s="162"/>
      <c r="AM726" s="162"/>
      <c r="AN726" s="162"/>
      <c r="AO726" s="162"/>
      <c r="AP726" s="162"/>
      <c r="AQ726" s="162"/>
      <c r="AR726" s="710"/>
      <c r="AV726" s="82"/>
      <c r="AW726" s="947"/>
      <c r="AX726" s="947"/>
      <c r="AY726" s="947"/>
    </row>
    <row r="727" spans="31:51" x14ac:dyDescent="0.25">
      <c r="AE727" s="75"/>
      <c r="AF727" s="82"/>
      <c r="AG727" s="82"/>
      <c r="AH727" s="82"/>
      <c r="AI727" s="82"/>
      <c r="AJ727" s="166"/>
      <c r="AK727" s="82"/>
      <c r="AL727" s="162"/>
      <c r="AM727" s="162"/>
      <c r="AN727" s="162"/>
      <c r="AO727" s="162"/>
      <c r="AP727" s="162"/>
      <c r="AQ727" s="162"/>
      <c r="AR727" s="710"/>
      <c r="AV727" s="82"/>
      <c r="AW727" s="947"/>
      <c r="AX727" s="947"/>
      <c r="AY727" s="947"/>
    </row>
    <row r="728" spans="31:51" x14ac:dyDescent="0.25">
      <c r="AE728" s="75"/>
      <c r="AF728" s="82"/>
      <c r="AG728" s="82"/>
      <c r="AH728" s="82"/>
      <c r="AI728" s="82"/>
      <c r="AJ728" s="166"/>
      <c r="AK728" s="82"/>
      <c r="AL728" s="162"/>
      <c r="AM728" s="162"/>
      <c r="AN728" s="162"/>
      <c r="AO728" s="162"/>
      <c r="AP728" s="162"/>
      <c r="AQ728" s="162"/>
      <c r="AR728" s="710"/>
      <c r="AV728" s="82"/>
      <c r="AW728" s="947"/>
      <c r="AX728" s="947"/>
      <c r="AY728" s="947"/>
    </row>
    <row r="729" spans="31:51" x14ac:dyDescent="0.25">
      <c r="AE729" s="75"/>
      <c r="AF729" s="82"/>
      <c r="AG729" s="82"/>
      <c r="AH729" s="82"/>
      <c r="AI729" s="82"/>
      <c r="AJ729" s="166"/>
      <c r="AK729" s="82"/>
      <c r="AL729" s="162"/>
      <c r="AM729" s="162"/>
      <c r="AN729" s="162"/>
      <c r="AO729" s="162"/>
      <c r="AP729" s="162"/>
      <c r="AQ729" s="162"/>
      <c r="AR729" s="710"/>
      <c r="AV729" s="82"/>
      <c r="AW729" s="947"/>
      <c r="AX729" s="947"/>
      <c r="AY729" s="947"/>
    </row>
    <row r="730" spans="31:51" x14ac:dyDescent="0.25">
      <c r="AE730" s="75"/>
      <c r="AF730" s="82"/>
      <c r="AG730" s="82"/>
      <c r="AH730" s="82"/>
      <c r="AI730" s="82"/>
      <c r="AJ730" s="166"/>
      <c r="AK730" s="82"/>
      <c r="AL730" s="162"/>
      <c r="AM730" s="162"/>
      <c r="AN730" s="162"/>
      <c r="AO730" s="162"/>
      <c r="AP730" s="162"/>
      <c r="AQ730" s="162"/>
      <c r="AR730" s="710"/>
      <c r="AV730" s="82"/>
      <c r="AW730" s="947"/>
      <c r="AX730" s="947"/>
      <c r="AY730" s="947"/>
    </row>
    <row r="731" spans="31:51" x14ac:dyDescent="0.25">
      <c r="AE731" s="75"/>
      <c r="AF731" s="82"/>
      <c r="AG731" s="82"/>
      <c r="AH731" s="82"/>
      <c r="AI731" s="82"/>
      <c r="AJ731" s="166"/>
      <c r="AK731" s="82"/>
      <c r="AL731" s="162"/>
      <c r="AM731" s="162"/>
      <c r="AN731" s="162"/>
      <c r="AO731" s="162"/>
      <c r="AP731" s="162"/>
      <c r="AQ731" s="162"/>
      <c r="AR731" s="710"/>
      <c r="AV731" s="82"/>
      <c r="AW731" s="947"/>
      <c r="AX731" s="947"/>
      <c r="AY731" s="947"/>
    </row>
    <row r="732" spans="31:51" x14ac:dyDescent="0.25">
      <c r="AE732" s="75"/>
      <c r="AF732" s="82"/>
      <c r="AG732" s="82"/>
      <c r="AH732" s="82"/>
      <c r="AI732" s="82"/>
      <c r="AJ732" s="166"/>
      <c r="AK732" s="82"/>
      <c r="AL732" s="162"/>
      <c r="AM732" s="162"/>
      <c r="AN732" s="162"/>
      <c r="AO732" s="162"/>
      <c r="AP732" s="162"/>
      <c r="AQ732" s="162"/>
      <c r="AR732" s="710"/>
      <c r="AV732" s="82"/>
      <c r="AW732" s="947"/>
      <c r="AX732" s="947"/>
      <c r="AY732" s="947"/>
    </row>
    <row r="733" spans="31:51" x14ac:dyDescent="0.25">
      <c r="AE733" s="75"/>
      <c r="AF733" s="82"/>
      <c r="AG733" s="82"/>
      <c r="AH733" s="82"/>
      <c r="AI733" s="82"/>
      <c r="AJ733" s="166"/>
      <c r="AK733" s="82"/>
      <c r="AL733" s="162"/>
      <c r="AM733" s="162"/>
      <c r="AN733" s="162"/>
      <c r="AO733" s="162"/>
      <c r="AP733" s="162"/>
      <c r="AQ733" s="162"/>
      <c r="AR733" s="710"/>
      <c r="AV733" s="82"/>
      <c r="AW733" s="947"/>
      <c r="AX733" s="947"/>
      <c r="AY733" s="947"/>
    </row>
    <row r="734" spans="31:51" x14ac:dyDescent="0.25">
      <c r="AE734" s="75"/>
      <c r="AF734" s="82"/>
      <c r="AG734" s="82"/>
      <c r="AH734" s="82"/>
      <c r="AI734" s="82"/>
      <c r="AJ734" s="166"/>
      <c r="AK734" s="82"/>
      <c r="AL734" s="162"/>
      <c r="AM734" s="162"/>
      <c r="AN734" s="162"/>
      <c r="AO734" s="162"/>
      <c r="AP734" s="162"/>
      <c r="AQ734" s="162"/>
      <c r="AR734" s="710"/>
      <c r="AV734" s="82"/>
      <c r="AW734" s="947"/>
      <c r="AX734" s="947"/>
      <c r="AY734" s="947"/>
    </row>
    <row r="735" spans="31:51" x14ac:dyDescent="0.25">
      <c r="AE735" s="75"/>
      <c r="AF735" s="82"/>
      <c r="AG735" s="82"/>
      <c r="AH735" s="82"/>
      <c r="AI735" s="82"/>
      <c r="AJ735" s="166"/>
      <c r="AK735" s="82"/>
      <c r="AL735" s="162"/>
      <c r="AM735" s="162"/>
      <c r="AN735" s="162"/>
      <c r="AO735" s="162"/>
      <c r="AP735" s="162"/>
      <c r="AQ735" s="162"/>
      <c r="AR735" s="710"/>
      <c r="AV735" s="82"/>
      <c r="AW735" s="947"/>
      <c r="AX735" s="947"/>
      <c r="AY735" s="947"/>
    </row>
    <row r="736" spans="31:51" x14ac:dyDescent="0.25">
      <c r="AE736" s="75"/>
      <c r="AF736" s="82"/>
      <c r="AG736" s="82"/>
      <c r="AH736" s="82"/>
      <c r="AI736" s="82"/>
      <c r="AJ736" s="166"/>
      <c r="AK736" s="82"/>
      <c r="AL736" s="162"/>
      <c r="AM736" s="162"/>
      <c r="AN736" s="162"/>
      <c r="AO736" s="162"/>
      <c r="AP736" s="162"/>
      <c r="AQ736" s="162"/>
      <c r="AR736" s="710"/>
      <c r="AV736" s="82"/>
      <c r="AW736" s="947"/>
      <c r="AX736" s="947"/>
      <c r="AY736" s="947"/>
    </row>
    <row r="737" spans="31:51" x14ac:dyDescent="0.25">
      <c r="AE737" s="75"/>
      <c r="AF737" s="82"/>
      <c r="AG737" s="82"/>
      <c r="AH737" s="82"/>
      <c r="AI737" s="82"/>
      <c r="AJ737" s="166"/>
      <c r="AK737" s="82"/>
      <c r="AL737" s="162"/>
      <c r="AM737" s="162"/>
      <c r="AN737" s="162"/>
      <c r="AO737" s="162"/>
      <c r="AP737" s="162"/>
      <c r="AQ737" s="162"/>
      <c r="AR737" s="710"/>
      <c r="AV737" s="82"/>
      <c r="AW737" s="947"/>
      <c r="AX737" s="947"/>
      <c r="AY737" s="947"/>
    </row>
    <row r="738" spans="31:51" x14ac:dyDescent="0.25">
      <c r="AE738" s="75"/>
      <c r="AF738" s="82"/>
      <c r="AG738" s="82"/>
      <c r="AH738" s="82"/>
      <c r="AI738" s="82"/>
      <c r="AJ738" s="166"/>
      <c r="AK738" s="82"/>
      <c r="AL738" s="162"/>
      <c r="AM738" s="162"/>
      <c r="AN738" s="162"/>
      <c r="AO738" s="162"/>
      <c r="AP738" s="162"/>
      <c r="AQ738" s="162"/>
      <c r="AR738" s="710"/>
      <c r="AV738" s="82"/>
      <c r="AW738" s="947"/>
      <c r="AX738" s="947"/>
      <c r="AY738" s="947"/>
    </row>
    <row r="739" spans="31:51" x14ac:dyDescent="0.25">
      <c r="AE739" s="75"/>
      <c r="AF739" s="82"/>
      <c r="AG739" s="82"/>
      <c r="AH739" s="82"/>
      <c r="AI739" s="82"/>
      <c r="AJ739" s="166"/>
      <c r="AK739" s="82"/>
      <c r="AL739" s="162"/>
      <c r="AM739" s="162"/>
      <c r="AN739" s="162"/>
      <c r="AO739" s="162"/>
      <c r="AP739" s="162"/>
      <c r="AQ739" s="162"/>
      <c r="AR739" s="710"/>
      <c r="AV739" s="82"/>
      <c r="AW739" s="947"/>
      <c r="AX739" s="947"/>
      <c r="AY739" s="947"/>
    </row>
    <row r="740" spans="31:51" x14ac:dyDescent="0.25">
      <c r="AE740" s="75"/>
      <c r="AF740" s="82"/>
      <c r="AG740" s="82"/>
      <c r="AH740" s="82"/>
      <c r="AI740" s="82"/>
      <c r="AJ740" s="166"/>
      <c r="AK740" s="82"/>
      <c r="AL740" s="162"/>
      <c r="AM740" s="162"/>
      <c r="AN740" s="162"/>
      <c r="AO740" s="162"/>
      <c r="AP740" s="162"/>
      <c r="AQ740" s="162"/>
      <c r="AR740" s="710"/>
      <c r="AV740" s="82"/>
      <c r="AW740" s="947"/>
      <c r="AX740" s="947"/>
      <c r="AY740" s="947"/>
    </row>
    <row r="741" spans="31:51" x14ac:dyDescent="0.25">
      <c r="AE741" s="75"/>
      <c r="AF741" s="82"/>
      <c r="AG741" s="82"/>
      <c r="AH741" s="82"/>
      <c r="AI741" s="82"/>
      <c r="AJ741" s="166"/>
      <c r="AK741" s="82"/>
      <c r="AL741" s="162"/>
      <c r="AM741" s="162"/>
      <c r="AN741" s="162"/>
      <c r="AO741" s="162"/>
      <c r="AP741" s="162"/>
      <c r="AQ741" s="162"/>
      <c r="AR741" s="710"/>
      <c r="AV741" s="82"/>
      <c r="AW741" s="947"/>
      <c r="AX741" s="947"/>
      <c r="AY741" s="947"/>
    </row>
    <row r="742" spans="31:51" x14ac:dyDescent="0.25">
      <c r="AE742" s="75"/>
      <c r="AF742" s="82"/>
      <c r="AG742" s="82"/>
      <c r="AH742" s="82"/>
      <c r="AI742" s="82"/>
      <c r="AJ742" s="166"/>
      <c r="AK742" s="82"/>
      <c r="AL742" s="162"/>
      <c r="AM742" s="162"/>
      <c r="AN742" s="162"/>
      <c r="AO742" s="162"/>
      <c r="AP742" s="162"/>
      <c r="AQ742" s="162"/>
      <c r="AR742" s="710"/>
      <c r="AV742" s="82"/>
      <c r="AW742" s="947"/>
      <c r="AX742" s="947"/>
      <c r="AY742" s="947"/>
    </row>
    <row r="743" spans="31:51" x14ac:dyDescent="0.25">
      <c r="AE743" s="75"/>
      <c r="AF743" s="82"/>
      <c r="AG743" s="82"/>
      <c r="AH743" s="82"/>
      <c r="AI743" s="82"/>
      <c r="AJ743" s="166"/>
      <c r="AK743" s="82"/>
      <c r="AL743" s="162"/>
      <c r="AM743" s="162"/>
      <c r="AN743" s="162"/>
      <c r="AO743" s="162"/>
      <c r="AP743" s="162"/>
      <c r="AQ743" s="162"/>
      <c r="AR743" s="710"/>
      <c r="AV743" s="82"/>
      <c r="AW743" s="947"/>
      <c r="AX743" s="947"/>
      <c r="AY743" s="947"/>
    </row>
    <row r="744" spans="31:51" x14ac:dyDescent="0.25">
      <c r="AE744" s="75"/>
      <c r="AF744" s="82"/>
      <c r="AG744" s="82"/>
      <c r="AH744" s="82"/>
      <c r="AI744" s="82"/>
      <c r="AJ744" s="166"/>
      <c r="AK744" s="82"/>
      <c r="AL744" s="162"/>
      <c r="AM744" s="162"/>
      <c r="AN744" s="162"/>
      <c r="AO744" s="162"/>
      <c r="AP744" s="162"/>
      <c r="AQ744" s="162"/>
      <c r="AR744" s="710"/>
      <c r="AV744" s="82"/>
      <c r="AW744" s="947"/>
      <c r="AX744" s="947"/>
      <c r="AY744" s="947"/>
    </row>
    <row r="745" spans="31:51" x14ac:dyDescent="0.25">
      <c r="AE745" s="75"/>
      <c r="AF745" s="82"/>
      <c r="AG745" s="82"/>
      <c r="AH745" s="82"/>
      <c r="AI745" s="82"/>
      <c r="AJ745" s="166"/>
      <c r="AK745" s="82"/>
      <c r="AL745" s="162"/>
      <c r="AM745" s="162"/>
      <c r="AN745" s="162"/>
      <c r="AO745" s="162"/>
      <c r="AP745" s="162"/>
      <c r="AQ745" s="162"/>
      <c r="AR745" s="710"/>
      <c r="AV745" s="82"/>
      <c r="AW745" s="947"/>
      <c r="AX745" s="947"/>
      <c r="AY745" s="947"/>
    </row>
    <row r="746" spans="31:51" x14ac:dyDescent="0.25">
      <c r="AE746" s="75"/>
      <c r="AF746" s="82"/>
      <c r="AG746" s="82"/>
      <c r="AH746" s="82"/>
      <c r="AI746" s="82"/>
      <c r="AJ746" s="166"/>
      <c r="AK746" s="82"/>
      <c r="AL746" s="162"/>
      <c r="AM746" s="162"/>
      <c r="AN746" s="162"/>
      <c r="AO746" s="162"/>
      <c r="AP746" s="162"/>
      <c r="AQ746" s="162"/>
      <c r="AR746" s="710"/>
      <c r="AV746" s="82"/>
      <c r="AW746" s="947"/>
      <c r="AX746" s="947"/>
      <c r="AY746" s="947"/>
    </row>
    <row r="747" spans="31:51" x14ac:dyDescent="0.25">
      <c r="AE747" s="75"/>
      <c r="AF747" s="82"/>
      <c r="AG747" s="82"/>
      <c r="AH747" s="82"/>
      <c r="AI747" s="82"/>
      <c r="AJ747" s="166"/>
      <c r="AK747" s="82"/>
      <c r="AL747" s="162"/>
      <c r="AM747" s="162"/>
      <c r="AN747" s="162"/>
      <c r="AO747" s="162"/>
      <c r="AP747" s="162"/>
      <c r="AQ747" s="162"/>
      <c r="AR747" s="710"/>
      <c r="AV747" s="82"/>
      <c r="AW747" s="947"/>
      <c r="AX747" s="947"/>
      <c r="AY747" s="947"/>
    </row>
    <row r="748" spans="31:51" x14ac:dyDescent="0.25">
      <c r="AE748" s="75"/>
      <c r="AF748" s="82"/>
      <c r="AG748" s="82"/>
      <c r="AH748" s="82"/>
      <c r="AI748" s="82"/>
      <c r="AJ748" s="166"/>
      <c r="AK748" s="82"/>
      <c r="AL748" s="162"/>
      <c r="AM748" s="162"/>
      <c r="AN748" s="162"/>
      <c r="AO748" s="162"/>
      <c r="AP748" s="162"/>
      <c r="AQ748" s="162"/>
      <c r="AR748" s="710"/>
      <c r="AV748" s="82"/>
      <c r="AW748" s="947"/>
      <c r="AX748" s="947"/>
      <c r="AY748" s="947"/>
    </row>
    <row r="749" spans="31:51" x14ac:dyDescent="0.25">
      <c r="AE749" s="75"/>
      <c r="AF749" s="82"/>
      <c r="AG749" s="82"/>
      <c r="AH749" s="82"/>
      <c r="AI749" s="82"/>
      <c r="AJ749" s="166"/>
      <c r="AK749" s="82"/>
      <c r="AL749" s="162"/>
      <c r="AM749" s="162"/>
      <c r="AN749" s="162"/>
      <c r="AO749" s="162"/>
      <c r="AP749" s="162"/>
      <c r="AQ749" s="162"/>
      <c r="AR749" s="710"/>
      <c r="AV749" s="82"/>
      <c r="AW749" s="947"/>
      <c r="AX749" s="947"/>
      <c r="AY749" s="947"/>
    </row>
    <row r="750" spans="31:51" x14ac:dyDescent="0.25">
      <c r="AE750" s="75"/>
      <c r="AF750" s="82"/>
      <c r="AG750" s="82"/>
      <c r="AH750" s="82"/>
      <c r="AI750" s="82"/>
      <c r="AJ750" s="166"/>
      <c r="AK750" s="82"/>
      <c r="AL750" s="162"/>
      <c r="AM750" s="162"/>
      <c r="AN750" s="162"/>
      <c r="AO750" s="162"/>
      <c r="AP750" s="162"/>
      <c r="AQ750" s="162"/>
      <c r="AR750" s="710"/>
      <c r="AV750" s="82"/>
      <c r="AW750" s="947"/>
      <c r="AX750" s="947"/>
      <c r="AY750" s="947"/>
    </row>
    <row r="751" spans="31:51" x14ac:dyDescent="0.25">
      <c r="AE751" s="75"/>
      <c r="AF751" s="82"/>
      <c r="AG751" s="82"/>
      <c r="AH751" s="82"/>
      <c r="AI751" s="82"/>
      <c r="AJ751" s="166"/>
      <c r="AK751" s="82"/>
      <c r="AL751" s="162"/>
      <c r="AM751" s="162"/>
      <c r="AN751" s="162"/>
      <c r="AO751" s="162"/>
      <c r="AP751" s="162"/>
      <c r="AQ751" s="162"/>
      <c r="AR751" s="710"/>
      <c r="AV751" s="82"/>
      <c r="AW751" s="947"/>
      <c r="AX751" s="947"/>
      <c r="AY751" s="947"/>
    </row>
    <row r="752" spans="31:51" x14ac:dyDescent="0.25">
      <c r="AE752" s="75"/>
      <c r="AF752" s="82"/>
      <c r="AG752" s="82"/>
      <c r="AH752" s="82"/>
      <c r="AI752" s="82"/>
      <c r="AJ752" s="166"/>
      <c r="AK752" s="82"/>
      <c r="AL752" s="162"/>
      <c r="AM752" s="162"/>
      <c r="AN752" s="162"/>
      <c r="AO752" s="162"/>
      <c r="AP752" s="162"/>
      <c r="AQ752" s="162"/>
      <c r="AR752" s="710"/>
      <c r="AV752" s="82"/>
      <c r="AW752" s="947"/>
      <c r="AX752" s="947"/>
      <c r="AY752" s="947"/>
    </row>
    <row r="753" spans="31:51" x14ac:dyDescent="0.25">
      <c r="AE753" s="75"/>
      <c r="AF753" s="82"/>
      <c r="AG753" s="82"/>
      <c r="AH753" s="82"/>
      <c r="AI753" s="82"/>
      <c r="AJ753" s="166"/>
      <c r="AK753" s="82"/>
      <c r="AL753" s="162"/>
      <c r="AM753" s="162"/>
      <c r="AN753" s="162"/>
      <c r="AO753" s="162"/>
      <c r="AP753" s="162"/>
      <c r="AQ753" s="162"/>
      <c r="AR753" s="710"/>
      <c r="AV753" s="82"/>
      <c r="AW753" s="947"/>
      <c r="AX753" s="947"/>
      <c r="AY753" s="947"/>
    </row>
    <row r="754" spans="31:51" x14ac:dyDescent="0.25">
      <c r="AE754" s="75"/>
      <c r="AF754" s="82"/>
      <c r="AG754" s="82"/>
      <c r="AH754" s="82"/>
      <c r="AI754" s="82"/>
      <c r="AJ754" s="166"/>
      <c r="AK754" s="82"/>
      <c r="AL754" s="162"/>
      <c r="AM754" s="162"/>
      <c r="AN754" s="162"/>
      <c r="AO754" s="162"/>
      <c r="AP754" s="162"/>
      <c r="AQ754" s="162"/>
      <c r="AR754" s="710"/>
      <c r="AV754" s="82"/>
      <c r="AW754" s="947"/>
      <c r="AX754" s="947"/>
      <c r="AY754" s="947"/>
    </row>
    <row r="755" spans="31:51" x14ac:dyDescent="0.25">
      <c r="AE755" s="75"/>
      <c r="AF755" s="82"/>
      <c r="AG755" s="82"/>
      <c r="AH755" s="82"/>
      <c r="AI755" s="82"/>
      <c r="AJ755" s="166"/>
      <c r="AK755" s="82"/>
      <c r="AL755" s="162"/>
      <c r="AM755" s="162"/>
      <c r="AN755" s="162"/>
      <c r="AO755" s="162"/>
      <c r="AP755" s="162"/>
      <c r="AQ755" s="162"/>
      <c r="AR755" s="710"/>
      <c r="AV755" s="82"/>
      <c r="AW755" s="947"/>
      <c r="AX755" s="947"/>
      <c r="AY755" s="947"/>
    </row>
    <row r="756" spans="31:51" x14ac:dyDescent="0.25">
      <c r="AE756" s="75"/>
      <c r="AF756" s="82"/>
      <c r="AG756" s="82"/>
      <c r="AH756" s="82"/>
      <c r="AI756" s="82"/>
      <c r="AJ756" s="166"/>
      <c r="AK756" s="82"/>
      <c r="AL756" s="162"/>
      <c r="AM756" s="162"/>
      <c r="AN756" s="162"/>
      <c r="AO756" s="162"/>
      <c r="AP756" s="162"/>
      <c r="AQ756" s="162"/>
      <c r="AR756" s="710"/>
      <c r="AV756" s="82"/>
      <c r="AW756" s="947"/>
      <c r="AX756" s="947"/>
      <c r="AY756" s="947"/>
    </row>
    <row r="757" spans="31:51" x14ac:dyDescent="0.25">
      <c r="AE757" s="75"/>
      <c r="AF757" s="82"/>
      <c r="AG757" s="82"/>
      <c r="AH757" s="82"/>
      <c r="AI757" s="82"/>
      <c r="AJ757" s="166"/>
      <c r="AK757" s="82"/>
      <c r="AL757" s="162"/>
      <c r="AM757" s="162"/>
      <c r="AN757" s="162"/>
      <c r="AO757" s="162"/>
      <c r="AP757" s="162"/>
      <c r="AQ757" s="162"/>
      <c r="AR757" s="710"/>
      <c r="AV757" s="82"/>
      <c r="AW757" s="947"/>
      <c r="AX757" s="947"/>
      <c r="AY757" s="947"/>
    </row>
    <row r="758" spans="31:51" x14ac:dyDescent="0.25">
      <c r="AE758" s="75"/>
      <c r="AF758" s="82"/>
      <c r="AG758" s="82"/>
      <c r="AH758" s="82"/>
      <c r="AI758" s="82"/>
      <c r="AJ758" s="166"/>
      <c r="AK758" s="82"/>
      <c r="AL758" s="162"/>
      <c r="AM758" s="162"/>
      <c r="AN758" s="162"/>
      <c r="AO758" s="162"/>
      <c r="AP758" s="162"/>
      <c r="AQ758" s="162"/>
      <c r="AR758" s="710"/>
      <c r="AV758" s="82"/>
      <c r="AW758" s="947"/>
      <c r="AX758" s="947"/>
      <c r="AY758" s="947"/>
    </row>
    <row r="759" spans="31:51" x14ac:dyDescent="0.25">
      <c r="AE759" s="75"/>
      <c r="AF759" s="82"/>
      <c r="AG759" s="82"/>
      <c r="AH759" s="82"/>
      <c r="AI759" s="82"/>
      <c r="AJ759" s="166"/>
      <c r="AK759" s="82"/>
      <c r="AL759" s="162"/>
      <c r="AM759" s="162"/>
      <c r="AN759" s="162"/>
      <c r="AO759" s="162"/>
      <c r="AP759" s="162"/>
      <c r="AQ759" s="162"/>
      <c r="AR759" s="710"/>
      <c r="AV759" s="82"/>
      <c r="AW759" s="947"/>
      <c r="AX759" s="947"/>
      <c r="AY759" s="947"/>
    </row>
    <row r="760" spans="31:51" x14ac:dyDescent="0.25">
      <c r="AE760" s="75"/>
      <c r="AF760" s="82"/>
      <c r="AG760" s="82"/>
      <c r="AH760" s="82"/>
      <c r="AI760" s="82"/>
      <c r="AJ760" s="166"/>
      <c r="AK760" s="82"/>
      <c r="AL760" s="162"/>
      <c r="AM760" s="162"/>
      <c r="AN760" s="162"/>
      <c r="AO760" s="162"/>
      <c r="AP760" s="162"/>
      <c r="AQ760" s="162"/>
      <c r="AR760" s="710"/>
      <c r="AV760" s="82"/>
      <c r="AW760" s="947"/>
      <c r="AX760" s="947"/>
      <c r="AY760" s="947"/>
    </row>
    <row r="761" spans="31:51" x14ac:dyDescent="0.25">
      <c r="AE761" s="75"/>
      <c r="AF761" s="82"/>
      <c r="AG761" s="82"/>
      <c r="AH761" s="82"/>
      <c r="AI761" s="82"/>
      <c r="AJ761" s="166"/>
      <c r="AK761" s="82"/>
      <c r="AL761" s="162"/>
      <c r="AM761" s="162"/>
      <c r="AN761" s="162"/>
      <c r="AO761" s="162"/>
      <c r="AP761" s="162"/>
      <c r="AQ761" s="162"/>
      <c r="AR761" s="710"/>
      <c r="AV761" s="82"/>
      <c r="AW761" s="947"/>
      <c r="AX761" s="947"/>
      <c r="AY761" s="947"/>
    </row>
    <row r="762" spans="31:51" x14ac:dyDescent="0.25">
      <c r="AE762" s="75"/>
      <c r="AF762" s="82"/>
      <c r="AG762" s="82"/>
      <c r="AH762" s="82"/>
      <c r="AI762" s="82"/>
      <c r="AJ762" s="166"/>
      <c r="AK762" s="82"/>
      <c r="AL762" s="162"/>
      <c r="AM762" s="162"/>
      <c r="AN762" s="162"/>
      <c r="AO762" s="162"/>
      <c r="AP762" s="162"/>
      <c r="AQ762" s="162"/>
      <c r="AR762" s="710"/>
      <c r="AV762" s="82"/>
      <c r="AW762" s="947"/>
      <c r="AX762" s="947"/>
      <c r="AY762" s="947"/>
    </row>
    <row r="763" spans="31:51" x14ac:dyDescent="0.25">
      <c r="AE763" s="75"/>
      <c r="AF763" s="82"/>
      <c r="AG763" s="82"/>
      <c r="AH763" s="82"/>
      <c r="AI763" s="82"/>
      <c r="AJ763" s="166"/>
      <c r="AK763" s="82"/>
      <c r="AL763" s="162"/>
      <c r="AM763" s="162"/>
      <c r="AN763" s="162"/>
      <c r="AO763" s="162"/>
      <c r="AP763" s="162"/>
      <c r="AQ763" s="162"/>
      <c r="AR763" s="710"/>
      <c r="AV763" s="82"/>
      <c r="AW763" s="947"/>
      <c r="AX763" s="947"/>
      <c r="AY763" s="947"/>
    </row>
    <row r="764" spans="31:51" x14ac:dyDescent="0.25">
      <c r="AE764" s="75"/>
      <c r="AF764" s="82"/>
      <c r="AG764" s="82"/>
      <c r="AH764" s="82"/>
      <c r="AI764" s="82"/>
      <c r="AJ764" s="166"/>
      <c r="AK764" s="82"/>
      <c r="AL764" s="162"/>
      <c r="AM764" s="162"/>
      <c r="AN764" s="162"/>
      <c r="AO764" s="162"/>
      <c r="AP764" s="162"/>
      <c r="AQ764" s="162"/>
      <c r="AR764" s="710"/>
      <c r="AV764" s="82"/>
      <c r="AW764" s="947"/>
      <c r="AX764" s="947"/>
      <c r="AY764" s="947"/>
    </row>
    <row r="765" spans="31:51" x14ac:dyDescent="0.25">
      <c r="AE765" s="75"/>
      <c r="AF765" s="82"/>
      <c r="AG765" s="82"/>
      <c r="AH765" s="82"/>
      <c r="AI765" s="82"/>
      <c r="AJ765" s="166"/>
      <c r="AK765" s="82"/>
      <c r="AL765" s="162"/>
      <c r="AM765" s="162"/>
      <c r="AN765" s="162"/>
      <c r="AO765" s="162"/>
      <c r="AP765" s="162"/>
      <c r="AQ765" s="162"/>
      <c r="AR765" s="710"/>
      <c r="AV765" s="82"/>
      <c r="AW765" s="947"/>
      <c r="AX765" s="947"/>
      <c r="AY765" s="947"/>
    </row>
    <row r="766" spans="31:51" x14ac:dyDescent="0.25">
      <c r="AE766" s="75"/>
      <c r="AF766" s="82"/>
      <c r="AG766" s="82"/>
      <c r="AH766" s="82"/>
      <c r="AI766" s="82"/>
      <c r="AJ766" s="166"/>
      <c r="AK766" s="82"/>
      <c r="AL766" s="162"/>
      <c r="AM766" s="162"/>
      <c r="AN766" s="162"/>
      <c r="AO766" s="162"/>
      <c r="AP766" s="162"/>
      <c r="AQ766" s="162"/>
      <c r="AR766" s="710"/>
      <c r="AV766" s="82"/>
      <c r="AW766" s="947"/>
      <c r="AX766" s="947"/>
      <c r="AY766" s="947"/>
    </row>
    <row r="767" spans="31:51" x14ac:dyDescent="0.25">
      <c r="AE767" s="75"/>
      <c r="AF767" s="82"/>
      <c r="AG767" s="82"/>
      <c r="AH767" s="82"/>
      <c r="AI767" s="82"/>
      <c r="AJ767" s="166"/>
      <c r="AK767" s="82"/>
      <c r="AL767" s="162"/>
      <c r="AM767" s="162"/>
      <c r="AN767" s="162"/>
      <c r="AO767" s="162"/>
      <c r="AP767" s="162"/>
      <c r="AQ767" s="162"/>
      <c r="AR767" s="710"/>
      <c r="AV767" s="82"/>
      <c r="AW767" s="947"/>
      <c r="AX767" s="947"/>
      <c r="AY767" s="947"/>
    </row>
    <row r="768" spans="31:51" x14ac:dyDescent="0.25">
      <c r="AE768" s="75"/>
      <c r="AF768" s="82"/>
      <c r="AG768" s="82"/>
      <c r="AH768" s="82"/>
      <c r="AI768" s="82"/>
      <c r="AJ768" s="166"/>
      <c r="AK768" s="82"/>
      <c r="AL768" s="162"/>
      <c r="AM768" s="162"/>
      <c r="AN768" s="162"/>
      <c r="AO768" s="162"/>
      <c r="AP768" s="162"/>
      <c r="AQ768" s="162"/>
      <c r="AR768" s="710"/>
      <c r="AV768" s="82"/>
      <c r="AW768" s="947"/>
      <c r="AX768" s="947"/>
      <c r="AY768" s="947"/>
    </row>
    <row r="769" spans="31:51" x14ac:dyDescent="0.25">
      <c r="AE769" s="75"/>
      <c r="AF769" s="82"/>
      <c r="AG769" s="82"/>
      <c r="AH769" s="82"/>
      <c r="AI769" s="82"/>
      <c r="AJ769" s="166"/>
      <c r="AK769" s="82"/>
      <c r="AL769" s="162"/>
      <c r="AM769" s="162"/>
      <c r="AN769" s="162"/>
      <c r="AO769" s="162"/>
      <c r="AP769" s="162"/>
      <c r="AQ769" s="162"/>
      <c r="AR769" s="710"/>
      <c r="AV769" s="82"/>
      <c r="AW769" s="947"/>
      <c r="AX769" s="947"/>
      <c r="AY769" s="947"/>
    </row>
    <row r="770" spans="31:51" x14ac:dyDescent="0.25">
      <c r="AE770" s="75"/>
      <c r="AF770" s="82"/>
      <c r="AG770" s="82"/>
      <c r="AH770" s="82"/>
      <c r="AI770" s="82"/>
      <c r="AJ770" s="166"/>
      <c r="AK770" s="82"/>
      <c r="AL770" s="162"/>
      <c r="AM770" s="162"/>
      <c r="AN770" s="162"/>
      <c r="AO770" s="162"/>
      <c r="AP770" s="162"/>
      <c r="AQ770" s="162"/>
      <c r="AR770" s="710"/>
      <c r="AV770" s="82"/>
      <c r="AW770" s="947"/>
      <c r="AX770" s="947"/>
      <c r="AY770" s="947"/>
    </row>
    <row r="771" spans="31:51" x14ac:dyDescent="0.25">
      <c r="AE771" s="75"/>
      <c r="AF771" s="82"/>
      <c r="AG771" s="82"/>
      <c r="AH771" s="82"/>
      <c r="AI771" s="82"/>
      <c r="AJ771" s="166"/>
      <c r="AK771" s="82"/>
      <c r="AL771" s="162"/>
      <c r="AM771" s="162"/>
      <c r="AN771" s="162"/>
      <c r="AO771" s="162"/>
      <c r="AP771" s="162"/>
      <c r="AQ771" s="162"/>
      <c r="AR771" s="710"/>
      <c r="AV771" s="82"/>
      <c r="AW771" s="947"/>
      <c r="AX771" s="947"/>
      <c r="AY771" s="947"/>
    </row>
    <row r="772" spans="31:51" x14ac:dyDescent="0.25">
      <c r="AE772" s="75"/>
      <c r="AF772" s="82"/>
      <c r="AG772" s="82"/>
      <c r="AH772" s="82"/>
      <c r="AI772" s="82"/>
      <c r="AJ772" s="166"/>
      <c r="AK772" s="82"/>
      <c r="AL772" s="162"/>
      <c r="AM772" s="162"/>
      <c r="AN772" s="162"/>
      <c r="AO772" s="162"/>
      <c r="AP772" s="162"/>
      <c r="AQ772" s="162"/>
      <c r="AR772" s="710"/>
      <c r="AV772" s="82"/>
      <c r="AW772" s="947"/>
      <c r="AX772" s="947"/>
      <c r="AY772" s="947"/>
    </row>
    <row r="773" spans="31:51" x14ac:dyDescent="0.25">
      <c r="AE773" s="75"/>
      <c r="AF773" s="82"/>
      <c r="AG773" s="82"/>
      <c r="AH773" s="82"/>
      <c r="AI773" s="82"/>
      <c r="AJ773" s="166"/>
      <c r="AK773" s="82"/>
      <c r="AL773" s="162"/>
      <c r="AM773" s="162"/>
      <c r="AN773" s="162"/>
      <c r="AO773" s="162"/>
      <c r="AP773" s="162"/>
      <c r="AQ773" s="162"/>
      <c r="AR773" s="710"/>
      <c r="AV773" s="82"/>
      <c r="AW773" s="947"/>
      <c r="AX773" s="947"/>
      <c r="AY773" s="947"/>
    </row>
    <row r="774" spans="31:51" x14ac:dyDescent="0.25">
      <c r="AE774" s="75"/>
      <c r="AF774" s="82"/>
      <c r="AG774" s="82"/>
      <c r="AH774" s="82"/>
      <c r="AI774" s="82"/>
      <c r="AJ774" s="166"/>
      <c r="AK774" s="82"/>
      <c r="AL774" s="162"/>
      <c r="AM774" s="162"/>
      <c r="AN774" s="162"/>
      <c r="AO774" s="162"/>
      <c r="AP774" s="162"/>
      <c r="AQ774" s="162"/>
      <c r="AR774" s="710"/>
      <c r="AV774" s="82"/>
      <c r="AW774" s="947"/>
      <c r="AX774" s="947"/>
      <c r="AY774" s="947"/>
    </row>
    <row r="775" spans="31:51" x14ac:dyDescent="0.25">
      <c r="AE775" s="75"/>
      <c r="AF775" s="82"/>
      <c r="AG775" s="82"/>
      <c r="AH775" s="82"/>
      <c r="AI775" s="82"/>
      <c r="AJ775" s="166"/>
      <c r="AK775" s="82"/>
      <c r="AL775" s="162"/>
      <c r="AM775" s="162"/>
      <c r="AN775" s="162"/>
      <c r="AO775" s="162"/>
      <c r="AP775" s="162"/>
      <c r="AQ775" s="162"/>
      <c r="AR775" s="710"/>
      <c r="AV775" s="82"/>
      <c r="AW775" s="947"/>
      <c r="AX775" s="947"/>
      <c r="AY775" s="947"/>
    </row>
    <row r="776" spans="31:51" x14ac:dyDescent="0.25">
      <c r="AE776" s="75"/>
      <c r="AF776" s="82"/>
      <c r="AG776" s="82"/>
      <c r="AH776" s="82"/>
      <c r="AI776" s="82"/>
      <c r="AJ776" s="166"/>
      <c r="AK776" s="82"/>
      <c r="AL776" s="162"/>
      <c r="AM776" s="162"/>
      <c r="AN776" s="162"/>
      <c r="AO776" s="162"/>
      <c r="AP776" s="162"/>
      <c r="AQ776" s="162"/>
      <c r="AR776" s="710"/>
      <c r="AV776" s="82"/>
      <c r="AW776" s="947"/>
      <c r="AX776" s="947"/>
      <c r="AY776" s="947"/>
    </row>
    <row r="777" spans="31:51" x14ac:dyDescent="0.25">
      <c r="AE777" s="75"/>
      <c r="AF777" s="82"/>
      <c r="AG777" s="82"/>
      <c r="AH777" s="82"/>
      <c r="AI777" s="82"/>
      <c r="AJ777" s="166"/>
      <c r="AK777" s="82"/>
      <c r="AL777" s="162"/>
      <c r="AM777" s="162"/>
      <c r="AN777" s="162"/>
      <c r="AO777" s="162"/>
      <c r="AP777" s="162"/>
      <c r="AQ777" s="162"/>
      <c r="AR777" s="710"/>
      <c r="AV777" s="82"/>
      <c r="AW777" s="947"/>
      <c r="AX777" s="947"/>
      <c r="AY777" s="947"/>
    </row>
    <row r="778" spans="31:51" x14ac:dyDescent="0.25">
      <c r="AE778" s="75"/>
      <c r="AF778" s="82"/>
      <c r="AG778" s="82"/>
      <c r="AH778" s="82"/>
      <c r="AI778" s="82"/>
      <c r="AJ778" s="166"/>
      <c r="AK778" s="82"/>
      <c r="AL778" s="162"/>
      <c r="AM778" s="162"/>
      <c r="AN778" s="162"/>
      <c r="AO778" s="162"/>
      <c r="AP778" s="162"/>
      <c r="AQ778" s="162"/>
      <c r="AR778" s="710"/>
      <c r="AV778" s="82"/>
      <c r="AW778" s="947"/>
      <c r="AX778" s="947"/>
      <c r="AY778" s="947"/>
    </row>
    <row r="779" spans="31:51" x14ac:dyDescent="0.25">
      <c r="AE779" s="75"/>
      <c r="AF779" s="82"/>
      <c r="AG779" s="82"/>
      <c r="AH779" s="82"/>
      <c r="AI779" s="82"/>
      <c r="AJ779" s="166"/>
      <c r="AK779" s="82"/>
      <c r="AL779" s="162"/>
      <c r="AM779" s="162"/>
      <c r="AN779" s="162"/>
      <c r="AO779" s="162"/>
      <c r="AP779" s="162"/>
      <c r="AQ779" s="162"/>
      <c r="AR779" s="710"/>
      <c r="AV779" s="82"/>
      <c r="AW779" s="947"/>
      <c r="AX779" s="947"/>
      <c r="AY779" s="947"/>
    </row>
    <row r="780" spans="31:51" x14ac:dyDescent="0.25">
      <c r="AE780" s="75"/>
      <c r="AF780" s="82"/>
      <c r="AG780" s="82"/>
      <c r="AH780" s="82"/>
      <c r="AI780" s="82"/>
      <c r="AJ780" s="166"/>
      <c r="AK780" s="82"/>
      <c r="AL780" s="162"/>
      <c r="AM780" s="162"/>
      <c r="AN780" s="162"/>
      <c r="AO780" s="162"/>
      <c r="AP780" s="162"/>
      <c r="AQ780" s="162"/>
      <c r="AR780" s="710"/>
      <c r="AV780" s="82"/>
      <c r="AW780" s="947"/>
      <c r="AX780" s="947"/>
      <c r="AY780" s="947"/>
    </row>
    <row r="781" spans="31:51" x14ac:dyDescent="0.25">
      <c r="AE781" s="75"/>
      <c r="AF781" s="82"/>
      <c r="AG781" s="82"/>
      <c r="AH781" s="82"/>
      <c r="AI781" s="82"/>
      <c r="AJ781" s="166"/>
      <c r="AK781" s="82"/>
      <c r="AL781" s="162"/>
      <c r="AM781" s="162"/>
      <c r="AN781" s="162"/>
      <c r="AO781" s="162"/>
      <c r="AP781" s="162"/>
      <c r="AQ781" s="162"/>
      <c r="AR781" s="710"/>
      <c r="AV781" s="82"/>
      <c r="AW781" s="947"/>
      <c r="AX781" s="947"/>
      <c r="AY781" s="947"/>
    </row>
    <row r="782" spans="31:51" x14ac:dyDescent="0.25">
      <c r="AE782" s="75"/>
      <c r="AF782" s="82"/>
      <c r="AG782" s="82"/>
      <c r="AH782" s="82"/>
      <c r="AI782" s="82"/>
      <c r="AJ782" s="166"/>
      <c r="AK782" s="82"/>
      <c r="AL782" s="162"/>
      <c r="AM782" s="162"/>
      <c r="AN782" s="162"/>
      <c r="AO782" s="162"/>
      <c r="AP782" s="162"/>
      <c r="AQ782" s="162"/>
      <c r="AR782" s="710"/>
      <c r="AV782" s="82"/>
      <c r="AW782" s="947"/>
      <c r="AX782" s="947"/>
      <c r="AY782" s="947"/>
    </row>
    <row r="783" spans="31:51" x14ac:dyDescent="0.25">
      <c r="AE783" s="75"/>
      <c r="AF783" s="82"/>
      <c r="AG783" s="82"/>
      <c r="AH783" s="82"/>
      <c r="AI783" s="82"/>
      <c r="AJ783" s="166"/>
      <c r="AK783" s="82"/>
      <c r="AL783" s="162"/>
      <c r="AM783" s="162"/>
      <c r="AN783" s="162"/>
      <c r="AO783" s="162"/>
      <c r="AP783" s="162"/>
      <c r="AQ783" s="162"/>
      <c r="AR783" s="710"/>
      <c r="AV783" s="82"/>
      <c r="AW783" s="947"/>
      <c r="AX783" s="947"/>
      <c r="AY783" s="947"/>
    </row>
    <row r="784" spans="31:51" x14ac:dyDescent="0.25">
      <c r="AE784" s="75"/>
      <c r="AF784" s="82"/>
      <c r="AG784" s="82"/>
      <c r="AH784" s="82"/>
      <c r="AI784" s="82"/>
      <c r="AJ784" s="166"/>
      <c r="AK784" s="82"/>
      <c r="AL784" s="162"/>
      <c r="AM784" s="162"/>
      <c r="AN784" s="162"/>
      <c r="AO784" s="162"/>
      <c r="AP784" s="162"/>
      <c r="AQ784" s="162"/>
      <c r="AR784" s="710"/>
      <c r="AV784" s="82"/>
      <c r="AW784" s="947"/>
      <c r="AX784" s="947"/>
      <c r="AY784" s="947"/>
    </row>
    <row r="785" spans="31:51" x14ac:dyDescent="0.25">
      <c r="AE785" s="75"/>
      <c r="AF785" s="82"/>
      <c r="AG785" s="82"/>
      <c r="AH785" s="82"/>
      <c r="AI785" s="82"/>
      <c r="AJ785" s="166"/>
      <c r="AK785" s="82"/>
      <c r="AL785" s="162"/>
      <c r="AM785" s="162"/>
      <c r="AN785" s="162"/>
      <c r="AO785" s="162"/>
      <c r="AP785" s="162"/>
      <c r="AQ785" s="162"/>
      <c r="AR785" s="710"/>
      <c r="AV785" s="82"/>
      <c r="AW785" s="947"/>
      <c r="AX785" s="947"/>
      <c r="AY785" s="947"/>
    </row>
    <row r="786" spans="31:51" x14ac:dyDescent="0.25">
      <c r="AE786" s="75"/>
      <c r="AF786" s="82"/>
      <c r="AG786" s="82"/>
      <c r="AH786" s="82"/>
      <c r="AI786" s="82"/>
      <c r="AJ786" s="166"/>
      <c r="AK786" s="82"/>
      <c r="AL786" s="162"/>
      <c r="AM786" s="162"/>
      <c r="AN786" s="162"/>
      <c r="AO786" s="162"/>
      <c r="AP786" s="162"/>
      <c r="AQ786" s="162"/>
      <c r="AR786" s="710"/>
      <c r="AV786" s="82"/>
      <c r="AW786" s="947"/>
      <c r="AX786" s="947"/>
      <c r="AY786" s="947"/>
    </row>
    <row r="787" spans="31:51" x14ac:dyDescent="0.25">
      <c r="AE787" s="75"/>
      <c r="AF787" s="82"/>
      <c r="AG787" s="82"/>
      <c r="AH787" s="82"/>
      <c r="AI787" s="82"/>
      <c r="AJ787" s="166"/>
      <c r="AK787" s="82"/>
      <c r="AL787" s="162"/>
      <c r="AM787" s="162"/>
      <c r="AN787" s="162"/>
      <c r="AO787" s="162"/>
      <c r="AP787" s="162"/>
      <c r="AQ787" s="162"/>
      <c r="AR787" s="710"/>
      <c r="AV787" s="82"/>
      <c r="AW787" s="947"/>
      <c r="AX787" s="947"/>
      <c r="AY787" s="947"/>
    </row>
    <row r="788" spans="31:51" x14ac:dyDescent="0.25">
      <c r="AE788" s="75"/>
      <c r="AF788" s="82"/>
      <c r="AG788" s="82"/>
      <c r="AH788" s="82"/>
      <c r="AI788" s="82"/>
      <c r="AJ788" s="166"/>
      <c r="AK788" s="82"/>
      <c r="AL788" s="162"/>
      <c r="AM788" s="162"/>
      <c r="AN788" s="162"/>
      <c r="AO788" s="162"/>
      <c r="AP788" s="162"/>
      <c r="AQ788" s="162"/>
      <c r="AR788" s="710"/>
      <c r="AV788" s="82"/>
      <c r="AW788" s="947"/>
      <c r="AX788" s="947"/>
      <c r="AY788" s="947"/>
    </row>
    <row r="789" spans="31:51" x14ac:dyDescent="0.25">
      <c r="AE789" s="75"/>
      <c r="AF789" s="82"/>
      <c r="AG789" s="82"/>
      <c r="AH789" s="82"/>
      <c r="AI789" s="82"/>
      <c r="AJ789" s="166"/>
      <c r="AK789" s="82"/>
      <c r="AL789" s="162"/>
      <c r="AM789" s="162"/>
      <c r="AN789" s="162"/>
      <c r="AO789" s="162"/>
      <c r="AP789" s="162"/>
      <c r="AQ789" s="162"/>
      <c r="AR789" s="710"/>
      <c r="AV789" s="82"/>
      <c r="AW789" s="947"/>
      <c r="AX789" s="947"/>
      <c r="AY789" s="947"/>
    </row>
    <row r="790" spans="31:51" x14ac:dyDescent="0.25">
      <c r="AE790" s="75"/>
      <c r="AF790" s="82"/>
      <c r="AG790" s="82"/>
      <c r="AH790" s="82"/>
      <c r="AI790" s="82"/>
      <c r="AJ790" s="166"/>
      <c r="AK790" s="82"/>
      <c r="AL790" s="162"/>
      <c r="AM790" s="162"/>
      <c r="AN790" s="162"/>
      <c r="AO790" s="162"/>
      <c r="AP790" s="162"/>
      <c r="AQ790" s="162"/>
      <c r="AR790" s="710"/>
      <c r="AV790" s="82"/>
      <c r="AW790" s="947"/>
      <c r="AX790" s="947"/>
      <c r="AY790" s="947"/>
    </row>
    <row r="791" spans="31:51" x14ac:dyDescent="0.25">
      <c r="AE791" s="75"/>
      <c r="AF791" s="82"/>
      <c r="AG791" s="82"/>
      <c r="AH791" s="82"/>
      <c r="AI791" s="82"/>
      <c r="AJ791" s="166"/>
      <c r="AK791" s="82"/>
      <c r="AL791" s="162"/>
      <c r="AM791" s="162"/>
      <c r="AN791" s="162"/>
      <c r="AO791" s="162"/>
      <c r="AP791" s="162"/>
      <c r="AQ791" s="162"/>
      <c r="AR791" s="710"/>
      <c r="AV791" s="82"/>
      <c r="AW791" s="947"/>
      <c r="AX791" s="947"/>
      <c r="AY791" s="947"/>
    </row>
    <row r="792" spans="31:51" x14ac:dyDescent="0.25">
      <c r="AE792" s="75"/>
      <c r="AF792" s="82"/>
      <c r="AG792" s="82"/>
      <c r="AH792" s="82"/>
      <c r="AI792" s="82"/>
      <c r="AJ792" s="166"/>
      <c r="AK792" s="82"/>
      <c r="AL792" s="162"/>
      <c r="AM792" s="162"/>
      <c r="AN792" s="162"/>
      <c r="AO792" s="162"/>
      <c r="AP792" s="162"/>
      <c r="AQ792" s="162"/>
      <c r="AR792" s="710"/>
      <c r="AV792" s="82"/>
      <c r="AW792" s="947"/>
      <c r="AX792" s="947"/>
      <c r="AY792" s="947"/>
    </row>
    <row r="793" spans="31:51" x14ac:dyDescent="0.25">
      <c r="AE793" s="75"/>
      <c r="AF793" s="82"/>
      <c r="AG793" s="82"/>
      <c r="AH793" s="82"/>
      <c r="AI793" s="82"/>
      <c r="AJ793" s="166"/>
      <c r="AK793" s="82"/>
      <c r="AL793" s="162"/>
      <c r="AM793" s="162"/>
      <c r="AN793" s="162"/>
      <c r="AO793" s="162"/>
      <c r="AP793" s="162"/>
      <c r="AQ793" s="162"/>
      <c r="AR793" s="710"/>
      <c r="AV793" s="82"/>
      <c r="AW793" s="947"/>
      <c r="AX793" s="947"/>
      <c r="AY793" s="947"/>
    </row>
    <row r="794" spans="31:51" x14ac:dyDescent="0.25">
      <c r="AE794" s="75"/>
      <c r="AF794" s="82"/>
      <c r="AG794" s="82"/>
      <c r="AH794" s="82"/>
      <c r="AI794" s="82"/>
      <c r="AJ794" s="166"/>
      <c r="AK794" s="82"/>
      <c r="AL794" s="162"/>
      <c r="AM794" s="162"/>
      <c r="AN794" s="162"/>
      <c r="AO794" s="162"/>
      <c r="AP794" s="162"/>
      <c r="AQ794" s="162"/>
      <c r="AR794" s="710"/>
      <c r="AV794" s="82"/>
      <c r="AW794" s="947"/>
      <c r="AX794" s="947"/>
      <c r="AY794" s="947"/>
    </row>
    <row r="795" spans="31:51" x14ac:dyDescent="0.25">
      <c r="AE795" s="75"/>
      <c r="AF795" s="82"/>
      <c r="AG795" s="82"/>
      <c r="AH795" s="82"/>
      <c r="AI795" s="82"/>
      <c r="AJ795" s="166"/>
      <c r="AK795" s="82"/>
      <c r="AL795" s="162"/>
      <c r="AM795" s="162"/>
      <c r="AN795" s="162"/>
      <c r="AO795" s="162"/>
      <c r="AP795" s="162"/>
      <c r="AQ795" s="162"/>
      <c r="AR795" s="710"/>
      <c r="AV795" s="82"/>
      <c r="AW795" s="947"/>
      <c r="AX795" s="947"/>
      <c r="AY795" s="947"/>
    </row>
    <row r="796" spans="31:51" x14ac:dyDescent="0.25">
      <c r="AE796" s="75"/>
      <c r="AF796" s="82"/>
      <c r="AG796" s="82"/>
      <c r="AH796" s="82"/>
      <c r="AI796" s="82"/>
      <c r="AJ796" s="166"/>
      <c r="AK796" s="82"/>
      <c r="AL796" s="162"/>
      <c r="AM796" s="162"/>
      <c r="AN796" s="162"/>
      <c r="AO796" s="162"/>
      <c r="AP796" s="162"/>
      <c r="AQ796" s="162"/>
      <c r="AR796" s="710"/>
      <c r="AV796" s="82"/>
      <c r="AW796" s="947"/>
      <c r="AX796" s="947"/>
      <c r="AY796" s="947"/>
    </row>
    <row r="797" spans="31:51" x14ac:dyDescent="0.25">
      <c r="AE797" s="75"/>
      <c r="AF797" s="82"/>
      <c r="AG797" s="82"/>
      <c r="AH797" s="82"/>
      <c r="AI797" s="82"/>
      <c r="AJ797" s="166"/>
      <c r="AK797" s="82"/>
      <c r="AL797" s="162"/>
      <c r="AM797" s="162"/>
      <c r="AN797" s="162"/>
      <c r="AO797" s="162"/>
      <c r="AP797" s="162"/>
      <c r="AQ797" s="162"/>
      <c r="AR797" s="710"/>
      <c r="AV797" s="82"/>
      <c r="AW797" s="947"/>
      <c r="AX797" s="947"/>
      <c r="AY797" s="947"/>
    </row>
    <row r="798" spans="31:51" x14ac:dyDescent="0.25">
      <c r="AE798" s="75"/>
      <c r="AF798" s="82"/>
      <c r="AG798" s="82"/>
      <c r="AH798" s="82"/>
      <c r="AI798" s="82"/>
      <c r="AJ798" s="166"/>
      <c r="AK798" s="82"/>
      <c r="AL798" s="162"/>
      <c r="AM798" s="162"/>
      <c r="AN798" s="162"/>
      <c r="AO798" s="162"/>
      <c r="AP798" s="162"/>
      <c r="AQ798" s="162"/>
      <c r="AR798" s="710"/>
      <c r="AV798" s="82"/>
      <c r="AW798" s="947"/>
      <c r="AX798" s="947"/>
      <c r="AY798" s="947"/>
    </row>
    <row r="799" spans="31:51" x14ac:dyDescent="0.25">
      <c r="AE799" s="75"/>
      <c r="AF799" s="82"/>
      <c r="AG799" s="82"/>
      <c r="AH799" s="82"/>
      <c r="AI799" s="82"/>
      <c r="AJ799" s="166"/>
      <c r="AK799" s="82"/>
      <c r="AL799" s="162"/>
      <c r="AM799" s="162"/>
      <c r="AN799" s="162"/>
      <c r="AO799" s="162"/>
      <c r="AP799" s="162"/>
      <c r="AQ799" s="162"/>
      <c r="AR799" s="710"/>
      <c r="AV799" s="82"/>
      <c r="AW799" s="947"/>
      <c r="AX799" s="947"/>
      <c r="AY799" s="947"/>
    </row>
    <row r="800" spans="31:51" x14ac:dyDescent="0.25">
      <c r="AE800" s="75"/>
      <c r="AF800" s="82"/>
      <c r="AG800" s="82"/>
      <c r="AH800" s="82"/>
      <c r="AI800" s="82"/>
      <c r="AJ800" s="166"/>
      <c r="AK800" s="82"/>
      <c r="AL800" s="162"/>
      <c r="AM800" s="162"/>
      <c r="AN800" s="162"/>
      <c r="AO800" s="162"/>
      <c r="AP800" s="162"/>
      <c r="AQ800" s="162"/>
      <c r="AR800" s="710"/>
      <c r="AV800" s="82"/>
      <c r="AW800" s="947"/>
      <c r="AX800" s="947"/>
      <c r="AY800" s="947"/>
    </row>
    <row r="801" spans="31:51" x14ac:dyDescent="0.25">
      <c r="AE801" s="75"/>
      <c r="AF801" s="82"/>
      <c r="AG801" s="82"/>
      <c r="AH801" s="82"/>
      <c r="AI801" s="82"/>
      <c r="AJ801" s="166"/>
      <c r="AK801" s="82"/>
      <c r="AL801" s="162"/>
      <c r="AM801" s="162"/>
      <c r="AN801" s="162"/>
      <c r="AO801" s="162"/>
      <c r="AP801" s="162"/>
      <c r="AQ801" s="162"/>
      <c r="AR801" s="710"/>
      <c r="AV801" s="82"/>
      <c r="AW801" s="947"/>
      <c r="AX801" s="947"/>
      <c r="AY801" s="947"/>
    </row>
    <row r="802" spans="31:51" x14ac:dyDescent="0.25">
      <c r="AE802" s="75"/>
      <c r="AF802" s="82"/>
      <c r="AG802" s="82"/>
      <c r="AH802" s="82"/>
      <c r="AI802" s="82"/>
      <c r="AJ802" s="166"/>
      <c r="AK802" s="82"/>
      <c r="AL802" s="162"/>
      <c r="AM802" s="162"/>
      <c r="AN802" s="162"/>
      <c r="AO802" s="162"/>
      <c r="AP802" s="162"/>
      <c r="AQ802" s="162"/>
      <c r="AR802" s="710"/>
      <c r="AV802" s="82"/>
      <c r="AW802" s="947"/>
      <c r="AX802" s="947"/>
      <c r="AY802" s="947"/>
    </row>
    <row r="803" spans="31:51" x14ac:dyDescent="0.25">
      <c r="AE803" s="75"/>
      <c r="AF803" s="82"/>
      <c r="AG803" s="82"/>
      <c r="AH803" s="82"/>
      <c r="AI803" s="82"/>
      <c r="AJ803" s="166"/>
      <c r="AK803" s="82"/>
      <c r="AL803" s="162"/>
      <c r="AM803" s="162"/>
      <c r="AN803" s="162"/>
      <c r="AO803" s="162"/>
      <c r="AP803" s="162"/>
      <c r="AQ803" s="162"/>
      <c r="AR803" s="710"/>
      <c r="AV803" s="82"/>
      <c r="AW803" s="947"/>
      <c r="AX803" s="947"/>
      <c r="AY803" s="947"/>
    </row>
    <row r="804" spans="31:51" x14ac:dyDescent="0.25">
      <c r="AE804" s="75"/>
      <c r="AF804" s="82"/>
      <c r="AG804" s="82"/>
      <c r="AH804" s="82"/>
      <c r="AI804" s="82"/>
      <c r="AJ804" s="166"/>
      <c r="AK804" s="82"/>
      <c r="AL804" s="162"/>
      <c r="AM804" s="162"/>
      <c r="AN804" s="162"/>
      <c r="AO804" s="162"/>
      <c r="AP804" s="162"/>
      <c r="AQ804" s="162"/>
      <c r="AR804" s="710"/>
      <c r="AV804" s="82"/>
      <c r="AW804" s="947"/>
      <c r="AX804" s="947"/>
      <c r="AY804" s="947"/>
    </row>
    <row r="805" spans="31:51" x14ac:dyDescent="0.25">
      <c r="AE805" s="75"/>
      <c r="AF805" s="82"/>
      <c r="AG805" s="82"/>
      <c r="AH805" s="82"/>
      <c r="AI805" s="82"/>
      <c r="AJ805" s="166"/>
      <c r="AK805" s="82"/>
      <c r="AL805" s="162"/>
      <c r="AM805" s="162"/>
      <c r="AN805" s="162"/>
      <c r="AO805" s="162"/>
      <c r="AP805" s="162"/>
      <c r="AQ805" s="162"/>
      <c r="AR805" s="710"/>
      <c r="AV805" s="82"/>
      <c r="AW805" s="947"/>
      <c r="AX805" s="947"/>
      <c r="AY805" s="947"/>
    </row>
    <row r="806" spans="31:51" x14ac:dyDescent="0.25">
      <c r="AE806" s="75"/>
      <c r="AF806" s="82"/>
      <c r="AG806" s="82"/>
      <c r="AH806" s="82"/>
      <c r="AI806" s="82"/>
      <c r="AJ806" s="166"/>
      <c r="AK806" s="82"/>
      <c r="AL806" s="162"/>
      <c r="AM806" s="162"/>
      <c r="AN806" s="162"/>
      <c r="AO806" s="162"/>
      <c r="AP806" s="162"/>
      <c r="AQ806" s="162"/>
      <c r="AR806" s="710"/>
      <c r="AV806" s="82"/>
      <c r="AW806" s="947"/>
      <c r="AX806" s="947"/>
      <c r="AY806" s="947"/>
    </row>
    <row r="807" spans="31:51" x14ac:dyDescent="0.25">
      <c r="AE807" s="75"/>
      <c r="AF807" s="82"/>
      <c r="AG807" s="82"/>
      <c r="AH807" s="82"/>
      <c r="AI807" s="82"/>
      <c r="AJ807" s="166"/>
      <c r="AK807" s="82"/>
      <c r="AL807" s="162"/>
      <c r="AM807" s="162"/>
      <c r="AN807" s="162"/>
      <c r="AO807" s="162"/>
      <c r="AP807" s="162"/>
      <c r="AQ807" s="162"/>
      <c r="AR807" s="710"/>
      <c r="AV807" s="82"/>
      <c r="AW807" s="947"/>
      <c r="AX807" s="947"/>
      <c r="AY807" s="947"/>
    </row>
    <row r="808" spans="31:51" x14ac:dyDescent="0.25">
      <c r="AE808" s="75"/>
      <c r="AF808" s="82"/>
      <c r="AG808" s="82"/>
      <c r="AH808" s="82"/>
      <c r="AI808" s="82"/>
      <c r="AJ808" s="166"/>
      <c r="AK808" s="82"/>
      <c r="AL808" s="162"/>
      <c r="AM808" s="162"/>
      <c r="AN808" s="162"/>
      <c r="AO808" s="162"/>
      <c r="AP808" s="162"/>
      <c r="AQ808" s="162"/>
      <c r="AR808" s="710"/>
      <c r="AV808" s="82"/>
      <c r="AW808" s="947"/>
      <c r="AX808" s="947"/>
      <c r="AY808" s="947"/>
    </row>
    <row r="809" spans="31:51" x14ac:dyDescent="0.25">
      <c r="AE809" s="75"/>
      <c r="AF809" s="82"/>
      <c r="AG809" s="82"/>
      <c r="AH809" s="82"/>
      <c r="AI809" s="82"/>
      <c r="AJ809" s="166"/>
      <c r="AK809" s="82"/>
      <c r="AL809" s="162"/>
      <c r="AM809" s="162"/>
      <c r="AN809" s="162"/>
      <c r="AO809" s="162"/>
      <c r="AP809" s="162"/>
      <c r="AQ809" s="162"/>
      <c r="AR809" s="710"/>
      <c r="AV809" s="82"/>
      <c r="AW809" s="947"/>
      <c r="AX809" s="947"/>
      <c r="AY809" s="947"/>
    </row>
    <row r="810" spans="31:51" x14ac:dyDescent="0.25">
      <c r="AE810" s="75"/>
      <c r="AF810" s="82"/>
      <c r="AG810" s="82"/>
      <c r="AH810" s="82"/>
      <c r="AI810" s="82"/>
      <c r="AJ810" s="166"/>
      <c r="AK810" s="82"/>
      <c r="AL810" s="162"/>
      <c r="AM810" s="162"/>
      <c r="AN810" s="162"/>
      <c r="AO810" s="162"/>
      <c r="AP810" s="162"/>
      <c r="AQ810" s="162"/>
      <c r="AR810" s="710"/>
      <c r="AV810" s="82"/>
      <c r="AW810" s="947"/>
      <c r="AX810" s="947"/>
      <c r="AY810" s="947"/>
    </row>
    <row r="811" spans="31:51" x14ac:dyDescent="0.25">
      <c r="AE811" s="75"/>
      <c r="AF811" s="82"/>
      <c r="AG811" s="82"/>
      <c r="AH811" s="82"/>
      <c r="AI811" s="82"/>
      <c r="AJ811" s="166"/>
      <c r="AK811" s="82"/>
      <c r="AL811" s="162"/>
      <c r="AM811" s="162"/>
      <c r="AN811" s="162"/>
      <c r="AO811" s="162"/>
      <c r="AP811" s="162"/>
      <c r="AQ811" s="162"/>
      <c r="AR811" s="710"/>
      <c r="AV811" s="82"/>
      <c r="AW811" s="947"/>
      <c r="AX811" s="947"/>
      <c r="AY811" s="947"/>
    </row>
    <row r="812" spans="31:51" x14ac:dyDescent="0.25">
      <c r="AE812" s="75"/>
      <c r="AF812" s="82"/>
      <c r="AG812" s="82"/>
      <c r="AH812" s="82"/>
      <c r="AI812" s="82"/>
      <c r="AJ812" s="166"/>
      <c r="AK812" s="82"/>
      <c r="AL812" s="162"/>
      <c r="AM812" s="162"/>
      <c r="AN812" s="162"/>
      <c r="AO812" s="162"/>
      <c r="AP812" s="162"/>
      <c r="AQ812" s="162"/>
      <c r="AR812" s="710"/>
      <c r="AV812" s="82"/>
      <c r="AW812" s="947"/>
      <c r="AX812" s="947"/>
      <c r="AY812" s="947"/>
    </row>
    <row r="813" spans="31:51" x14ac:dyDescent="0.25">
      <c r="AE813" s="75"/>
      <c r="AF813" s="82"/>
      <c r="AG813" s="82"/>
      <c r="AH813" s="82"/>
      <c r="AI813" s="82"/>
      <c r="AJ813" s="166"/>
      <c r="AK813" s="82"/>
      <c r="AL813" s="162"/>
      <c r="AM813" s="162"/>
      <c r="AN813" s="162"/>
      <c r="AO813" s="162"/>
      <c r="AP813" s="162"/>
      <c r="AQ813" s="162"/>
      <c r="AR813" s="710"/>
      <c r="AV813" s="82"/>
      <c r="AW813" s="947"/>
      <c r="AX813" s="947"/>
      <c r="AY813" s="947"/>
    </row>
    <row r="814" spans="31:51" x14ac:dyDescent="0.25">
      <c r="AE814" s="75"/>
      <c r="AF814" s="82"/>
      <c r="AG814" s="82"/>
      <c r="AH814" s="82"/>
      <c r="AI814" s="82"/>
      <c r="AJ814" s="166"/>
      <c r="AK814" s="82"/>
      <c r="AL814" s="162"/>
      <c r="AM814" s="162"/>
      <c r="AN814" s="162"/>
      <c r="AO814" s="162"/>
      <c r="AP814" s="162"/>
      <c r="AQ814" s="162"/>
      <c r="AR814" s="710"/>
      <c r="AV814" s="82"/>
      <c r="AW814" s="947"/>
      <c r="AX814" s="947"/>
      <c r="AY814" s="947"/>
    </row>
    <row r="815" spans="31:51" x14ac:dyDescent="0.25">
      <c r="AE815" s="75"/>
      <c r="AF815" s="82"/>
      <c r="AG815" s="82"/>
      <c r="AH815" s="82"/>
      <c r="AI815" s="82"/>
      <c r="AJ815" s="166"/>
      <c r="AK815" s="82"/>
      <c r="AL815" s="162"/>
      <c r="AM815" s="162"/>
      <c r="AN815" s="162"/>
      <c r="AO815" s="162"/>
      <c r="AP815" s="162"/>
      <c r="AQ815" s="162"/>
      <c r="AR815" s="710"/>
      <c r="AV815" s="82"/>
      <c r="AW815" s="947"/>
      <c r="AX815" s="947"/>
      <c r="AY815" s="947"/>
    </row>
    <row r="816" spans="31:51" x14ac:dyDescent="0.25">
      <c r="AE816" s="75"/>
      <c r="AF816" s="82"/>
      <c r="AG816" s="82"/>
      <c r="AH816" s="82"/>
      <c r="AI816" s="82"/>
      <c r="AJ816" s="166"/>
      <c r="AK816" s="82"/>
      <c r="AL816" s="162"/>
      <c r="AM816" s="162"/>
      <c r="AN816" s="162"/>
      <c r="AO816" s="162"/>
      <c r="AP816" s="162"/>
      <c r="AQ816" s="162"/>
      <c r="AR816" s="710"/>
      <c r="AV816" s="82"/>
      <c r="AW816" s="947"/>
      <c r="AX816" s="947"/>
      <c r="AY816" s="947"/>
    </row>
    <row r="817" spans="31:51" x14ac:dyDescent="0.25">
      <c r="AE817" s="75"/>
      <c r="AF817" s="82"/>
      <c r="AG817" s="82"/>
      <c r="AH817" s="82"/>
      <c r="AI817" s="82"/>
      <c r="AJ817" s="166"/>
      <c r="AK817" s="82"/>
      <c r="AL817" s="162"/>
      <c r="AM817" s="162"/>
      <c r="AN817" s="162"/>
      <c r="AO817" s="162"/>
      <c r="AP817" s="162"/>
      <c r="AQ817" s="162"/>
      <c r="AR817" s="710"/>
      <c r="AV817" s="82"/>
      <c r="AW817" s="947"/>
      <c r="AX817" s="947"/>
      <c r="AY817" s="947"/>
    </row>
    <row r="818" spans="31:51" x14ac:dyDescent="0.25">
      <c r="AE818" s="75"/>
      <c r="AF818" s="82"/>
      <c r="AG818" s="82"/>
      <c r="AH818" s="82"/>
      <c r="AI818" s="82"/>
      <c r="AJ818" s="166"/>
      <c r="AK818" s="82"/>
      <c r="AL818" s="162"/>
      <c r="AM818" s="162"/>
      <c r="AN818" s="162"/>
      <c r="AO818" s="162"/>
      <c r="AP818" s="162"/>
      <c r="AQ818" s="162"/>
      <c r="AR818" s="710"/>
      <c r="AV818" s="82"/>
      <c r="AW818" s="947"/>
      <c r="AX818" s="947"/>
      <c r="AY818" s="947"/>
    </row>
    <row r="819" spans="31:51" x14ac:dyDescent="0.25">
      <c r="AE819" s="75"/>
      <c r="AF819" s="82"/>
      <c r="AG819" s="82"/>
      <c r="AH819" s="82"/>
      <c r="AI819" s="82"/>
      <c r="AJ819" s="166"/>
      <c r="AK819" s="82"/>
      <c r="AL819" s="162"/>
      <c r="AM819" s="162"/>
      <c r="AN819" s="162"/>
      <c r="AO819" s="162"/>
      <c r="AP819" s="162"/>
      <c r="AQ819" s="162"/>
      <c r="AR819" s="710"/>
      <c r="AV819" s="82"/>
      <c r="AW819" s="947"/>
      <c r="AX819" s="947"/>
      <c r="AY819" s="947"/>
    </row>
    <row r="820" spans="31:51" x14ac:dyDescent="0.25">
      <c r="AE820" s="75"/>
      <c r="AF820" s="82"/>
      <c r="AG820" s="82"/>
      <c r="AH820" s="82"/>
      <c r="AI820" s="82"/>
      <c r="AJ820" s="166"/>
      <c r="AK820" s="82"/>
      <c r="AL820" s="162"/>
      <c r="AM820" s="162"/>
      <c r="AN820" s="162"/>
      <c r="AO820" s="162"/>
      <c r="AP820" s="162"/>
      <c r="AQ820" s="162"/>
      <c r="AR820" s="710"/>
      <c r="AV820" s="82"/>
      <c r="AW820" s="947"/>
      <c r="AX820" s="947"/>
      <c r="AY820" s="947"/>
    </row>
    <row r="821" spans="31:51" x14ac:dyDescent="0.25">
      <c r="AE821" s="75"/>
      <c r="AF821" s="82"/>
      <c r="AG821" s="82"/>
      <c r="AH821" s="82"/>
      <c r="AI821" s="82"/>
      <c r="AJ821" s="166"/>
      <c r="AK821" s="82"/>
      <c r="AL821" s="162"/>
      <c r="AM821" s="162"/>
      <c r="AN821" s="162"/>
      <c r="AO821" s="162"/>
      <c r="AP821" s="162"/>
      <c r="AQ821" s="162"/>
      <c r="AR821" s="710"/>
      <c r="AV821" s="82"/>
      <c r="AW821" s="947"/>
      <c r="AX821" s="947"/>
      <c r="AY821" s="947"/>
    </row>
    <row r="822" spans="31:51" x14ac:dyDescent="0.25">
      <c r="AE822" s="75"/>
      <c r="AF822" s="82"/>
      <c r="AG822" s="82"/>
      <c r="AH822" s="82"/>
      <c r="AI822" s="82"/>
      <c r="AJ822" s="166"/>
      <c r="AK822" s="82"/>
      <c r="AL822" s="162"/>
      <c r="AM822" s="162"/>
      <c r="AN822" s="162"/>
      <c r="AO822" s="162"/>
      <c r="AP822" s="162"/>
      <c r="AQ822" s="162"/>
      <c r="AR822" s="710"/>
      <c r="AV822" s="82"/>
      <c r="AW822" s="947"/>
      <c r="AX822" s="947"/>
      <c r="AY822" s="947"/>
    </row>
    <row r="823" spans="31:51" x14ac:dyDescent="0.25">
      <c r="AE823" s="75"/>
      <c r="AF823" s="82"/>
      <c r="AG823" s="82"/>
      <c r="AH823" s="82"/>
      <c r="AI823" s="82"/>
      <c r="AJ823" s="166"/>
      <c r="AK823" s="82"/>
      <c r="AL823" s="162"/>
      <c r="AM823" s="162"/>
      <c r="AN823" s="162"/>
      <c r="AO823" s="162"/>
      <c r="AP823" s="162"/>
      <c r="AQ823" s="162"/>
      <c r="AR823" s="710"/>
      <c r="AV823" s="82"/>
      <c r="AW823" s="947"/>
      <c r="AX823" s="947"/>
      <c r="AY823" s="947"/>
    </row>
    <row r="824" spans="31:51" x14ac:dyDescent="0.25">
      <c r="AE824" s="75"/>
      <c r="AF824" s="82"/>
      <c r="AG824" s="82"/>
      <c r="AH824" s="82"/>
      <c r="AI824" s="82"/>
      <c r="AJ824" s="166"/>
      <c r="AK824" s="82"/>
      <c r="AL824" s="162"/>
      <c r="AM824" s="162"/>
      <c r="AN824" s="162"/>
      <c r="AO824" s="162"/>
      <c r="AP824" s="162"/>
      <c r="AQ824" s="162"/>
      <c r="AR824" s="710"/>
      <c r="AV824" s="82"/>
      <c r="AW824" s="947"/>
      <c r="AX824" s="947"/>
      <c r="AY824" s="947"/>
    </row>
    <row r="825" spans="31:51" x14ac:dyDescent="0.25">
      <c r="AE825" s="75"/>
      <c r="AF825" s="82"/>
      <c r="AG825" s="82"/>
      <c r="AH825" s="82"/>
      <c r="AI825" s="82"/>
      <c r="AJ825" s="166"/>
      <c r="AK825" s="82"/>
      <c r="AL825" s="162"/>
      <c r="AM825" s="162"/>
      <c r="AN825" s="162"/>
      <c r="AO825" s="162"/>
      <c r="AP825" s="162"/>
      <c r="AQ825" s="162"/>
      <c r="AR825" s="710"/>
      <c r="AV825" s="82"/>
      <c r="AW825" s="947"/>
      <c r="AX825" s="947"/>
      <c r="AY825" s="947"/>
    </row>
    <row r="826" spans="31:51" x14ac:dyDescent="0.25">
      <c r="AE826" s="75"/>
      <c r="AF826" s="82"/>
      <c r="AG826" s="82"/>
      <c r="AH826" s="82"/>
      <c r="AI826" s="82"/>
      <c r="AJ826" s="166"/>
      <c r="AK826" s="82"/>
      <c r="AL826" s="162"/>
      <c r="AM826" s="162"/>
      <c r="AN826" s="162"/>
      <c r="AO826" s="162"/>
      <c r="AP826" s="162"/>
      <c r="AQ826" s="162"/>
      <c r="AR826" s="710"/>
      <c r="AV826" s="82"/>
      <c r="AW826" s="947"/>
      <c r="AX826" s="947"/>
      <c r="AY826" s="947"/>
    </row>
    <row r="827" spans="31:51" x14ac:dyDescent="0.25">
      <c r="AE827" s="75"/>
      <c r="AF827" s="82"/>
      <c r="AG827" s="82"/>
      <c r="AH827" s="82"/>
      <c r="AI827" s="82"/>
      <c r="AJ827" s="166"/>
      <c r="AK827" s="82"/>
      <c r="AL827" s="162"/>
      <c r="AM827" s="162"/>
      <c r="AN827" s="162"/>
      <c r="AO827" s="162"/>
      <c r="AP827" s="162"/>
      <c r="AQ827" s="162"/>
      <c r="AR827" s="710"/>
      <c r="AV827" s="82"/>
      <c r="AW827" s="947"/>
      <c r="AX827" s="947"/>
      <c r="AY827" s="947"/>
    </row>
    <row r="828" spans="31:51" x14ac:dyDescent="0.25">
      <c r="AE828" s="75"/>
      <c r="AF828" s="82"/>
      <c r="AG828" s="82"/>
      <c r="AH828" s="82"/>
      <c r="AI828" s="82"/>
      <c r="AJ828" s="166"/>
      <c r="AK828" s="82"/>
      <c r="AL828" s="162"/>
      <c r="AM828" s="162"/>
      <c r="AN828" s="162"/>
      <c r="AO828" s="162"/>
      <c r="AP828" s="162"/>
      <c r="AQ828" s="162"/>
      <c r="AR828" s="710"/>
      <c r="AV828" s="82"/>
      <c r="AW828" s="947"/>
      <c r="AX828" s="947"/>
      <c r="AY828" s="947"/>
    </row>
    <row r="829" spans="31:51" x14ac:dyDescent="0.25">
      <c r="AE829" s="75"/>
      <c r="AF829" s="82"/>
      <c r="AG829" s="82"/>
      <c r="AH829" s="82"/>
      <c r="AI829" s="82"/>
      <c r="AJ829" s="166"/>
      <c r="AK829" s="82"/>
      <c r="AL829" s="162"/>
      <c r="AM829" s="162"/>
      <c r="AN829" s="162"/>
      <c r="AO829" s="162"/>
      <c r="AP829" s="162"/>
      <c r="AQ829" s="162"/>
      <c r="AR829" s="710"/>
      <c r="AV829" s="82"/>
      <c r="AW829" s="947"/>
      <c r="AX829" s="947"/>
      <c r="AY829" s="947"/>
    </row>
    <row r="830" spans="31:51" x14ac:dyDescent="0.25">
      <c r="AE830" s="75"/>
      <c r="AF830" s="82"/>
      <c r="AG830" s="82"/>
      <c r="AH830" s="82"/>
      <c r="AI830" s="82"/>
      <c r="AJ830" s="166"/>
      <c r="AK830" s="82"/>
      <c r="AL830" s="162"/>
      <c r="AM830" s="162"/>
      <c r="AN830" s="162"/>
      <c r="AO830" s="162"/>
      <c r="AP830" s="162"/>
      <c r="AQ830" s="162"/>
      <c r="AR830" s="710"/>
      <c r="AV830" s="82"/>
      <c r="AW830" s="947"/>
      <c r="AX830" s="947"/>
      <c r="AY830" s="947"/>
    </row>
    <row r="831" spans="31:51" x14ac:dyDescent="0.25">
      <c r="AE831" s="75"/>
      <c r="AF831" s="82"/>
      <c r="AG831" s="82"/>
      <c r="AH831" s="82"/>
      <c r="AI831" s="82"/>
      <c r="AJ831" s="166"/>
      <c r="AK831" s="82"/>
      <c r="AL831" s="162"/>
      <c r="AM831" s="162"/>
      <c r="AN831" s="162"/>
      <c r="AO831" s="162"/>
      <c r="AP831" s="162"/>
      <c r="AQ831" s="162"/>
      <c r="AR831" s="710"/>
      <c r="AV831" s="82"/>
      <c r="AW831" s="947"/>
      <c r="AX831" s="947"/>
      <c r="AY831" s="947"/>
    </row>
    <row r="832" spans="31:51" x14ac:dyDescent="0.25">
      <c r="AE832" s="75"/>
      <c r="AF832" s="82"/>
      <c r="AG832" s="82"/>
      <c r="AH832" s="82"/>
      <c r="AI832" s="82"/>
      <c r="AJ832" s="166"/>
      <c r="AK832" s="82"/>
      <c r="AL832" s="162"/>
      <c r="AM832" s="162"/>
      <c r="AN832" s="162"/>
      <c r="AO832" s="162"/>
      <c r="AP832" s="162"/>
      <c r="AQ832" s="162"/>
      <c r="AR832" s="710"/>
      <c r="AV832" s="82"/>
      <c r="AW832" s="947"/>
      <c r="AX832" s="947"/>
      <c r="AY832" s="947"/>
    </row>
    <row r="833" spans="31:51" x14ac:dyDescent="0.25">
      <c r="AE833" s="75"/>
      <c r="AF833" s="82"/>
      <c r="AG833" s="82"/>
      <c r="AH833" s="82"/>
      <c r="AI833" s="82"/>
      <c r="AJ833" s="166"/>
      <c r="AK833" s="82"/>
      <c r="AL833" s="162"/>
      <c r="AM833" s="162"/>
      <c r="AN833" s="162"/>
      <c r="AO833" s="162"/>
      <c r="AP833" s="162"/>
      <c r="AQ833" s="162"/>
      <c r="AR833" s="710"/>
      <c r="AV833" s="82"/>
      <c r="AW833" s="947"/>
      <c r="AX833" s="947"/>
      <c r="AY833" s="947"/>
    </row>
    <row r="834" spans="31:51" x14ac:dyDescent="0.25">
      <c r="AE834" s="75"/>
      <c r="AF834" s="82"/>
      <c r="AG834" s="82"/>
      <c r="AH834" s="82"/>
      <c r="AI834" s="82"/>
      <c r="AJ834" s="166"/>
      <c r="AK834" s="82"/>
      <c r="AL834" s="162"/>
      <c r="AM834" s="162"/>
      <c r="AN834" s="162"/>
      <c r="AO834" s="162"/>
      <c r="AP834" s="162"/>
      <c r="AQ834" s="162"/>
      <c r="AR834" s="710"/>
      <c r="AV834" s="82"/>
      <c r="AW834" s="947"/>
      <c r="AX834" s="947"/>
      <c r="AY834" s="947"/>
    </row>
    <row r="835" spans="31:51" x14ac:dyDescent="0.25">
      <c r="AE835" s="75"/>
      <c r="AF835" s="82"/>
      <c r="AG835" s="82"/>
      <c r="AH835" s="82"/>
      <c r="AI835" s="82"/>
      <c r="AJ835" s="166"/>
      <c r="AK835" s="82"/>
      <c r="AL835" s="162"/>
      <c r="AM835" s="162"/>
      <c r="AN835" s="162"/>
      <c r="AO835" s="162"/>
      <c r="AP835" s="162"/>
      <c r="AQ835" s="162"/>
      <c r="AR835" s="710"/>
      <c r="AV835" s="82"/>
      <c r="AW835" s="947"/>
      <c r="AX835" s="947"/>
      <c r="AY835" s="947"/>
    </row>
    <row r="836" spans="31:51" x14ac:dyDescent="0.25">
      <c r="AE836" s="75"/>
      <c r="AF836" s="82"/>
      <c r="AG836" s="82"/>
      <c r="AH836" s="82"/>
      <c r="AI836" s="82"/>
      <c r="AJ836" s="166"/>
      <c r="AK836" s="82"/>
      <c r="AL836" s="162"/>
      <c r="AM836" s="162"/>
      <c r="AN836" s="162"/>
      <c r="AO836" s="162"/>
      <c r="AP836" s="162"/>
      <c r="AQ836" s="162"/>
      <c r="AR836" s="710"/>
      <c r="AV836" s="82"/>
      <c r="AW836" s="947"/>
      <c r="AX836" s="947"/>
      <c r="AY836" s="947"/>
    </row>
    <row r="837" spans="31:51" x14ac:dyDescent="0.25">
      <c r="AE837" s="75"/>
      <c r="AF837" s="82"/>
      <c r="AG837" s="82"/>
      <c r="AH837" s="82"/>
      <c r="AI837" s="82"/>
      <c r="AJ837" s="166"/>
      <c r="AK837" s="82"/>
      <c r="AL837" s="162"/>
      <c r="AM837" s="162"/>
      <c r="AN837" s="162"/>
      <c r="AO837" s="162"/>
      <c r="AP837" s="162"/>
      <c r="AQ837" s="162"/>
      <c r="AR837" s="710"/>
      <c r="AV837" s="82"/>
      <c r="AW837" s="947"/>
      <c r="AX837" s="947"/>
      <c r="AY837" s="947"/>
    </row>
    <row r="838" spans="31:51" x14ac:dyDescent="0.25">
      <c r="AE838" s="75"/>
      <c r="AF838" s="82"/>
      <c r="AG838" s="82"/>
      <c r="AH838" s="82"/>
      <c r="AI838" s="82"/>
      <c r="AJ838" s="166"/>
      <c r="AK838" s="82"/>
      <c r="AL838" s="162"/>
      <c r="AM838" s="162"/>
      <c r="AN838" s="162"/>
      <c r="AO838" s="162"/>
      <c r="AP838" s="162"/>
      <c r="AQ838" s="162"/>
      <c r="AR838" s="710"/>
      <c r="AV838" s="82"/>
      <c r="AW838" s="947"/>
      <c r="AX838" s="947"/>
      <c r="AY838" s="947"/>
    </row>
    <row r="839" spans="31:51" x14ac:dyDescent="0.25">
      <c r="AE839" s="75"/>
      <c r="AF839" s="82"/>
      <c r="AG839" s="82"/>
      <c r="AH839" s="82"/>
      <c r="AI839" s="82"/>
      <c r="AJ839" s="166"/>
      <c r="AK839" s="82"/>
      <c r="AL839" s="162"/>
      <c r="AM839" s="162"/>
      <c r="AN839" s="162"/>
      <c r="AO839" s="162"/>
      <c r="AP839" s="162"/>
      <c r="AQ839" s="162"/>
      <c r="AR839" s="710"/>
      <c r="AV839" s="82"/>
      <c r="AW839" s="947"/>
      <c r="AX839" s="947"/>
      <c r="AY839" s="947"/>
    </row>
    <row r="840" spans="31:51" x14ac:dyDescent="0.25">
      <c r="AE840" s="75"/>
      <c r="AF840" s="82"/>
      <c r="AG840" s="82"/>
      <c r="AH840" s="82"/>
      <c r="AI840" s="82"/>
      <c r="AJ840" s="166"/>
      <c r="AK840" s="82"/>
      <c r="AL840" s="162"/>
      <c r="AM840" s="162"/>
      <c r="AN840" s="162"/>
      <c r="AO840" s="162"/>
      <c r="AP840" s="162"/>
      <c r="AQ840" s="162"/>
      <c r="AR840" s="710"/>
      <c r="AV840" s="82"/>
      <c r="AW840" s="947"/>
      <c r="AX840" s="947"/>
      <c r="AY840" s="947"/>
    </row>
    <row r="841" spans="31:51" x14ac:dyDescent="0.25">
      <c r="AE841" s="75"/>
      <c r="AF841" s="82"/>
      <c r="AG841" s="82"/>
      <c r="AH841" s="82"/>
      <c r="AI841" s="82"/>
      <c r="AJ841" s="166"/>
      <c r="AK841" s="82"/>
      <c r="AL841" s="162"/>
      <c r="AM841" s="162"/>
      <c r="AN841" s="162"/>
      <c r="AO841" s="162"/>
      <c r="AP841" s="162"/>
      <c r="AQ841" s="162"/>
      <c r="AR841" s="710"/>
      <c r="AV841" s="82"/>
      <c r="AW841" s="947"/>
      <c r="AX841" s="947"/>
      <c r="AY841" s="947"/>
    </row>
    <row r="842" spans="31:51" x14ac:dyDescent="0.25">
      <c r="AE842" s="75"/>
      <c r="AF842" s="82"/>
      <c r="AG842" s="82"/>
      <c r="AH842" s="82"/>
      <c r="AI842" s="82"/>
      <c r="AJ842" s="166"/>
      <c r="AK842" s="82"/>
      <c r="AL842" s="162"/>
      <c r="AM842" s="162"/>
      <c r="AN842" s="162"/>
      <c r="AO842" s="162"/>
      <c r="AP842" s="162"/>
      <c r="AQ842" s="162"/>
      <c r="AR842" s="710"/>
      <c r="AV842" s="82"/>
      <c r="AW842" s="947"/>
      <c r="AX842" s="947"/>
      <c r="AY842" s="947"/>
    </row>
    <row r="843" spans="31:51" x14ac:dyDescent="0.25">
      <c r="AE843" s="75"/>
      <c r="AF843" s="82"/>
      <c r="AG843" s="82"/>
      <c r="AH843" s="82"/>
      <c r="AI843" s="82"/>
      <c r="AJ843" s="166"/>
      <c r="AK843" s="82"/>
      <c r="AL843" s="162"/>
      <c r="AM843" s="162"/>
      <c r="AN843" s="162"/>
      <c r="AO843" s="162"/>
      <c r="AP843" s="162"/>
      <c r="AQ843" s="162"/>
      <c r="AR843" s="710"/>
      <c r="AV843" s="82"/>
      <c r="AW843" s="947"/>
      <c r="AX843" s="947"/>
      <c r="AY843" s="947"/>
    </row>
    <row r="844" spans="31:51" x14ac:dyDescent="0.25">
      <c r="AE844" s="75"/>
      <c r="AF844" s="82"/>
      <c r="AG844" s="82"/>
      <c r="AH844" s="82"/>
      <c r="AI844" s="82"/>
      <c r="AJ844" s="166"/>
      <c r="AK844" s="82"/>
      <c r="AL844" s="162"/>
      <c r="AM844" s="162"/>
      <c r="AN844" s="162"/>
      <c r="AO844" s="162"/>
      <c r="AP844" s="162"/>
      <c r="AQ844" s="162"/>
      <c r="AR844" s="710"/>
      <c r="AV844" s="82"/>
      <c r="AW844" s="947"/>
      <c r="AX844" s="947"/>
      <c r="AY844" s="947"/>
    </row>
    <row r="845" spans="31:51" x14ac:dyDescent="0.25">
      <c r="AE845" s="75"/>
      <c r="AF845" s="82"/>
      <c r="AG845" s="82"/>
      <c r="AH845" s="82"/>
      <c r="AI845" s="82"/>
      <c r="AJ845" s="166"/>
      <c r="AK845" s="82"/>
      <c r="AL845" s="162"/>
      <c r="AM845" s="162"/>
      <c r="AN845" s="162"/>
      <c r="AO845" s="162"/>
      <c r="AP845" s="162"/>
      <c r="AQ845" s="162"/>
      <c r="AR845" s="710"/>
      <c r="AV845" s="82"/>
      <c r="AW845" s="947"/>
      <c r="AX845" s="947"/>
      <c r="AY845" s="947"/>
    </row>
    <row r="846" spans="31:51" x14ac:dyDescent="0.25">
      <c r="AE846" s="75"/>
      <c r="AF846" s="82"/>
      <c r="AG846" s="82"/>
      <c r="AH846" s="82"/>
      <c r="AI846" s="82"/>
      <c r="AJ846" s="166"/>
      <c r="AK846" s="82"/>
      <c r="AL846" s="162"/>
      <c r="AM846" s="162"/>
      <c r="AN846" s="162"/>
      <c r="AO846" s="162"/>
      <c r="AP846" s="162"/>
      <c r="AQ846" s="162"/>
      <c r="AR846" s="710"/>
      <c r="AV846" s="82"/>
      <c r="AW846" s="947"/>
      <c r="AX846" s="947"/>
      <c r="AY846" s="947"/>
    </row>
    <row r="847" spans="31:51" x14ac:dyDescent="0.25">
      <c r="AE847" s="75"/>
      <c r="AF847" s="82"/>
      <c r="AG847" s="82"/>
      <c r="AH847" s="82"/>
      <c r="AI847" s="82"/>
      <c r="AJ847" s="166"/>
      <c r="AK847" s="82"/>
      <c r="AL847" s="162"/>
      <c r="AM847" s="162"/>
      <c r="AN847" s="162"/>
      <c r="AO847" s="162"/>
      <c r="AP847" s="162"/>
      <c r="AQ847" s="162"/>
      <c r="AR847" s="710"/>
      <c r="AV847" s="82"/>
      <c r="AW847" s="947"/>
      <c r="AX847" s="947"/>
      <c r="AY847" s="947"/>
    </row>
    <row r="848" spans="31:51" x14ac:dyDescent="0.25">
      <c r="AE848" s="75"/>
      <c r="AF848" s="82"/>
      <c r="AG848" s="82"/>
      <c r="AH848" s="82"/>
      <c r="AI848" s="82"/>
      <c r="AJ848" s="166"/>
      <c r="AK848" s="82"/>
      <c r="AL848" s="162"/>
      <c r="AM848" s="162"/>
      <c r="AN848" s="162"/>
      <c r="AO848" s="162"/>
      <c r="AP848" s="162"/>
      <c r="AQ848" s="162"/>
      <c r="AR848" s="710"/>
      <c r="AV848" s="82"/>
      <c r="AW848" s="947"/>
      <c r="AX848" s="947"/>
      <c r="AY848" s="947"/>
    </row>
    <row r="849" spans="31:51" x14ac:dyDescent="0.25">
      <c r="AE849" s="75"/>
      <c r="AF849" s="82"/>
      <c r="AG849" s="82"/>
      <c r="AH849" s="82"/>
      <c r="AI849" s="82"/>
      <c r="AJ849" s="166"/>
      <c r="AK849" s="82"/>
      <c r="AL849" s="162"/>
      <c r="AM849" s="162"/>
      <c r="AN849" s="162"/>
      <c r="AO849" s="162"/>
      <c r="AP849" s="162"/>
      <c r="AQ849" s="162"/>
      <c r="AR849" s="710"/>
      <c r="AV849" s="82"/>
      <c r="AW849" s="947"/>
      <c r="AX849" s="947"/>
      <c r="AY849" s="947"/>
    </row>
    <row r="850" spans="31:51" x14ac:dyDescent="0.25">
      <c r="AE850" s="75"/>
      <c r="AF850" s="82"/>
      <c r="AG850" s="82"/>
      <c r="AH850" s="82"/>
      <c r="AI850" s="82"/>
      <c r="AJ850" s="166"/>
      <c r="AK850" s="82"/>
      <c r="AL850" s="162"/>
      <c r="AM850" s="162"/>
      <c r="AN850" s="162"/>
      <c r="AO850" s="162"/>
      <c r="AP850" s="162"/>
      <c r="AQ850" s="162"/>
      <c r="AR850" s="710"/>
      <c r="AV850" s="82"/>
      <c r="AW850" s="947"/>
      <c r="AX850" s="947"/>
      <c r="AY850" s="947"/>
    </row>
    <row r="851" spans="31:51" x14ac:dyDescent="0.25">
      <c r="AE851" s="75"/>
      <c r="AF851" s="82"/>
      <c r="AG851" s="82"/>
      <c r="AH851" s="82"/>
      <c r="AI851" s="82"/>
      <c r="AJ851" s="166"/>
      <c r="AK851" s="82"/>
      <c r="AL851" s="162"/>
      <c r="AM851" s="162"/>
      <c r="AN851" s="162"/>
      <c r="AO851" s="162"/>
      <c r="AP851" s="162"/>
      <c r="AQ851" s="162"/>
      <c r="AR851" s="710"/>
      <c r="AV851" s="82"/>
      <c r="AW851" s="947"/>
      <c r="AX851" s="947"/>
      <c r="AY851" s="947"/>
    </row>
    <row r="852" spans="31:51" x14ac:dyDescent="0.25">
      <c r="AE852" s="75"/>
      <c r="AF852" s="82"/>
      <c r="AG852" s="82"/>
      <c r="AH852" s="82"/>
      <c r="AI852" s="82"/>
      <c r="AJ852" s="166"/>
      <c r="AK852" s="82"/>
      <c r="AL852" s="162"/>
      <c r="AM852" s="162"/>
      <c r="AN852" s="162"/>
      <c r="AO852" s="162"/>
      <c r="AP852" s="162"/>
      <c r="AQ852" s="162"/>
      <c r="AR852" s="710"/>
      <c r="AV852" s="82"/>
      <c r="AW852" s="947"/>
      <c r="AX852" s="947"/>
      <c r="AY852" s="947"/>
    </row>
    <row r="853" spans="31:51" x14ac:dyDescent="0.25">
      <c r="AE853" s="75"/>
      <c r="AF853" s="82"/>
      <c r="AG853" s="82"/>
      <c r="AH853" s="82"/>
      <c r="AI853" s="82"/>
      <c r="AJ853" s="166"/>
      <c r="AK853" s="82"/>
      <c r="AL853" s="162"/>
      <c r="AM853" s="162"/>
      <c r="AN853" s="162"/>
      <c r="AO853" s="162"/>
      <c r="AP853" s="162"/>
      <c r="AQ853" s="162"/>
      <c r="AR853" s="710"/>
      <c r="AV853" s="82"/>
      <c r="AW853" s="947"/>
      <c r="AX853" s="947"/>
      <c r="AY853" s="947"/>
    </row>
    <row r="854" spans="31:51" x14ac:dyDescent="0.25">
      <c r="AE854" s="75"/>
      <c r="AF854" s="82"/>
      <c r="AG854" s="82"/>
      <c r="AH854" s="82"/>
      <c r="AI854" s="82"/>
      <c r="AJ854" s="166"/>
      <c r="AK854" s="82"/>
      <c r="AL854" s="162"/>
      <c r="AM854" s="162"/>
      <c r="AN854" s="162"/>
      <c r="AO854" s="162"/>
      <c r="AP854" s="162"/>
      <c r="AQ854" s="162"/>
      <c r="AR854" s="710"/>
      <c r="AV854" s="82"/>
      <c r="AW854" s="947"/>
      <c r="AX854" s="947"/>
      <c r="AY854" s="947"/>
    </row>
    <row r="855" spans="31:51" x14ac:dyDescent="0.25">
      <c r="AE855" s="75"/>
      <c r="AF855" s="82"/>
      <c r="AG855" s="82"/>
      <c r="AH855" s="82"/>
      <c r="AI855" s="82"/>
      <c r="AJ855" s="166"/>
      <c r="AK855" s="82"/>
      <c r="AL855" s="162"/>
      <c r="AM855" s="162"/>
      <c r="AN855" s="162"/>
      <c r="AO855" s="162"/>
      <c r="AP855" s="162"/>
      <c r="AQ855" s="162"/>
      <c r="AR855" s="710"/>
      <c r="AV855" s="82"/>
      <c r="AW855" s="947"/>
      <c r="AX855" s="947"/>
      <c r="AY855" s="947"/>
    </row>
    <row r="856" spans="31:51" x14ac:dyDescent="0.25">
      <c r="AE856" s="75"/>
      <c r="AF856" s="82"/>
      <c r="AG856" s="82"/>
      <c r="AH856" s="82"/>
      <c r="AI856" s="82"/>
      <c r="AJ856" s="166"/>
      <c r="AK856" s="82"/>
      <c r="AL856" s="162"/>
      <c r="AM856" s="162"/>
      <c r="AN856" s="162"/>
      <c r="AO856" s="162"/>
      <c r="AP856" s="162"/>
      <c r="AQ856" s="162"/>
      <c r="AR856" s="710"/>
      <c r="AV856" s="82"/>
      <c r="AW856" s="947"/>
      <c r="AX856" s="947"/>
      <c r="AY856" s="947"/>
    </row>
    <row r="857" spans="31:51" x14ac:dyDescent="0.25">
      <c r="AE857" s="75"/>
      <c r="AF857" s="82"/>
      <c r="AG857" s="82"/>
      <c r="AH857" s="82"/>
      <c r="AI857" s="82"/>
      <c r="AJ857" s="166"/>
      <c r="AK857" s="82"/>
      <c r="AL857" s="162"/>
      <c r="AM857" s="162"/>
      <c r="AN857" s="162"/>
      <c r="AO857" s="162"/>
      <c r="AP857" s="162"/>
      <c r="AQ857" s="162"/>
      <c r="AR857" s="710"/>
      <c r="AV857" s="82"/>
      <c r="AW857" s="947"/>
      <c r="AX857" s="947"/>
      <c r="AY857" s="947"/>
    </row>
    <row r="858" spans="31:51" x14ac:dyDescent="0.25">
      <c r="AE858" s="75"/>
      <c r="AF858" s="82"/>
      <c r="AG858" s="82"/>
      <c r="AH858" s="82"/>
      <c r="AI858" s="82"/>
      <c r="AJ858" s="166"/>
      <c r="AK858" s="82"/>
      <c r="AL858" s="162"/>
      <c r="AM858" s="162"/>
      <c r="AN858" s="162"/>
      <c r="AO858" s="162"/>
      <c r="AP858" s="162"/>
      <c r="AQ858" s="162"/>
      <c r="AR858" s="710"/>
      <c r="AV858" s="82"/>
      <c r="AW858" s="947"/>
      <c r="AX858" s="947"/>
      <c r="AY858" s="947"/>
    </row>
    <row r="859" spans="31:51" x14ac:dyDescent="0.25">
      <c r="AE859" s="75"/>
      <c r="AF859" s="82"/>
      <c r="AG859" s="82"/>
      <c r="AH859" s="82"/>
      <c r="AI859" s="82"/>
      <c r="AJ859" s="166"/>
      <c r="AK859" s="82"/>
      <c r="AL859" s="162"/>
      <c r="AM859" s="162"/>
      <c r="AN859" s="162"/>
      <c r="AO859" s="162"/>
      <c r="AP859" s="162"/>
      <c r="AQ859" s="162"/>
      <c r="AR859" s="710"/>
      <c r="AV859" s="82"/>
      <c r="AW859" s="947"/>
      <c r="AX859" s="947"/>
      <c r="AY859" s="947"/>
    </row>
    <row r="860" spans="31:51" x14ac:dyDescent="0.25">
      <c r="AE860" s="75"/>
      <c r="AF860" s="82"/>
      <c r="AG860" s="82"/>
      <c r="AH860" s="82"/>
      <c r="AI860" s="82"/>
      <c r="AJ860" s="166"/>
      <c r="AK860" s="82"/>
      <c r="AL860" s="162"/>
      <c r="AM860" s="162"/>
      <c r="AN860" s="162"/>
      <c r="AO860" s="162"/>
      <c r="AP860" s="162"/>
      <c r="AQ860" s="162"/>
      <c r="AR860" s="710"/>
      <c r="AV860" s="82"/>
      <c r="AW860" s="947"/>
      <c r="AX860" s="947"/>
      <c r="AY860" s="947"/>
    </row>
    <row r="861" spans="31:51" x14ac:dyDescent="0.25">
      <c r="AE861" s="75"/>
      <c r="AF861" s="82"/>
      <c r="AG861" s="82"/>
      <c r="AH861" s="82"/>
      <c r="AI861" s="82"/>
      <c r="AJ861" s="166"/>
      <c r="AK861" s="82"/>
      <c r="AL861" s="162"/>
      <c r="AM861" s="162"/>
      <c r="AN861" s="162"/>
      <c r="AO861" s="162"/>
      <c r="AP861" s="162"/>
      <c r="AQ861" s="162"/>
      <c r="AR861" s="710"/>
      <c r="AV861" s="82"/>
      <c r="AW861" s="947"/>
      <c r="AX861" s="947"/>
      <c r="AY861" s="947"/>
    </row>
    <row r="862" spans="31:51" x14ac:dyDescent="0.25">
      <c r="AE862" s="75"/>
      <c r="AF862" s="82"/>
      <c r="AG862" s="82"/>
      <c r="AH862" s="82"/>
      <c r="AI862" s="82"/>
      <c r="AJ862" s="166"/>
      <c r="AK862" s="82"/>
      <c r="AL862" s="162"/>
      <c r="AM862" s="162"/>
      <c r="AN862" s="162"/>
      <c r="AO862" s="162"/>
      <c r="AP862" s="162"/>
      <c r="AQ862" s="162"/>
      <c r="AR862" s="710"/>
      <c r="AV862" s="82"/>
      <c r="AW862" s="947"/>
      <c r="AX862" s="947"/>
      <c r="AY862" s="947"/>
    </row>
    <row r="863" spans="31:51" x14ac:dyDescent="0.25">
      <c r="AE863" s="75"/>
      <c r="AF863" s="82"/>
      <c r="AG863" s="82"/>
      <c r="AH863" s="82"/>
      <c r="AI863" s="82"/>
      <c r="AJ863" s="166"/>
      <c r="AK863" s="82"/>
      <c r="AL863" s="162"/>
      <c r="AM863" s="162"/>
      <c r="AN863" s="162"/>
      <c r="AO863" s="162"/>
      <c r="AP863" s="162"/>
      <c r="AQ863" s="162"/>
      <c r="AR863" s="710"/>
      <c r="AV863" s="82"/>
      <c r="AW863" s="947"/>
      <c r="AX863" s="947"/>
      <c r="AY863" s="947"/>
    </row>
    <row r="864" spans="31:51" x14ac:dyDescent="0.25">
      <c r="AE864" s="75"/>
      <c r="AF864" s="82"/>
      <c r="AG864" s="82"/>
      <c r="AH864" s="82"/>
      <c r="AI864" s="82"/>
      <c r="AJ864" s="166"/>
      <c r="AK864" s="82"/>
      <c r="AL864" s="162"/>
      <c r="AM864" s="162"/>
      <c r="AN864" s="162"/>
      <c r="AO864" s="162"/>
      <c r="AP864" s="162"/>
      <c r="AQ864" s="162"/>
      <c r="AR864" s="710"/>
      <c r="AV864" s="82"/>
      <c r="AW864" s="947"/>
      <c r="AX864" s="947"/>
      <c r="AY864" s="947"/>
    </row>
    <row r="865" spans="31:51" x14ac:dyDescent="0.25">
      <c r="AE865" s="75"/>
      <c r="AF865" s="82"/>
      <c r="AG865" s="82"/>
      <c r="AH865" s="82"/>
      <c r="AI865" s="82"/>
      <c r="AJ865" s="166"/>
      <c r="AK865" s="82"/>
      <c r="AL865" s="162"/>
      <c r="AM865" s="162"/>
      <c r="AN865" s="162"/>
      <c r="AO865" s="162"/>
      <c r="AP865" s="162"/>
      <c r="AQ865" s="162"/>
      <c r="AR865" s="710"/>
      <c r="AV865" s="82"/>
      <c r="AW865" s="947"/>
      <c r="AX865" s="947"/>
      <c r="AY865" s="947"/>
    </row>
    <row r="866" spans="31:51" x14ac:dyDescent="0.25">
      <c r="AE866" s="75"/>
      <c r="AF866" s="82"/>
      <c r="AG866" s="82"/>
      <c r="AH866" s="82"/>
      <c r="AI866" s="82"/>
      <c r="AJ866" s="166"/>
      <c r="AK866" s="82"/>
      <c r="AL866" s="162"/>
      <c r="AM866" s="162"/>
      <c r="AN866" s="162"/>
      <c r="AO866" s="162"/>
      <c r="AP866" s="162"/>
      <c r="AQ866" s="162"/>
      <c r="AR866" s="710"/>
      <c r="AV866" s="82"/>
      <c r="AW866" s="947"/>
      <c r="AX866" s="947"/>
      <c r="AY866" s="947"/>
    </row>
    <row r="867" spans="31:51" x14ac:dyDescent="0.25">
      <c r="AE867" s="75"/>
      <c r="AF867" s="82"/>
      <c r="AG867" s="82"/>
      <c r="AH867" s="82"/>
      <c r="AI867" s="82"/>
      <c r="AJ867" s="166"/>
      <c r="AK867" s="82"/>
      <c r="AL867" s="162"/>
      <c r="AM867" s="162"/>
      <c r="AN867" s="162"/>
      <c r="AO867" s="162"/>
      <c r="AP867" s="162"/>
      <c r="AQ867" s="162"/>
      <c r="AR867" s="710"/>
      <c r="AV867" s="82"/>
      <c r="AW867" s="947"/>
      <c r="AX867" s="947"/>
      <c r="AY867" s="947"/>
    </row>
    <row r="868" spans="31:51" x14ac:dyDescent="0.25">
      <c r="AE868" s="75"/>
      <c r="AF868" s="82"/>
      <c r="AG868" s="82"/>
      <c r="AH868" s="82"/>
      <c r="AI868" s="82"/>
      <c r="AJ868" s="166"/>
      <c r="AK868" s="82"/>
      <c r="AL868" s="162"/>
      <c r="AM868" s="162"/>
      <c r="AN868" s="162"/>
      <c r="AO868" s="162"/>
      <c r="AP868" s="162"/>
      <c r="AQ868" s="162"/>
      <c r="AR868" s="710"/>
      <c r="AV868" s="82"/>
      <c r="AW868" s="947"/>
      <c r="AX868" s="947"/>
      <c r="AY868" s="947"/>
    </row>
    <row r="869" spans="31:51" x14ac:dyDescent="0.25">
      <c r="AE869" s="75"/>
      <c r="AF869" s="82"/>
      <c r="AG869" s="82"/>
      <c r="AH869" s="82"/>
      <c r="AI869" s="82"/>
      <c r="AJ869" s="166"/>
      <c r="AK869" s="82"/>
      <c r="AL869" s="162"/>
      <c r="AM869" s="162"/>
      <c r="AN869" s="162"/>
      <c r="AO869" s="162"/>
      <c r="AP869" s="162"/>
      <c r="AQ869" s="162"/>
      <c r="AR869" s="710"/>
      <c r="AV869" s="82"/>
      <c r="AW869" s="947"/>
      <c r="AX869" s="947"/>
      <c r="AY869" s="947"/>
    </row>
    <row r="870" spans="31:51" x14ac:dyDescent="0.25">
      <c r="AE870" s="75"/>
      <c r="AF870" s="82"/>
      <c r="AG870" s="82"/>
      <c r="AH870" s="82"/>
      <c r="AI870" s="82"/>
      <c r="AJ870" s="166"/>
      <c r="AK870" s="82"/>
      <c r="AL870" s="162"/>
      <c r="AM870" s="162"/>
      <c r="AN870" s="162"/>
      <c r="AO870" s="162"/>
      <c r="AP870" s="162"/>
      <c r="AQ870" s="162"/>
      <c r="AR870" s="710"/>
      <c r="AV870" s="82"/>
      <c r="AW870" s="947"/>
      <c r="AX870" s="947"/>
      <c r="AY870" s="947"/>
    </row>
    <row r="871" spans="31:51" x14ac:dyDescent="0.25">
      <c r="AE871" s="75"/>
      <c r="AF871" s="82"/>
      <c r="AG871" s="82"/>
      <c r="AH871" s="82"/>
      <c r="AI871" s="82"/>
      <c r="AJ871" s="166"/>
      <c r="AK871" s="82"/>
      <c r="AL871" s="162"/>
      <c r="AM871" s="162"/>
      <c r="AN871" s="162"/>
      <c r="AO871" s="162"/>
      <c r="AP871" s="162"/>
      <c r="AQ871" s="162"/>
      <c r="AR871" s="710"/>
      <c r="AV871" s="82"/>
      <c r="AW871" s="947"/>
      <c r="AX871" s="947"/>
      <c r="AY871" s="947"/>
    </row>
    <row r="872" spans="31:51" x14ac:dyDescent="0.25">
      <c r="AE872" s="75"/>
      <c r="AF872" s="82"/>
      <c r="AG872" s="82"/>
      <c r="AH872" s="82"/>
      <c r="AI872" s="82"/>
      <c r="AJ872" s="166"/>
      <c r="AK872" s="82"/>
      <c r="AL872" s="162"/>
      <c r="AM872" s="162"/>
      <c r="AN872" s="162"/>
      <c r="AO872" s="162"/>
      <c r="AP872" s="162"/>
      <c r="AQ872" s="162"/>
      <c r="AR872" s="710"/>
      <c r="AV872" s="82"/>
      <c r="AW872" s="947"/>
      <c r="AX872" s="947"/>
      <c r="AY872" s="947"/>
    </row>
    <row r="873" spans="31:51" x14ac:dyDescent="0.25">
      <c r="AE873" s="75"/>
      <c r="AF873" s="82"/>
      <c r="AG873" s="82"/>
      <c r="AH873" s="82"/>
      <c r="AI873" s="82"/>
      <c r="AJ873" s="166"/>
      <c r="AK873" s="82"/>
      <c r="AL873" s="162"/>
      <c r="AM873" s="162"/>
      <c r="AN873" s="162"/>
      <c r="AO873" s="162"/>
      <c r="AP873" s="162"/>
      <c r="AQ873" s="162"/>
      <c r="AR873" s="710"/>
      <c r="AV873" s="82"/>
      <c r="AW873" s="947"/>
      <c r="AX873" s="947"/>
      <c r="AY873" s="947"/>
    </row>
    <row r="874" spans="31:51" x14ac:dyDescent="0.25">
      <c r="AE874" s="75"/>
      <c r="AF874" s="82"/>
      <c r="AG874" s="82"/>
      <c r="AH874" s="82"/>
      <c r="AI874" s="82"/>
      <c r="AJ874" s="166"/>
      <c r="AK874" s="82"/>
      <c r="AL874" s="162"/>
      <c r="AM874" s="162"/>
      <c r="AN874" s="162"/>
      <c r="AO874" s="162"/>
      <c r="AP874" s="162"/>
      <c r="AQ874" s="162"/>
      <c r="AR874" s="710"/>
      <c r="AV874" s="82"/>
      <c r="AW874" s="947"/>
      <c r="AX874" s="947"/>
      <c r="AY874" s="947"/>
    </row>
    <row r="875" spans="31:51" x14ac:dyDescent="0.25">
      <c r="AE875" s="75"/>
      <c r="AF875" s="82"/>
      <c r="AG875" s="82"/>
      <c r="AH875" s="82"/>
      <c r="AI875" s="82"/>
      <c r="AJ875" s="166"/>
      <c r="AK875" s="82"/>
      <c r="AL875" s="162"/>
      <c r="AM875" s="162"/>
      <c r="AN875" s="162"/>
      <c r="AO875" s="162"/>
      <c r="AP875" s="162"/>
      <c r="AQ875" s="162"/>
      <c r="AR875" s="710"/>
      <c r="AV875" s="82"/>
      <c r="AW875" s="947"/>
      <c r="AX875" s="947"/>
      <c r="AY875" s="947"/>
    </row>
    <row r="876" spans="31:51" x14ac:dyDescent="0.25">
      <c r="AE876" s="75"/>
      <c r="AF876" s="82"/>
      <c r="AG876" s="82"/>
      <c r="AH876" s="82"/>
      <c r="AI876" s="82"/>
      <c r="AJ876" s="166"/>
      <c r="AK876" s="82"/>
      <c r="AL876" s="162"/>
      <c r="AM876" s="162"/>
      <c r="AN876" s="162"/>
      <c r="AO876" s="162"/>
      <c r="AP876" s="162"/>
      <c r="AQ876" s="162"/>
      <c r="AR876" s="710"/>
      <c r="AV876" s="82"/>
      <c r="AW876" s="947"/>
      <c r="AX876" s="947"/>
      <c r="AY876" s="947"/>
    </row>
    <row r="877" spans="31:51" x14ac:dyDescent="0.25">
      <c r="AE877" s="75"/>
      <c r="AF877" s="82"/>
      <c r="AG877" s="82"/>
      <c r="AH877" s="82"/>
      <c r="AI877" s="82"/>
      <c r="AJ877" s="166"/>
      <c r="AK877" s="82"/>
      <c r="AL877" s="162"/>
      <c r="AM877" s="162"/>
      <c r="AN877" s="162"/>
      <c r="AO877" s="162"/>
      <c r="AP877" s="162"/>
      <c r="AQ877" s="162"/>
      <c r="AR877" s="710"/>
      <c r="AV877" s="82"/>
      <c r="AW877" s="947"/>
      <c r="AX877" s="947"/>
      <c r="AY877" s="947"/>
    </row>
    <row r="878" spans="31:51" x14ac:dyDescent="0.25">
      <c r="AE878" s="75"/>
      <c r="AF878" s="82"/>
      <c r="AG878" s="82"/>
      <c r="AH878" s="82"/>
      <c r="AI878" s="82"/>
      <c r="AJ878" s="166"/>
      <c r="AK878" s="82"/>
      <c r="AL878" s="162"/>
      <c r="AM878" s="162"/>
      <c r="AN878" s="162"/>
      <c r="AO878" s="162"/>
      <c r="AP878" s="162"/>
      <c r="AQ878" s="162"/>
      <c r="AR878" s="710"/>
      <c r="AV878" s="82"/>
      <c r="AW878" s="947"/>
      <c r="AX878" s="947"/>
      <c r="AY878" s="947"/>
    </row>
    <row r="879" spans="31:51" x14ac:dyDescent="0.25">
      <c r="AE879" s="75"/>
      <c r="AF879" s="82"/>
      <c r="AG879" s="82"/>
      <c r="AH879" s="82"/>
      <c r="AI879" s="82"/>
      <c r="AJ879" s="166"/>
      <c r="AK879" s="82"/>
      <c r="AL879" s="162"/>
      <c r="AM879" s="162"/>
      <c r="AN879" s="162"/>
      <c r="AO879" s="162"/>
      <c r="AP879" s="162"/>
      <c r="AQ879" s="162"/>
      <c r="AR879" s="710"/>
      <c r="AV879" s="82"/>
      <c r="AW879" s="947"/>
      <c r="AX879" s="947"/>
      <c r="AY879" s="947"/>
    </row>
    <row r="880" spans="31:51" x14ac:dyDescent="0.25">
      <c r="AE880" s="75"/>
      <c r="AF880" s="82"/>
      <c r="AG880" s="82"/>
      <c r="AH880" s="82"/>
      <c r="AI880" s="82"/>
      <c r="AJ880" s="166"/>
      <c r="AK880" s="82"/>
      <c r="AL880" s="162"/>
      <c r="AM880" s="162"/>
      <c r="AN880" s="162"/>
      <c r="AO880" s="162"/>
      <c r="AP880" s="162"/>
      <c r="AQ880" s="162"/>
      <c r="AR880" s="710"/>
      <c r="AV880" s="82"/>
      <c r="AW880" s="947"/>
      <c r="AX880" s="947"/>
      <c r="AY880" s="947"/>
    </row>
    <row r="881" spans="31:51" x14ac:dyDescent="0.25">
      <c r="AE881" s="75"/>
      <c r="AF881" s="82"/>
      <c r="AG881" s="82"/>
      <c r="AH881" s="82"/>
      <c r="AI881" s="82"/>
      <c r="AJ881" s="166"/>
      <c r="AK881" s="82"/>
      <c r="AL881" s="162"/>
      <c r="AM881" s="162"/>
      <c r="AN881" s="162"/>
      <c r="AO881" s="162"/>
      <c r="AP881" s="162"/>
      <c r="AQ881" s="162"/>
      <c r="AR881" s="710"/>
      <c r="AV881" s="82"/>
      <c r="AW881" s="947"/>
      <c r="AX881" s="947"/>
      <c r="AY881" s="947"/>
    </row>
    <row r="882" spans="31:51" x14ac:dyDescent="0.25">
      <c r="AE882" s="75"/>
      <c r="AF882" s="82"/>
      <c r="AG882" s="82"/>
      <c r="AH882" s="82"/>
      <c r="AI882" s="82"/>
      <c r="AJ882" s="166"/>
      <c r="AK882" s="82"/>
      <c r="AL882" s="162"/>
      <c r="AM882" s="162"/>
      <c r="AN882" s="162"/>
      <c r="AO882" s="162"/>
      <c r="AP882" s="162"/>
      <c r="AQ882" s="162"/>
      <c r="AR882" s="710"/>
      <c r="AV882" s="82"/>
      <c r="AW882" s="947"/>
      <c r="AX882" s="947"/>
      <c r="AY882" s="947"/>
    </row>
    <row r="883" spans="31:51" x14ac:dyDescent="0.25">
      <c r="AE883" s="75"/>
      <c r="AF883" s="82"/>
      <c r="AG883" s="82"/>
      <c r="AH883" s="82"/>
      <c r="AI883" s="82"/>
      <c r="AJ883" s="166"/>
      <c r="AK883" s="82"/>
      <c r="AL883" s="162"/>
      <c r="AM883" s="162"/>
      <c r="AN883" s="162"/>
      <c r="AO883" s="162"/>
      <c r="AP883" s="162"/>
      <c r="AQ883" s="162"/>
      <c r="AR883" s="710"/>
      <c r="AV883" s="82"/>
      <c r="AW883" s="947"/>
      <c r="AX883" s="947"/>
      <c r="AY883" s="947"/>
    </row>
    <row r="884" spans="31:51" x14ac:dyDescent="0.25">
      <c r="AE884" s="75"/>
      <c r="AF884" s="82"/>
      <c r="AG884" s="82"/>
      <c r="AH884" s="82"/>
      <c r="AI884" s="82"/>
      <c r="AJ884" s="166"/>
      <c r="AK884" s="82"/>
      <c r="AL884" s="162"/>
      <c r="AM884" s="162"/>
      <c r="AN884" s="162"/>
      <c r="AO884" s="162"/>
      <c r="AP884" s="162"/>
      <c r="AQ884" s="162"/>
      <c r="AR884" s="710"/>
      <c r="AV884" s="82"/>
      <c r="AW884" s="947"/>
      <c r="AX884" s="947"/>
      <c r="AY884" s="947"/>
    </row>
    <row r="885" spans="31:51" x14ac:dyDescent="0.25">
      <c r="AE885" s="75"/>
      <c r="AF885" s="82"/>
      <c r="AG885" s="82"/>
      <c r="AH885" s="82"/>
      <c r="AI885" s="82"/>
      <c r="AJ885" s="166"/>
      <c r="AK885" s="82"/>
      <c r="AL885" s="162"/>
      <c r="AM885" s="162"/>
      <c r="AN885" s="162"/>
      <c r="AO885" s="162"/>
      <c r="AP885" s="162"/>
      <c r="AQ885" s="162"/>
      <c r="AR885" s="710"/>
      <c r="AV885" s="82"/>
      <c r="AW885" s="947"/>
      <c r="AX885" s="947"/>
      <c r="AY885" s="947"/>
    </row>
    <row r="886" spans="31:51" x14ac:dyDescent="0.25">
      <c r="AE886" s="75"/>
      <c r="AF886" s="82"/>
      <c r="AG886" s="82"/>
      <c r="AH886" s="82"/>
      <c r="AI886" s="82"/>
      <c r="AJ886" s="166"/>
      <c r="AK886" s="82"/>
      <c r="AL886" s="162"/>
      <c r="AM886" s="162"/>
      <c r="AN886" s="162"/>
      <c r="AO886" s="162"/>
      <c r="AP886" s="162"/>
      <c r="AQ886" s="162"/>
      <c r="AR886" s="710"/>
      <c r="AV886" s="82"/>
      <c r="AW886" s="947"/>
      <c r="AX886" s="947"/>
      <c r="AY886" s="947"/>
    </row>
    <row r="887" spans="31:51" x14ac:dyDescent="0.25">
      <c r="AE887" s="75"/>
      <c r="AF887" s="82"/>
      <c r="AG887" s="82"/>
      <c r="AH887" s="82"/>
      <c r="AI887" s="82"/>
      <c r="AJ887" s="166"/>
      <c r="AK887" s="82"/>
      <c r="AL887" s="162"/>
      <c r="AM887" s="162"/>
      <c r="AN887" s="162"/>
      <c r="AO887" s="162"/>
      <c r="AP887" s="162"/>
      <c r="AQ887" s="162"/>
      <c r="AR887" s="710"/>
      <c r="AV887" s="82"/>
      <c r="AW887" s="947"/>
      <c r="AX887" s="947"/>
      <c r="AY887" s="947"/>
    </row>
    <row r="888" spans="31:51" x14ac:dyDescent="0.25">
      <c r="AE888" s="75"/>
      <c r="AF888" s="82"/>
      <c r="AG888" s="82"/>
      <c r="AH888" s="82"/>
      <c r="AI888" s="82"/>
      <c r="AJ888" s="166"/>
      <c r="AK888" s="82"/>
      <c r="AL888" s="162"/>
      <c r="AM888" s="162"/>
      <c r="AN888" s="162"/>
      <c r="AO888" s="162"/>
      <c r="AP888" s="162"/>
      <c r="AQ888" s="162"/>
      <c r="AR888" s="710"/>
      <c r="AV888" s="82"/>
      <c r="AW888" s="947"/>
      <c r="AX888" s="947"/>
      <c r="AY888" s="947"/>
    </row>
    <row r="889" spans="31:51" x14ac:dyDescent="0.25">
      <c r="AE889" s="75"/>
      <c r="AF889" s="82"/>
      <c r="AG889" s="82"/>
      <c r="AH889" s="82"/>
      <c r="AI889" s="82"/>
      <c r="AJ889" s="166"/>
      <c r="AK889" s="82"/>
      <c r="AL889" s="162"/>
      <c r="AM889" s="162"/>
      <c r="AN889" s="162"/>
      <c r="AO889" s="162"/>
      <c r="AP889" s="162"/>
      <c r="AQ889" s="162"/>
      <c r="AR889" s="710"/>
      <c r="AV889" s="82"/>
      <c r="AW889" s="947"/>
      <c r="AX889" s="947"/>
      <c r="AY889" s="947"/>
    </row>
    <row r="890" spans="31:51" x14ac:dyDescent="0.25">
      <c r="AE890" s="75"/>
      <c r="AF890" s="82"/>
      <c r="AG890" s="82"/>
      <c r="AH890" s="82"/>
      <c r="AI890" s="82"/>
      <c r="AJ890" s="166"/>
      <c r="AK890" s="82"/>
      <c r="AL890" s="162"/>
      <c r="AM890" s="162"/>
      <c r="AN890" s="162"/>
      <c r="AO890" s="162"/>
      <c r="AP890" s="162"/>
      <c r="AQ890" s="162"/>
      <c r="AR890" s="710"/>
      <c r="AV890" s="82"/>
      <c r="AW890" s="947"/>
      <c r="AX890" s="947"/>
      <c r="AY890" s="947"/>
    </row>
    <row r="891" spans="31:51" x14ac:dyDescent="0.25">
      <c r="AE891" s="75"/>
      <c r="AF891" s="82"/>
      <c r="AG891" s="82"/>
      <c r="AH891" s="82"/>
      <c r="AI891" s="82"/>
      <c r="AJ891" s="166"/>
      <c r="AK891" s="82"/>
      <c r="AL891" s="162"/>
      <c r="AM891" s="162"/>
      <c r="AN891" s="162"/>
      <c r="AO891" s="162"/>
      <c r="AP891" s="162"/>
      <c r="AQ891" s="162"/>
      <c r="AR891" s="710"/>
      <c r="AV891" s="82"/>
      <c r="AW891" s="947"/>
      <c r="AX891" s="947"/>
      <c r="AY891" s="947"/>
    </row>
    <row r="892" spans="31:51" x14ac:dyDescent="0.25">
      <c r="AE892" s="75"/>
      <c r="AF892" s="82"/>
      <c r="AG892" s="82"/>
      <c r="AH892" s="82"/>
      <c r="AI892" s="82"/>
      <c r="AJ892" s="166"/>
      <c r="AK892" s="82"/>
      <c r="AL892" s="162"/>
      <c r="AM892" s="162"/>
      <c r="AN892" s="162"/>
      <c r="AO892" s="162"/>
      <c r="AP892" s="162"/>
      <c r="AQ892" s="162"/>
      <c r="AR892" s="710"/>
      <c r="AV892" s="82"/>
      <c r="AW892" s="947"/>
      <c r="AX892" s="947"/>
      <c r="AY892" s="947"/>
    </row>
    <row r="893" spans="31:51" x14ac:dyDescent="0.25">
      <c r="AE893" s="75"/>
      <c r="AF893" s="82"/>
      <c r="AG893" s="82"/>
      <c r="AH893" s="82"/>
      <c r="AI893" s="82"/>
      <c r="AJ893" s="166"/>
      <c r="AK893" s="82"/>
      <c r="AL893" s="162"/>
      <c r="AM893" s="162"/>
      <c r="AN893" s="162"/>
      <c r="AO893" s="162"/>
      <c r="AP893" s="162"/>
      <c r="AQ893" s="162"/>
      <c r="AR893" s="710"/>
      <c r="AV893" s="82"/>
      <c r="AW893" s="947"/>
      <c r="AX893" s="947"/>
      <c r="AY893" s="947"/>
    </row>
    <row r="894" spans="31:51" x14ac:dyDescent="0.25">
      <c r="AE894" s="75"/>
      <c r="AF894" s="82"/>
      <c r="AG894" s="82"/>
      <c r="AH894" s="82"/>
      <c r="AI894" s="82"/>
      <c r="AJ894" s="166"/>
      <c r="AK894" s="82"/>
      <c r="AL894" s="162"/>
      <c r="AM894" s="162"/>
      <c r="AN894" s="162"/>
      <c r="AO894" s="162"/>
      <c r="AP894" s="162"/>
      <c r="AQ894" s="162"/>
      <c r="AR894" s="710"/>
      <c r="AV894" s="82"/>
      <c r="AW894" s="947"/>
      <c r="AX894" s="947"/>
      <c r="AY894" s="947"/>
    </row>
    <row r="895" spans="31:51" x14ac:dyDescent="0.25">
      <c r="AE895" s="75"/>
      <c r="AF895" s="82"/>
      <c r="AG895" s="82"/>
      <c r="AH895" s="82"/>
      <c r="AI895" s="82"/>
      <c r="AJ895" s="166"/>
      <c r="AK895" s="82"/>
      <c r="AL895" s="162"/>
      <c r="AM895" s="162"/>
      <c r="AN895" s="162"/>
      <c r="AO895" s="162"/>
      <c r="AP895" s="162"/>
      <c r="AQ895" s="162"/>
      <c r="AR895" s="710"/>
      <c r="AV895" s="82"/>
      <c r="AW895" s="947"/>
      <c r="AX895" s="947"/>
      <c r="AY895" s="947"/>
    </row>
    <row r="896" spans="31:51" x14ac:dyDescent="0.25">
      <c r="AE896" s="75"/>
      <c r="AF896" s="82"/>
      <c r="AG896" s="82"/>
      <c r="AH896" s="82"/>
      <c r="AI896" s="82"/>
      <c r="AJ896" s="166"/>
      <c r="AK896" s="82"/>
      <c r="AL896" s="162"/>
      <c r="AM896" s="162"/>
      <c r="AN896" s="162"/>
      <c r="AO896" s="162"/>
      <c r="AP896" s="162"/>
      <c r="AQ896" s="162"/>
      <c r="AR896" s="710"/>
      <c r="AV896" s="82"/>
      <c r="AW896" s="947"/>
      <c r="AX896" s="947"/>
      <c r="AY896" s="947"/>
    </row>
    <row r="897" spans="31:51" x14ac:dyDescent="0.25">
      <c r="AE897" s="75"/>
      <c r="AF897" s="82"/>
      <c r="AG897" s="82"/>
      <c r="AH897" s="82"/>
      <c r="AI897" s="82"/>
      <c r="AJ897" s="166"/>
      <c r="AK897" s="82"/>
      <c r="AL897" s="162"/>
      <c r="AM897" s="162"/>
      <c r="AN897" s="162"/>
      <c r="AO897" s="162"/>
      <c r="AP897" s="162"/>
      <c r="AQ897" s="162"/>
      <c r="AR897" s="710"/>
      <c r="AV897" s="82"/>
      <c r="AW897" s="947"/>
      <c r="AX897" s="947"/>
      <c r="AY897" s="947"/>
    </row>
    <row r="898" spans="31:51" x14ac:dyDescent="0.25">
      <c r="AE898" s="75"/>
      <c r="AF898" s="82"/>
      <c r="AG898" s="82"/>
      <c r="AH898" s="82"/>
      <c r="AI898" s="82"/>
      <c r="AJ898" s="166"/>
      <c r="AK898" s="82"/>
      <c r="AL898" s="162"/>
      <c r="AM898" s="162"/>
      <c r="AN898" s="162"/>
      <c r="AO898" s="162"/>
      <c r="AP898" s="162"/>
      <c r="AQ898" s="162"/>
      <c r="AR898" s="710"/>
      <c r="AV898" s="82"/>
      <c r="AW898" s="947"/>
      <c r="AX898" s="947"/>
      <c r="AY898" s="947"/>
    </row>
    <row r="899" spans="31:51" x14ac:dyDescent="0.25">
      <c r="AE899" s="75"/>
      <c r="AF899" s="82"/>
      <c r="AG899" s="82"/>
      <c r="AH899" s="82"/>
      <c r="AI899" s="82"/>
      <c r="AJ899" s="166"/>
      <c r="AK899" s="82"/>
      <c r="AL899" s="162"/>
      <c r="AM899" s="162"/>
      <c r="AN899" s="162"/>
      <c r="AO899" s="162"/>
      <c r="AP899" s="162"/>
      <c r="AQ899" s="162"/>
      <c r="AR899" s="710"/>
      <c r="AV899" s="82"/>
      <c r="AW899" s="947"/>
      <c r="AX899" s="947"/>
      <c r="AY899" s="947"/>
    </row>
    <row r="900" spans="31:51" x14ac:dyDescent="0.25">
      <c r="AE900" s="75"/>
      <c r="AF900" s="82"/>
      <c r="AG900" s="82"/>
      <c r="AH900" s="82"/>
      <c r="AI900" s="82"/>
      <c r="AJ900" s="166"/>
      <c r="AK900" s="82"/>
      <c r="AL900" s="162"/>
      <c r="AM900" s="162"/>
      <c r="AN900" s="162"/>
      <c r="AO900" s="162"/>
      <c r="AP900" s="162"/>
      <c r="AQ900" s="162"/>
      <c r="AR900" s="710"/>
      <c r="AV900" s="82"/>
      <c r="AW900" s="947"/>
      <c r="AX900" s="947"/>
      <c r="AY900" s="947"/>
    </row>
    <row r="901" spans="31:51" x14ac:dyDescent="0.25">
      <c r="AE901" s="75"/>
      <c r="AF901" s="82"/>
      <c r="AG901" s="82"/>
      <c r="AH901" s="82"/>
      <c r="AI901" s="82"/>
      <c r="AJ901" s="166"/>
      <c r="AK901" s="82"/>
      <c r="AL901" s="162"/>
      <c r="AM901" s="162"/>
      <c r="AN901" s="162"/>
      <c r="AO901" s="162"/>
      <c r="AP901" s="162"/>
      <c r="AQ901" s="162"/>
      <c r="AR901" s="710"/>
      <c r="AV901" s="82"/>
      <c r="AW901" s="947"/>
      <c r="AX901" s="947"/>
      <c r="AY901" s="947"/>
    </row>
    <row r="902" spans="31:51" x14ac:dyDescent="0.25">
      <c r="AE902" s="75"/>
      <c r="AF902" s="82"/>
      <c r="AG902" s="82"/>
      <c r="AH902" s="82"/>
      <c r="AI902" s="82"/>
      <c r="AJ902" s="166"/>
      <c r="AK902" s="82"/>
      <c r="AL902" s="162"/>
      <c r="AM902" s="162"/>
      <c r="AN902" s="162"/>
      <c r="AO902" s="162"/>
      <c r="AP902" s="162"/>
      <c r="AQ902" s="162"/>
      <c r="AR902" s="710"/>
      <c r="AV902" s="82"/>
      <c r="AW902" s="947"/>
      <c r="AX902" s="947"/>
      <c r="AY902" s="947"/>
    </row>
    <row r="903" spans="31:51" x14ac:dyDescent="0.25">
      <c r="AE903" s="75"/>
      <c r="AF903" s="82"/>
      <c r="AG903" s="82"/>
      <c r="AH903" s="82"/>
      <c r="AI903" s="82"/>
      <c r="AJ903" s="166"/>
      <c r="AK903" s="82"/>
      <c r="AL903" s="162"/>
      <c r="AM903" s="162"/>
      <c r="AN903" s="162"/>
      <c r="AO903" s="162"/>
      <c r="AP903" s="162"/>
      <c r="AQ903" s="162"/>
      <c r="AR903" s="710"/>
      <c r="AV903" s="82"/>
      <c r="AW903" s="947"/>
      <c r="AX903" s="947"/>
      <c r="AY903" s="947"/>
    </row>
    <row r="904" spans="31:51" x14ac:dyDescent="0.25">
      <c r="AE904" s="75"/>
      <c r="AF904" s="82"/>
      <c r="AG904" s="82"/>
      <c r="AH904" s="82"/>
      <c r="AI904" s="82"/>
      <c r="AJ904" s="166"/>
      <c r="AK904" s="82"/>
      <c r="AL904" s="162"/>
      <c r="AM904" s="162"/>
      <c r="AN904" s="162"/>
      <c r="AO904" s="162"/>
      <c r="AP904" s="162"/>
      <c r="AQ904" s="162"/>
      <c r="AR904" s="710"/>
      <c r="AV904" s="82"/>
      <c r="AW904" s="947"/>
      <c r="AX904" s="947"/>
      <c r="AY904" s="947"/>
    </row>
    <row r="905" spans="31:51" x14ac:dyDescent="0.25">
      <c r="AE905" s="75"/>
      <c r="AF905" s="82"/>
      <c r="AG905" s="82"/>
      <c r="AH905" s="82"/>
      <c r="AI905" s="82"/>
      <c r="AJ905" s="166"/>
      <c r="AK905" s="82"/>
      <c r="AL905" s="162"/>
      <c r="AM905" s="162"/>
      <c r="AN905" s="162"/>
      <c r="AO905" s="162"/>
      <c r="AP905" s="162"/>
      <c r="AQ905" s="162"/>
      <c r="AR905" s="710"/>
      <c r="AV905" s="82"/>
      <c r="AW905" s="947"/>
      <c r="AX905" s="947"/>
      <c r="AY905" s="947"/>
    </row>
    <row r="906" spans="31:51" x14ac:dyDescent="0.25">
      <c r="AE906" s="75"/>
      <c r="AF906" s="82"/>
      <c r="AG906" s="82"/>
      <c r="AH906" s="82"/>
      <c r="AI906" s="82"/>
      <c r="AJ906" s="166"/>
      <c r="AK906" s="82"/>
      <c r="AL906" s="162"/>
      <c r="AM906" s="162"/>
      <c r="AN906" s="162"/>
      <c r="AO906" s="162"/>
      <c r="AP906" s="162"/>
      <c r="AQ906" s="162"/>
      <c r="AR906" s="710"/>
      <c r="AV906" s="82"/>
      <c r="AW906" s="947"/>
      <c r="AX906" s="947"/>
      <c r="AY906" s="947"/>
    </row>
    <row r="907" spans="31:51" x14ac:dyDescent="0.25">
      <c r="AE907" s="75"/>
      <c r="AF907" s="82"/>
      <c r="AG907" s="82"/>
      <c r="AH907" s="82"/>
      <c r="AI907" s="82"/>
      <c r="AJ907" s="166"/>
      <c r="AK907" s="82"/>
      <c r="AL907" s="162"/>
      <c r="AM907" s="162"/>
      <c r="AN907" s="162"/>
      <c r="AO907" s="162"/>
      <c r="AP907" s="162"/>
      <c r="AQ907" s="162"/>
      <c r="AR907" s="710"/>
      <c r="AV907" s="82"/>
      <c r="AW907" s="947"/>
      <c r="AX907" s="947"/>
      <c r="AY907" s="947"/>
    </row>
    <row r="908" spans="31:51" x14ac:dyDescent="0.25">
      <c r="AE908" s="75"/>
      <c r="AF908" s="82"/>
      <c r="AG908" s="82"/>
      <c r="AH908" s="82"/>
      <c r="AI908" s="82"/>
      <c r="AJ908" s="166"/>
      <c r="AK908" s="82"/>
      <c r="AL908" s="162"/>
      <c r="AM908" s="162"/>
      <c r="AN908" s="162"/>
      <c r="AO908" s="162"/>
      <c r="AP908" s="162"/>
      <c r="AQ908" s="162"/>
      <c r="AR908" s="710"/>
      <c r="AV908" s="82"/>
      <c r="AW908" s="947"/>
      <c r="AX908" s="947"/>
      <c r="AY908" s="947"/>
    </row>
    <row r="909" spans="31:51" x14ac:dyDescent="0.25">
      <c r="AE909" s="75"/>
      <c r="AF909" s="82"/>
      <c r="AG909" s="82"/>
      <c r="AH909" s="82"/>
      <c r="AI909" s="82"/>
      <c r="AJ909" s="166"/>
      <c r="AK909" s="82"/>
      <c r="AL909" s="162"/>
      <c r="AM909" s="162"/>
      <c r="AN909" s="162"/>
      <c r="AO909" s="162"/>
      <c r="AP909" s="162"/>
      <c r="AQ909" s="162"/>
      <c r="AR909" s="710"/>
      <c r="AV909" s="82"/>
      <c r="AW909" s="947"/>
      <c r="AX909" s="947"/>
      <c r="AY909" s="947"/>
    </row>
    <row r="910" spans="31:51" x14ac:dyDescent="0.25">
      <c r="AE910" s="75"/>
      <c r="AF910" s="82"/>
      <c r="AG910" s="82"/>
      <c r="AH910" s="82"/>
      <c r="AI910" s="82"/>
      <c r="AJ910" s="166"/>
      <c r="AK910" s="82"/>
      <c r="AL910" s="162"/>
      <c r="AM910" s="162"/>
      <c r="AN910" s="162"/>
      <c r="AO910" s="162"/>
      <c r="AP910" s="162"/>
      <c r="AQ910" s="162"/>
      <c r="AR910" s="710"/>
      <c r="AV910" s="82"/>
      <c r="AW910" s="947"/>
      <c r="AX910" s="947"/>
      <c r="AY910" s="947"/>
    </row>
    <row r="911" spans="31:51" x14ac:dyDescent="0.25">
      <c r="AE911" s="75"/>
      <c r="AF911" s="82"/>
      <c r="AG911" s="82"/>
      <c r="AH911" s="82"/>
      <c r="AI911" s="82"/>
      <c r="AJ911" s="166"/>
      <c r="AK911" s="82"/>
      <c r="AL911" s="162"/>
      <c r="AM911" s="162"/>
      <c r="AN911" s="162"/>
      <c r="AO911" s="162"/>
      <c r="AP911" s="162"/>
      <c r="AQ911" s="162"/>
      <c r="AR911" s="710"/>
      <c r="AV911" s="82"/>
      <c r="AW911" s="947"/>
      <c r="AX911" s="947"/>
      <c r="AY911" s="947"/>
    </row>
    <row r="912" spans="31:51" x14ac:dyDescent="0.25">
      <c r="AE912" s="75"/>
      <c r="AF912" s="82"/>
      <c r="AG912" s="82"/>
      <c r="AH912" s="82"/>
      <c r="AI912" s="82"/>
      <c r="AJ912" s="166"/>
      <c r="AK912" s="82"/>
      <c r="AL912" s="162"/>
      <c r="AM912" s="162"/>
      <c r="AN912" s="162"/>
      <c r="AO912" s="162"/>
      <c r="AP912" s="162"/>
      <c r="AQ912" s="162"/>
      <c r="AR912" s="710"/>
      <c r="AV912" s="82"/>
      <c r="AW912" s="947"/>
      <c r="AX912" s="947"/>
      <c r="AY912" s="947"/>
    </row>
    <row r="913" spans="31:51" x14ac:dyDescent="0.25">
      <c r="AE913" s="75"/>
      <c r="AF913" s="82"/>
      <c r="AG913" s="82"/>
      <c r="AH913" s="82"/>
      <c r="AI913" s="82"/>
      <c r="AJ913" s="166"/>
      <c r="AK913" s="82"/>
      <c r="AL913" s="162"/>
      <c r="AM913" s="162"/>
      <c r="AN913" s="162"/>
      <c r="AO913" s="162"/>
      <c r="AP913" s="162"/>
      <c r="AQ913" s="162"/>
      <c r="AR913" s="710"/>
      <c r="AV913" s="82"/>
      <c r="AW913" s="947"/>
      <c r="AX913" s="947"/>
      <c r="AY913" s="947"/>
    </row>
    <row r="914" spans="31:51" x14ac:dyDescent="0.25">
      <c r="AE914" s="75"/>
      <c r="AF914" s="82"/>
      <c r="AG914" s="82"/>
      <c r="AH914" s="82"/>
      <c r="AI914" s="82"/>
      <c r="AJ914" s="166"/>
      <c r="AK914" s="82"/>
      <c r="AL914" s="162"/>
      <c r="AM914" s="162"/>
      <c r="AN914" s="162"/>
      <c r="AO914" s="162"/>
      <c r="AP914" s="162"/>
      <c r="AQ914" s="162"/>
      <c r="AR914" s="710"/>
      <c r="AV914" s="82"/>
      <c r="AW914" s="947"/>
      <c r="AX914" s="947"/>
      <c r="AY914" s="947"/>
    </row>
    <row r="915" spans="31:51" x14ac:dyDescent="0.25">
      <c r="AE915" s="75"/>
      <c r="AF915" s="82"/>
      <c r="AG915" s="82"/>
      <c r="AH915" s="82"/>
      <c r="AI915" s="82"/>
      <c r="AJ915" s="166"/>
      <c r="AK915" s="82"/>
      <c r="AL915" s="162"/>
      <c r="AM915" s="162"/>
      <c r="AN915" s="162"/>
      <c r="AO915" s="162"/>
      <c r="AP915" s="162"/>
      <c r="AQ915" s="162"/>
      <c r="AR915" s="710"/>
      <c r="AV915" s="82"/>
      <c r="AW915" s="947"/>
      <c r="AX915" s="947"/>
      <c r="AY915" s="947"/>
    </row>
    <row r="916" spans="31:51" x14ac:dyDescent="0.25">
      <c r="AE916" s="75"/>
      <c r="AF916" s="82"/>
      <c r="AG916" s="82"/>
      <c r="AH916" s="82"/>
      <c r="AI916" s="82"/>
      <c r="AJ916" s="166"/>
      <c r="AK916" s="82"/>
      <c r="AL916" s="162"/>
      <c r="AM916" s="162"/>
      <c r="AN916" s="162"/>
      <c r="AO916" s="162"/>
      <c r="AP916" s="162"/>
      <c r="AQ916" s="162"/>
      <c r="AR916" s="710"/>
      <c r="AV916" s="82"/>
      <c r="AW916" s="947"/>
      <c r="AX916" s="947"/>
      <c r="AY916" s="947"/>
    </row>
    <row r="917" spans="31:51" x14ac:dyDescent="0.25">
      <c r="AE917" s="75"/>
      <c r="AF917" s="82"/>
      <c r="AG917" s="82"/>
      <c r="AH917" s="82"/>
      <c r="AI917" s="82"/>
      <c r="AJ917" s="166"/>
      <c r="AK917" s="82"/>
      <c r="AL917" s="162"/>
      <c r="AM917" s="162"/>
      <c r="AN917" s="162"/>
      <c r="AO917" s="162"/>
      <c r="AP917" s="162"/>
      <c r="AQ917" s="162"/>
      <c r="AR917" s="710"/>
      <c r="AV917" s="82"/>
      <c r="AW917" s="947"/>
      <c r="AX917" s="947"/>
      <c r="AY917" s="947"/>
    </row>
    <row r="918" spans="31:51" x14ac:dyDescent="0.25">
      <c r="AE918" s="75"/>
      <c r="AF918" s="82"/>
      <c r="AG918" s="82"/>
      <c r="AH918" s="82"/>
      <c r="AI918" s="82"/>
      <c r="AJ918" s="166"/>
      <c r="AK918" s="82"/>
      <c r="AL918" s="162"/>
      <c r="AM918" s="162"/>
      <c r="AN918" s="162"/>
      <c r="AO918" s="162"/>
      <c r="AP918" s="162"/>
      <c r="AQ918" s="162"/>
      <c r="AR918" s="710"/>
      <c r="AV918" s="82"/>
      <c r="AW918" s="947"/>
      <c r="AX918" s="947"/>
      <c r="AY918" s="947"/>
    </row>
    <row r="919" spans="31:51" x14ac:dyDescent="0.25">
      <c r="AE919" s="75"/>
      <c r="AF919" s="82"/>
      <c r="AG919" s="82"/>
      <c r="AH919" s="82"/>
      <c r="AI919" s="82"/>
      <c r="AJ919" s="166"/>
      <c r="AK919" s="82"/>
      <c r="AL919" s="162"/>
      <c r="AM919" s="162"/>
      <c r="AN919" s="162"/>
      <c r="AO919" s="162"/>
      <c r="AP919" s="162"/>
      <c r="AQ919" s="162"/>
      <c r="AR919" s="710"/>
      <c r="AV919" s="82"/>
      <c r="AW919" s="947"/>
      <c r="AX919" s="947"/>
      <c r="AY919" s="947"/>
    </row>
    <row r="920" spans="31:51" x14ac:dyDescent="0.25">
      <c r="AE920" s="75"/>
      <c r="AF920" s="82"/>
      <c r="AG920" s="82"/>
      <c r="AH920" s="82"/>
      <c r="AI920" s="82"/>
      <c r="AJ920" s="166"/>
      <c r="AK920" s="82"/>
      <c r="AL920" s="162"/>
      <c r="AM920" s="162"/>
      <c r="AN920" s="162"/>
      <c r="AO920" s="162"/>
      <c r="AP920" s="162"/>
      <c r="AQ920" s="162"/>
      <c r="AR920" s="710"/>
      <c r="AV920" s="82"/>
      <c r="AW920" s="947"/>
      <c r="AX920" s="947"/>
      <c r="AY920" s="947"/>
    </row>
    <row r="921" spans="31:51" x14ac:dyDescent="0.25">
      <c r="AE921" s="75"/>
      <c r="AF921" s="82"/>
      <c r="AG921" s="82"/>
      <c r="AH921" s="82"/>
      <c r="AI921" s="82"/>
      <c r="AJ921" s="166"/>
      <c r="AK921" s="82"/>
      <c r="AL921" s="162"/>
      <c r="AM921" s="162"/>
      <c r="AN921" s="162"/>
      <c r="AO921" s="162"/>
      <c r="AP921" s="162"/>
      <c r="AQ921" s="162"/>
      <c r="AR921" s="710"/>
      <c r="AV921" s="82"/>
      <c r="AW921" s="947"/>
      <c r="AX921" s="947"/>
      <c r="AY921" s="947"/>
    </row>
    <row r="922" spans="31:51" x14ac:dyDescent="0.25">
      <c r="AE922" s="75"/>
      <c r="AF922" s="82"/>
      <c r="AG922" s="82"/>
      <c r="AH922" s="82"/>
      <c r="AI922" s="82"/>
      <c r="AJ922" s="166"/>
      <c r="AK922" s="82"/>
      <c r="AL922" s="162"/>
      <c r="AM922" s="162"/>
      <c r="AN922" s="162"/>
      <c r="AO922" s="162"/>
      <c r="AP922" s="162"/>
      <c r="AQ922" s="162"/>
      <c r="AR922" s="710"/>
      <c r="AV922" s="82"/>
      <c r="AW922" s="947"/>
      <c r="AX922" s="947"/>
      <c r="AY922" s="947"/>
    </row>
    <row r="923" spans="31:51" x14ac:dyDescent="0.25">
      <c r="AE923" s="75"/>
      <c r="AF923" s="82"/>
      <c r="AG923" s="82"/>
      <c r="AH923" s="82"/>
      <c r="AI923" s="82"/>
      <c r="AJ923" s="166"/>
      <c r="AK923" s="82"/>
      <c r="AL923" s="162"/>
      <c r="AM923" s="162"/>
      <c r="AN923" s="162"/>
      <c r="AO923" s="162"/>
      <c r="AP923" s="162"/>
      <c r="AQ923" s="162"/>
      <c r="AR923" s="710"/>
      <c r="AV923" s="82"/>
      <c r="AW923" s="947"/>
      <c r="AX923" s="947"/>
      <c r="AY923" s="947"/>
    </row>
    <row r="924" spans="31:51" x14ac:dyDescent="0.25">
      <c r="AE924" s="75"/>
      <c r="AF924" s="82"/>
      <c r="AG924" s="82"/>
      <c r="AH924" s="82"/>
      <c r="AI924" s="82"/>
      <c r="AJ924" s="166"/>
      <c r="AK924" s="82"/>
      <c r="AL924" s="162"/>
      <c r="AM924" s="162"/>
      <c r="AN924" s="162"/>
      <c r="AO924" s="162"/>
      <c r="AP924" s="162"/>
      <c r="AQ924" s="162"/>
      <c r="AR924" s="710"/>
      <c r="AV924" s="82"/>
      <c r="AW924" s="947"/>
      <c r="AX924" s="947"/>
      <c r="AY924" s="947"/>
    </row>
    <row r="925" spans="31:51" x14ac:dyDescent="0.25">
      <c r="AE925" s="75"/>
      <c r="AF925" s="82"/>
      <c r="AG925" s="82"/>
      <c r="AH925" s="82"/>
      <c r="AI925" s="82"/>
      <c r="AJ925" s="166"/>
      <c r="AK925" s="82"/>
      <c r="AL925" s="162"/>
      <c r="AM925" s="162"/>
      <c r="AN925" s="162"/>
      <c r="AO925" s="162"/>
      <c r="AP925" s="162"/>
      <c r="AQ925" s="162"/>
      <c r="AR925" s="710"/>
      <c r="AV925" s="82"/>
      <c r="AW925" s="947"/>
      <c r="AX925" s="947"/>
      <c r="AY925" s="947"/>
    </row>
    <row r="926" spans="31:51" x14ac:dyDescent="0.25">
      <c r="AE926" s="75"/>
      <c r="AF926" s="82"/>
      <c r="AG926" s="82"/>
      <c r="AH926" s="82"/>
      <c r="AI926" s="82"/>
      <c r="AJ926" s="166"/>
      <c r="AK926" s="82"/>
      <c r="AL926" s="162"/>
      <c r="AM926" s="162"/>
      <c r="AN926" s="162"/>
      <c r="AO926" s="162"/>
      <c r="AP926" s="162"/>
      <c r="AQ926" s="162"/>
      <c r="AR926" s="710"/>
      <c r="AV926" s="82"/>
      <c r="AW926" s="947"/>
      <c r="AX926" s="947"/>
      <c r="AY926" s="947"/>
    </row>
    <row r="927" spans="31:51" x14ac:dyDescent="0.25">
      <c r="AE927" s="75"/>
      <c r="AF927" s="82"/>
      <c r="AG927" s="82"/>
      <c r="AH927" s="82"/>
      <c r="AI927" s="82"/>
      <c r="AJ927" s="166"/>
      <c r="AK927" s="82"/>
      <c r="AL927" s="162"/>
      <c r="AM927" s="162"/>
      <c r="AN927" s="162"/>
      <c r="AO927" s="162"/>
      <c r="AP927" s="162"/>
      <c r="AQ927" s="162"/>
      <c r="AR927" s="710"/>
      <c r="AV927" s="82"/>
      <c r="AW927" s="947"/>
      <c r="AX927" s="947"/>
      <c r="AY927" s="947"/>
    </row>
    <row r="928" spans="31:51" x14ac:dyDescent="0.25">
      <c r="AE928" s="75"/>
      <c r="AF928" s="82"/>
      <c r="AG928" s="82"/>
      <c r="AH928" s="82"/>
      <c r="AI928" s="82"/>
      <c r="AJ928" s="166"/>
      <c r="AK928" s="82"/>
      <c r="AL928" s="162"/>
      <c r="AM928" s="162"/>
      <c r="AN928" s="162"/>
      <c r="AO928" s="162"/>
      <c r="AP928" s="162"/>
      <c r="AQ928" s="162"/>
      <c r="AR928" s="710"/>
      <c r="AV928" s="82"/>
      <c r="AW928" s="947"/>
      <c r="AX928" s="947"/>
      <c r="AY928" s="947"/>
    </row>
    <row r="929" spans="31:51" x14ac:dyDescent="0.25">
      <c r="AE929" s="75"/>
      <c r="AF929" s="82"/>
      <c r="AG929" s="82"/>
      <c r="AH929" s="82"/>
      <c r="AI929" s="82"/>
      <c r="AJ929" s="166"/>
      <c r="AK929" s="82"/>
      <c r="AL929" s="162"/>
      <c r="AM929" s="162"/>
      <c r="AN929" s="162"/>
      <c r="AO929" s="162"/>
      <c r="AP929" s="162"/>
      <c r="AQ929" s="162"/>
      <c r="AR929" s="710"/>
      <c r="AV929" s="82"/>
      <c r="AW929" s="947"/>
      <c r="AX929" s="947"/>
      <c r="AY929" s="947"/>
    </row>
    <row r="930" spans="31:51" x14ac:dyDescent="0.25">
      <c r="AE930" s="75"/>
      <c r="AF930" s="82"/>
      <c r="AG930" s="82"/>
      <c r="AH930" s="82"/>
      <c r="AI930" s="82"/>
      <c r="AJ930" s="166"/>
      <c r="AK930" s="82"/>
      <c r="AL930" s="162"/>
      <c r="AM930" s="162"/>
      <c r="AN930" s="162"/>
      <c r="AO930" s="162"/>
      <c r="AP930" s="162"/>
      <c r="AQ930" s="162"/>
      <c r="AR930" s="710"/>
      <c r="AV930" s="82"/>
      <c r="AW930" s="947"/>
      <c r="AX930" s="947"/>
      <c r="AY930" s="947"/>
    </row>
    <row r="931" spans="31:51" x14ac:dyDescent="0.25">
      <c r="AE931" s="75"/>
      <c r="AF931" s="82"/>
      <c r="AG931" s="82"/>
      <c r="AH931" s="82"/>
      <c r="AI931" s="82"/>
      <c r="AJ931" s="166"/>
      <c r="AK931" s="82"/>
      <c r="AL931" s="162"/>
      <c r="AM931" s="162"/>
      <c r="AN931" s="162"/>
      <c r="AO931" s="162"/>
      <c r="AP931" s="162"/>
      <c r="AQ931" s="162"/>
      <c r="AR931" s="710"/>
      <c r="AV931" s="82"/>
      <c r="AW931" s="947"/>
      <c r="AX931" s="947"/>
      <c r="AY931" s="947"/>
    </row>
    <row r="932" spans="31:51" x14ac:dyDescent="0.25">
      <c r="AE932" s="75"/>
      <c r="AF932" s="82"/>
      <c r="AG932" s="82"/>
      <c r="AH932" s="82"/>
      <c r="AI932" s="82"/>
      <c r="AJ932" s="166"/>
      <c r="AK932" s="82"/>
      <c r="AL932" s="162"/>
      <c r="AM932" s="162"/>
      <c r="AN932" s="162"/>
      <c r="AO932" s="162"/>
      <c r="AP932" s="162"/>
      <c r="AQ932" s="162"/>
      <c r="AR932" s="710"/>
      <c r="AV932" s="82"/>
      <c r="AW932" s="947"/>
      <c r="AX932" s="947"/>
      <c r="AY932" s="947"/>
    </row>
    <row r="933" spans="31:51" x14ac:dyDescent="0.25">
      <c r="AE933" s="75"/>
      <c r="AF933" s="82"/>
      <c r="AG933" s="82"/>
      <c r="AH933" s="82"/>
      <c r="AI933" s="82"/>
      <c r="AJ933" s="166"/>
      <c r="AK933" s="82"/>
      <c r="AL933" s="162"/>
      <c r="AM933" s="162"/>
      <c r="AN933" s="162"/>
      <c r="AO933" s="162"/>
      <c r="AP933" s="162"/>
      <c r="AQ933" s="162"/>
      <c r="AR933" s="710"/>
      <c r="AV933" s="82"/>
      <c r="AW933" s="947"/>
      <c r="AX933" s="947"/>
      <c r="AY933" s="947"/>
    </row>
    <row r="934" spans="31:51" x14ac:dyDescent="0.25">
      <c r="AE934" s="75"/>
      <c r="AF934" s="82"/>
      <c r="AG934" s="82"/>
      <c r="AH934" s="82"/>
      <c r="AI934" s="82"/>
      <c r="AJ934" s="166"/>
      <c r="AK934" s="82"/>
      <c r="AL934" s="162"/>
      <c r="AM934" s="162"/>
      <c r="AN934" s="162"/>
      <c r="AO934" s="162"/>
      <c r="AP934" s="162"/>
      <c r="AQ934" s="162"/>
      <c r="AR934" s="710"/>
      <c r="AV934" s="82"/>
      <c r="AW934" s="947"/>
      <c r="AX934" s="947"/>
      <c r="AY934" s="947"/>
    </row>
    <row r="935" spans="31:51" x14ac:dyDescent="0.25">
      <c r="AE935" s="75"/>
      <c r="AF935" s="82"/>
      <c r="AG935" s="82"/>
      <c r="AH935" s="82"/>
      <c r="AI935" s="82"/>
      <c r="AJ935" s="166"/>
      <c r="AK935" s="82"/>
      <c r="AL935" s="162"/>
      <c r="AM935" s="162"/>
      <c r="AN935" s="162"/>
      <c r="AO935" s="162"/>
      <c r="AP935" s="162"/>
      <c r="AQ935" s="162"/>
      <c r="AR935" s="710"/>
      <c r="AV935" s="82"/>
      <c r="AW935" s="947"/>
      <c r="AX935" s="947"/>
      <c r="AY935" s="947"/>
    </row>
    <row r="936" spans="31:51" x14ac:dyDescent="0.25">
      <c r="AE936" s="75"/>
      <c r="AF936" s="82"/>
      <c r="AG936" s="82"/>
      <c r="AH936" s="82"/>
      <c r="AI936" s="82"/>
      <c r="AJ936" s="166"/>
      <c r="AK936" s="82"/>
      <c r="AL936" s="162"/>
      <c r="AM936" s="162"/>
      <c r="AN936" s="162"/>
      <c r="AO936" s="162"/>
      <c r="AP936" s="162"/>
      <c r="AQ936" s="162"/>
      <c r="AR936" s="710"/>
      <c r="AV936" s="82"/>
      <c r="AW936" s="947"/>
      <c r="AX936" s="947"/>
      <c r="AY936" s="947"/>
    </row>
    <row r="937" spans="31:51" x14ac:dyDescent="0.25">
      <c r="AE937" s="75"/>
      <c r="AF937" s="82"/>
      <c r="AG937" s="82"/>
      <c r="AH937" s="82"/>
      <c r="AI937" s="82"/>
      <c r="AJ937" s="166"/>
      <c r="AK937" s="82"/>
      <c r="AL937" s="162"/>
      <c r="AM937" s="162"/>
      <c r="AN937" s="162"/>
      <c r="AO937" s="162"/>
      <c r="AP937" s="162"/>
      <c r="AQ937" s="162"/>
      <c r="AR937" s="710"/>
      <c r="AV937" s="82"/>
      <c r="AW937" s="947"/>
      <c r="AX937" s="947"/>
      <c r="AY937" s="947"/>
    </row>
    <row r="938" spans="31:51" x14ac:dyDescent="0.25">
      <c r="AE938" s="75"/>
      <c r="AF938" s="82"/>
      <c r="AG938" s="82"/>
      <c r="AH938" s="82"/>
      <c r="AI938" s="82"/>
      <c r="AJ938" s="166"/>
      <c r="AK938" s="82"/>
      <c r="AL938" s="162"/>
      <c r="AM938" s="162"/>
      <c r="AN938" s="162"/>
      <c r="AO938" s="162"/>
      <c r="AP938" s="162"/>
      <c r="AQ938" s="162"/>
      <c r="AR938" s="710"/>
      <c r="AV938" s="82"/>
      <c r="AW938" s="947"/>
      <c r="AX938" s="947"/>
      <c r="AY938" s="947"/>
    </row>
    <row r="939" spans="31:51" x14ac:dyDescent="0.25">
      <c r="AE939" s="75"/>
      <c r="AF939" s="82"/>
      <c r="AG939" s="82"/>
      <c r="AH939" s="82"/>
      <c r="AI939" s="82"/>
      <c r="AJ939" s="166"/>
      <c r="AK939" s="82"/>
      <c r="AL939" s="162"/>
      <c r="AM939" s="162"/>
      <c r="AN939" s="162"/>
      <c r="AO939" s="162"/>
      <c r="AP939" s="162"/>
      <c r="AQ939" s="162"/>
      <c r="AR939" s="710"/>
      <c r="AV939" s="82"/>
      <c r="AW939" s="947"/>
      <c r="AX939" s="947"/>
      <c r="AY939" s="947"/>
    </row>
    <row r="940" spans="31:51" x14ac:dyDescent="0.25">
      <c r="AE940" s="75"/>
      <c r="AF940" s="82"/>
      <c r="AG940" s="82"/>
      <c r="AH940" s="82"/>
      <c r="AI940" s="82"/>
      <c r="AJ940" s="166"/>
      <c r="AK940" s="82"/>
      <c r="AL940" s="162"/>
      <c r="AM940" s="162"/>
      <c r="AN940" s="162"/>
      <c r="AO940" s="162"/>
      <c r="AP940" s="162"/>
      <c r="AQ940" s="162"/>
      <c r="AR940" s="710"/>
      <c r="AV940" s="82"/>
      <c r="AW940" s="947"/>
      <c r="AX940" s="947"/>
      <c r="AY940" s="947"/>
    </row>
    <row r="941" spans="31:51" x14ac:dyDescent="0.25">
      <c r="AE941" s="75"/>
      <c r="AF941" s="82"/>
      <c r="AG941" s="82"/>
      <c r="AH941" s="82"/>
      <c r="AI941" s="82"/>
      <c r="AJ941" s="166"/>
      <c r="AK941" s="82"/>
      <c r="AL941" s="162"/>
      <c r="AM941" s="162"/>
      <c r="AN941" s="162"/>
      <c r="AO941" s="162"/>
      <c r="AP941" s="162"/>
      <c r="AQ941" s="162"/>
      <c r="AR941" s="710"/>
      <c r="AV941" s="82"/>
      <c r="AW941" s="947"/>
      <c r="AX941" s="947"/>
      <c r="AY941" s="947"/>
    </row>
    <row r="942" spans="31:51" x14ac:dyDescent="0.25">
      <c r="AE942" s="75"/>
      <c r="AF942" s="82"/>
      <c r="AG942" s="82"/>
      <c r="AH942" s="82"/>
      <c r="AI942" s="82"/>
      <c r="AJ942" s="166"/>
      <c r="AK942" s="82"/>
      <c r="AL942" s="162"/>
      <c r="AM942" s="162"/>
      <c r="AN942" s="162"/>
      <c r="AO942" s="162"/>
      <c r="AP942" s="162"/>
      <c r="AQ942" s="162"/>
      <c r="AR942" s="710"/>
      <c r="AV942" s="82"/>
      <c r="AW942" s="947"/>
      <c r="AX942" s="947"/>
      <c r="AY942" s="947"/>
    </row>
    <row r="943" spans="31:51" x14ac:dyDescent="0.25">
      <c r="AE943" s="75"/>
      <c r="AF943" s="82"/>
      <c r="AG943" s="82"/>
      <c r="AH943" s="82"/>
      <c r="AI943" s="82"/>
      <c r="AJ943" s="166"/>
      <c r="AK943" s="82"/>
      <c r="AL943" s="162"/>
      <c r="AM943" s="162"/>
      <c r="AN943" s="162"/>
      <c r="AO943" s="162"/>
      <c r="AP943" s="162"/>
      <c r="AQ943" s="162"/>
      <c r="AR943" s="710"/>
      <c r="AV943" s="82"/>
      <c r="AW943" s="947"/>
      <c r="AX943" s="947"/>
      <c r="AY943" s="947"/>
    </row>
    <row r="944" spans="31:51" x14ac:dyDescent="0.25">
      <c r="AE944" s="75"/>
      <c r="AF944" s="82"/>
      <c r="AG944" s="82"/>
      <c r="AH944" s="82"/>
      <c r="AI944" s="82"/>
      <c r="AJ944" s="166"/>
      <c r="AK944" s="82"/>
      <c r="AL944" s="162"/>
      <c r="AM944" s="162"/>
      <c r="AN944" s="162"/>
      <c r="AO944" s="162"/>
      <c r="AP944" s="162"/>
      <c r="AQ944" s="162"/>
      <c r="AR944" s="710"/>
      <c r="AV944" s="82"/>
      <c r="AW944" s="947"/>
      <c r="AX944" s="947"/>
      <c r="AY944" s="947"/>
    </row>
    <row r="945" spans="31:51" x14ac:dyDescent="0.25">
      <c r="AE945" s="75"/>
      <c r="AF945" s="82"/>
      <c r="AG945" s="82"/>
      <c r="AH945" s="82"/>
      <c r="AI945" s="82"/>
      <c r="AJ945" s="166"/>
      <c r="AK945" s="82"/>
      <c r="AL945" s="162"/>
      <c r="AM945" s="162"/>
      <c r="AN945" s="162"/>
      <c r="AO945" s="162"/>
      <c r="AP945" s="162"/>
      <c r="AQ945" s="162"/>
      <c r="AR945" s="710"/>
      <c r="AV945" s="82"/>
      <c r="AW945" s="947"/>
      <c r="AX945" s="947"/>
      <c r="AY945" s="947"/>
    </row>
    <row r="946" spans="31:51" x14ac:dyDescent="0.25">
      <c r="AE946" s="75"/>
      <c r="AF946" s="82"/>
      <c r="AG946" s="82"/>
      <c r="AH946" s="82"/>
      <c r="AI946" s="82"/>
      <c r="AJ946" s="166"/>
      <c r="AK946" s="82"/>
      <c r="AL946" s="162"/>
      <c r="AM946" s="162"/>
      <c r="AN946" s="162"/>
      <c r="AO946" s="162"/>
      <c r="AP946" s="162"/>
      <c r="AQ946" s="162"/>
      <c r="AR946" s="710"/>
      <c r="AV946" s="82"/>
      <c r="AW946" s="947"/>
      <c r="AX946" s="947"/>
      <c r="AY946" s="947"/>
    </row>
    <row r="947" spans="31:51" x14ac:dyDescent="0.25">
      <c r="AE947" s="75"/>
      <c r="AF947" s="82"/>
      <c r="AG947" s="82"/>
      <c r="AH947" s="82"/>
      <c r="AI947" s="82"/>
      <c r="AJ947" s="166"/>
      <c r="AK947" s="82"/>
      <c r="AL947" s="162"/>
      <c r="AM947" s="162"/>
      <c r="AN947" s="162"/>
      <c r="AO947" s="162"/>
      <c r="AP947" s="162"/>
      <c r="AQ947" s="162"/>
      <c r="AR947" s="710"/>
      <c r="AV947" s="82"/>
      <c r="AW947" s="947"/>
      <c r="AX947" s="947"/>
      <c r="AY947" s="947"/>
    </row>
    <row r="948" spans="31:51" x14ac:dyDescent="0.25">
      <c r="AE948" s="75"/>
      <c r="AF948" s="82"/>
      <c r="AG948" s="82"/>
      <c r="AH948" s="82"/>
      <c r="AI948" s="82"/>
      <c r="AJ948" s="166"/>
      <c r="AK948" s="82"/>
      <c r="AL948" s="162"/>
      <c r="AM948" s="162"/>
      <c r="AN948" s="162"/>
      <c r="AO948" s="162"/>
      <c r="AP948" s="162"/>
      <c r="AQ948" s="162"/>
      <c r="AR948" s="710"/>
      <c r="AV948" s="82"/>
      <c r="AW948" s="947"/>
      <c r="AX948" s="947"/>
      <c r="AY948" s="947"/>
    </row>
    <row r="949" spans="31:51" x14ac:dyDescent="0.25">
      <c r="AE949" s="75"/>
      <c r="AF949" s="82"/>
      <c r="AG949" s="82"/>
      <c r="AH949" s="82"/>
      <c r="AI949" s="82"/>
      <c r="AJ949" s="166"/>
      <c r="AK949" s="82"/>
      <c r="AL949" s="162"/>
      <c r="AM949" s="162"/>
      <c r="AN949" s="162"/>
      <c r="AO949" s="162"/>
      <c r="AP949" s="162"/>
      <c r="AQ949" s="162"/>
      <c r="AR949" s="710"/>
      <c r="AV949" s="82"/>
      <c r="AW949" s="947"/>
      <c r="AX949" s="947"/>
      <c r="AY949" s="947"/>
    </row>
    <row r="950" spans="31:51" x14ac:dyDescent="0.25">
      <c r="AE950" s="75"/>
      <c r="AF950" s="82"/>
      <c r="AG950" s="82"/>
      <c r="AH950" s="82"/>
      <c r="AI950" s="82"/>
      <c r="AJ950" s="166"/>
      <c r="AK950" s="82"/>
      <c r="AL950" s="162"/>
      <c r="AM950" s="162"/>
      <c r="AN950" s="162"/>
      <c r="AO950" s="162"/>
      <c r="AP950" s="162"/>
      <c r="AQ950" s="162"/>
      <c r="AR950" s="710"/>
      <c r="AV950" s="82"/>
      <c r="AW950" s="947"/>
      <c r="AX950" s="947"/>
      <c r="AY950" s="947"/>
    </row>
    <row r="951" spans="31:51" x14ac:dyDescent="0.25">
      <c r="AE951" s="75"/>
      <c r="AF951" s="82"/>
      <c r="AG951" s="82"/>
      <c r="AH951" s="82"/>
      <c r="AI951" s="82"/>
      <c r="AJ951" s="166"/>
      <c r="AK951" s="82"/>
      <c r="AL951" s="162"/>
      <c r="AM951" s="162"/>
      <c r="AN951" s="162"/>
      <c r="AO951" s="162"/>
      <c r="AP951" s="162"/>
      <c r="AQ951" s="162"/>
      <c r="AR951" s="710"/>
      <c r="AV951" s="82"/>
      <c r="AW951" s="947"/>
      <c r="AX951" s="947"/>
      <c r="AY951" s="947"/>
    </row>
    <row r="952" spans="31:51" x14ac:dyDescent="0.25">
      <c r="AE952" s="75"/>
      <c r="AF952" s="82"/>
      <c r="AG952" s="82"/>
      <c r="AH952" s="82"/>
      <c r="AI952" s="82"/>
      <c r="AJ952" s="166"/>
      <c r="AK952" s="82"/>
      <c r="AL952" s="162"/>
      <c r="AM952" s="162"/>
      <c r="AN952" s="162"/>
      <c r="AO952" s="162"/>
      <c r="AP952" s="162"/>
      <c r="AQ952" s="162"/>
      <c r="AR952" s="710"/>
      <c r="AV952" s="82"/>
      <c r="AW952" s="947"/>
      <c r="AX952" s="947"/>
      <c r="AY952" s="947"/>
    </row>
    <row r="953" spans="31:51" x14ac:dyDescent="0.25">
      <c r="AE953" s="75"/>
      <c r="AF953" s="82"/>
      <c r="AG953" s="82"/>
      <c r="AH953" s="82"/>
      <c r="AI953" s="82"/>
      <c r="AJ953" s="166"/>
      <c r="AK953" s="82"/>
      <c r="AL953" s="162"/>
      <c r="AM953" s="162"/>
      <c r="AN953" s="162"/>
      <c r="AO953" s="162"/>
      <c r="AP953" s="162"/>
      <c r="AQ953" s="162"/>
      <c r="AR953" s="710"/>
      <c r="AV953" s="82"/>
      <c r="AW953" s="947"/>
      <c r="AX953" s="947"/>
      <c r="AY953" s="947"/>
    </row>
    <row r="954" spans="31:51" x14ac:dyDescent="0.25">
      <c r="AE954" s="75"/>
      <c r="AF954" s="82"/>
      <c r="AG954" s="82"/>
      <c r="AH954" s="82"/>
      <c r="AI954" s="82"/>
      <c r="AJ954" s="166"/>
      <c r="AK954" s="82"/>
      <c r="AL954" s="162"/>
      <c r="AM954" s="162"/>
      <c r="AN954" s="162"/>
      <c r="AO954" s="162"/>
      <c r="AP954" s="162"/>
      <c r="AQ954" s="162"/>
      <c r="AR954" s="710"/>
      <c r="AV954" s="82"/>
      <c r="AW954" s="947"/>
      <c r="AX954" s="947"/>
      <c r="AY954" s="947"/>
    </row>
    <row r="955" spans="31:51" x14ac:dyDescent="0.25">
      <c r="AE955" s="75"/>
      <c r="AF955" s="82"/>
      <c r="AG955" s="82"/>
      <c r="AH955" s="82"/>
      <c r="AI955" s="82"/>
      <c r="AJ955" s="166"/>
      <c r="AK955" s="82"/>
      <c r="AL955" s="162"/>
      <c r="AM955" s="162"/>
      <c r="AN955" s="162"/>
      <c r="AO955" s="162"/>
      <c r="AP955" s="162"/>
      <c r="AQ955" s="162"/>
      <c r="AR955" s="710"/>
      <c r="AV955" s="82"/>
      <c r="AW955" s="947"/>
      <c r="AX955" s="947"/>
      <c r="AY955" s="947"/>
    </row>
    <row r="956" spans="31:51" x14ac:dyDescent="0.25">
      <c r="AE956" s="75"/>
      <c r="AF956" s="82"/>
      <c r="AG956" s="82"/>
      <c r="AH956" s="82"/>
      <c r="AI956" s="82"/>
      <c r="AJ956" s="166"/>
      <c r="AK956" s="82"/>
      <c r="AL956" s="162"/>
      <c r="AM956" s="162"/>
      <c r="AN956" s="162"/>
      <c r="AO956" s="162"/>
      <c r="AP956" s="162"/>
      <c r="AQ956" s="162"/>
      <c r="AR956" s="710"/>
      <c r="AV956" s="82"/>
      <c r="AW956" s="947"/>
      <c r="AX956" s="947"/>
      <c r="AY956" s="947"/>
    </row>
    <row r="957" spans="31:51" x14ac:dyDescent="0.25">
      <c r="AE957" s="75"/>
      <c r="AF957" s="82"/>
      <c r="AG957" s="82"/>
      <c r="AH957" s="82"/>
      <c r="AI957" s="82"/>
      <c r="AJ957" s="166"/>
      <c r="AK957" s="82"/>
      <c r="AL957" s="162"/>
      <c r="AM957" s="162"/>
      <c r="AN957" s="162"/>
      <c r="AO957" s="162"/>
      <c r="AP957" s="162"/>
      <c r="AQ957" s="162"/>
      <c r="AR957" s="710"/>
      <c r="AV957" s="82"/>
      <c r="AW957" s="947"/>
      <c r="AX957" s="947"/>
      <c r="AY957" s="947"/>
    </row>
    <row r="958" spans="31:51" x14ac:dyDescent="0.25">
      <c r="AE958" s="75"/>
      <c r="AF958" s="82"/>
      <c r="AG958" s="82"/>
      <c r="AH958" s="82"/>
      <c r="AI958" s="82"/>
      <c r="AJ958" s="166"/>
      <c r="AK958" s="82"/>
      <c r="AL958" s="162"/>
      <c r="AM958" s="162"/>
      <c r="AN958" s="162"/>
      <c r="AO958" s="162"/>
      <c r="AP958" s="162"/>
      <c r="AQ958" s="162"/>
      <c r="AR958" s="710"/>
      <c r="AV958" s="82"/>
      <c r="AW958" s="947"/>
      <c r="AX958" s="947"/>
      <c r="AY958" s="947"/>
    </row>
    <row r="959" spans="31:51" x14ac:dyDescent="0.25">
      <c r="AE959" s="75"/>
      <c r="AF959" s="82"/>
      <c r="AG959" s="82"/>
      <c r="AH959" s="82"/>
      <c r="AI959" s="82"/>
      <c r="AJ959" s="166"/>
      <c r="AK959" s="82"/>
      <c r="AL959" s="162"/>
      <c r="AM959" s="162"/>
      <c r="AN959" s="162"/>
      <c r="AO959" s="162"/>
      <c r="AP959" s="162"/>
      <c r="AQ959" s="162"/>
      <c r="AR959" s="710"/>
      <c r="AV959" s="82"/>
      <c r="AW959" s="947"/>
      <c r="AX959" s="947"/>
      <c r="AY959" s="947"/>
    </row>
    <row r="960" spans="31:51" x14ac:dyDescent="0.25">
      <c r="AE960" s="75"/>
      <c r="AF960" s="82"/>
      <c r="AG960" s="82"/>
      <c r="AH960" s="82"/>
      <c r="AI960" s="82"/>
      <c r="AJ960" s="166"/>
      <c r="AK960" s="82"/>
      <c r="AL960" s="162"/>
      <c r="AM960" s="162"/>
      <c r="AN960" s="162"/>
      <c r="AO960" s="162"/>
      <c r="AP960" s="162"/>
      <c r="AQ960" s="162"/>
      <c r="AR960" s="710"/>
      <c r="AV960" s="82"/>
      <c r="AW960" s="947"/>
      <c r="AX960" s="947"/>
      <c r="AY960" s="947"/>
    </row>
    <row r="961" spans="31:51" x14ac:dyDescent="0.25">
      <c r="AE961" s="75"/>
      <c r="AF961" s="82"/>
      <c r="AG961" s="82"/>
      <c r="AH961" s="82"/>
      <c r="AI961" s="82"/>
      <c r="AJ961" s="166"/>
      <c r="AK961" s="82"/>
      <c r="AL961" s="162"/>
      <c r="AM961" s="162"/>
      <c r="AN961" s="162"/>
      <c r="AO961" s="162"/>
      <c r="AP961" s="162"/>
      <c r="AQ961" s="162"/>
      <c r="AR961" s="710"/>
      <c r="AV961" s="82"/>
      <c r="AW961" s="947"/>
      <c r="AX961" s="947"/>
      <c r="AY961" s="947"/>
    </row>
    <row r="962" spans="31:51" x14ac:dyDescent="0.25">
      <c r="AE962" s="75"/>
      <c r="AF962" s="82"/>
      <c r="AG962" s="82"/>
      <c r="AH962" s="82"/>
      <c r="AI962" s="82"/>
      <c r="AJ962" s="166"/>
      <c r="AK962" s="82"/>
      <c r="AL962" s="162"/>
      <c r="AM962" s="162"/>
      <c r="AN962" s="162"/>
      <c r="AO962" s="162"/>
      <c r="AP962" s="162"/>
      <c r="AQ962" s="162"/>
      <c r="AR962" s="710"/>
      <c r="AV962" s="82"/>
      <c r="AW962" s="947"/>
      <c r="AX962" s="947"/>
      <c r="AY962" s="947"/>
    </row>
    <row r="963" spans="31:51" x14ac:dyDescent="0.25">
      <c r="AE963" s="75"/>
      <c r="AF963" s="82"/>
      <c r="AG963" s="82"/>
      <c r="AH963" s="82"/>
      <c r="AI963" s="82"/>
      <c r="AJ963" s="166"/>
      <c r="AK963" s="82"/>
      <c r="AL963" s="162"/>
      <c r="AM963" s="162"/>
      <c r="AN963" s="162"/>
      <c r="AO963" s="162"/>
      <c r="AP963" s="162"/>
      <c r="AQ963" s="162"/>
      <c r="AR963" s="710"/>
      <c r="AV963" s="82"/>
      <c r="AW963" s="947"/>
      <c r="AX963" s="947"/>
      <c r="AY963" s="947"/>
    </row>
    <row r="964" spans="31:51" x14ac:dyDescent="0.25">
      <c r="AE964" s="75"/>
      <c r="AF964" s="82"/>
      <c r="AG964" s="82"/>
      <c r="AH964" s="82"/>
      <c r="AI964" s="82"/>
      <c r="AJ964" s="166"/>
      <c r="AK964" s="82"/>
      <c r="AL964" s="162"/>
      <c r="AM964" s="162"/>
      <c r="AN964" s="162"/>
      <c r="AO964" s="162"/>
      <c r="AP964" s="162"/>
      <c r="AQ964" s="162"/>
      <c r="AR964" s="710"/>
      <c r="AV964" s="82"/>
      <c r="AW964" s="947"/>
      <c r="AX964" s="947"/>
      <c r="AY964" s="947"/>
    </row>
    <row r="965" spans="31:51" x14ac:dyDescent="0.25">
      <c r="AE965" s="75"/>
      <c r="AF965" s="82"/>
      <c r="AG965" s="82"/>
      <c r="AH965" s="82"/>
      <c r="AI965" s="82"/>
      <c r="AJ965" s="166"/>
      <c r="AK965" s="82"/>
      <c r="AL965" s="162"/>
      <c r="AM965" s="162"/>
      <c r="AN965" s="162"/>
      <c r="AO965" s="162"/>
      <c r="AP965" s="162"/>
      <c r="AQ965" s="162"/>
      <c r="AR965" s="710"/>
      <c r="AV965" s="82"/>
      <c r="AW965" s="947"/>
      <c r="AX965" s="947"/>
      <c r="AY965" s="947"/>
    </row>
    <row r="966" spans="31:51" x14ac:dyDescent="0.25">
      <c r="AE966" s="75"/>
      <c r="AF966" s="82"/>
      <c r="AG966" s="82"/>
      <c r="AH966" s="82"/>
      <c r="AI966" s="82"/>
      <c r="AJ966" s="166"/>
      <c r="AK966" s="82"/>
      <c r="AL966" s="162"/>
      <c r="AM966" s="162"/>
      <c r="AN966" s="162"/>
      <c r="AO966" s="162"/>
      <c r="AP966" s="162"/>
      <c r="AQ966" s="162"/>
      <c r="AR966" s="710"/>
      <c r="AV966" s="82"/>
      <c r="AW966" s="947"/>
      <c r="AX966" s="947"/>
      <c r="AY966" s="947"/>
    </row>
    <row r="967" spans="31:51" x14ac:dyDescent="0.25">
      <c r="AE967" s="75"/>
      <c r="AF967" s="82"/>
      <c r="AG967" s="82"/>
      <c r="AH967" s="82"/>
      <c r="AI967" s="82"/>
      <c r="AJ967" s="166"/>
      <c r="AK967" s="82"/>
      <c r="AL967" s="162"/>
      <c r="AM967" s="162"/>
      <c r="AN967" s="162"/>
      <c r="AO967" s="162"/>
      <c r="AP967" s="162"/>
      <c r="AQ967" s="162"/>
      <c r="AR967" s="710"/>
      <c r="AV967" s="82"/>
      <c r="AW967" s="947"/>
      <c r="AX967" s="947"/>
      <c r="AY967" s="947"/>
    </row>
    <row r="968" spans="31:51" x14ac:dyDescent="0.25">
      <c r="AE968" s="75"/>
      <c r="AF968" s="82"/>
      <c r="AG968" s="82"/>
      <c r="AH968" s="82"/>
      <c r="AI968" s="82"/>
      <c r="AJ968" s="166"/>
      <c r="AK968" s="82"/>
      <c r="AL968" s="162"/>
      <c r="AM968" s="162"/>
      <c r="AN968" s="162"/>
      <c r="AO968" s="162"/>
      <c r="AP968" s="162"/>
      <c r="AQ968" s="162"/>
      <c r="AR968" s="710"/>
      <c r="AV968" s="82"/>
      <c r="AW968" s="947"/>
      <c r="AX968" s="947"/>
      <c r="AY968" s="947"/>
    </row>
    <row r="969" spans="31:51" x14ac:dyDescent="0.25">
      <c r="AE969" s="75"/>
      <c r="AF969" s="82"/>
      <c r="AG969" s="82"/>
      <c r="AH969" s="82"/>
      <c r="AI969" s="82"/>
      <c r="AJ969" s="166"/>
      <c r="AK969" s="82"/>
      <c r="AL969" s="162"/>
      <c r="AM969" s="162"/>
      <c r="AN969" s="162"/>
      <c r="AO969" s="162"/>
      <c r="AP969" s="162"/>
      <c r="AQ969" s="162"/>
      <c r="AR969" s="710"/>
      <c r="AV969" s="82"/>
      <c r="AW969" s="947"/>
      <c r="AX969" s="947"/>
      <c r="AY969" s="947"/>
    </row>
    <row r="970" spans="31:51" x14ac:dyDescent="0.25">
      <c r="AE970" s="75"/>
      <c r="AF970" s="82"/>
      <c r="AG970" s="82"/>
      <c r="AH970" s="82"/>
      <c r="AI970" s="82"/>
      <c r="AJ970" s="166"/>
      <c r="AK970" s="82"/>
      <c r="AL970" s="162"/>
      <c r="AM970" s="162"/>
      <c r="AN970" s="162"/>
      <c r="AO970" s="162"/>
      <c r="AP970" s="162"/>
      <c r="AQ970" s="162"/>
      <c r="AR970" s="710"/>
      <c r="AV970" s="82"/>
      <c r="AW970" s="947"/>
      <c r="AX970" s="947"/>
      <c r="AY970" s="947"/>
    </row>
    <row r="971" spans="31:51" x14ac:dyDescent="0.25">
      <c r="AE971" s="75"/>
      <c r="AF971" s="82"/>
      <c r="AG971" s="82"/>
      <c r="AH971" s="82"/>
      <c r="AI971" s="82"/>
      <c r="AJ971" s="166"/>
      <c r="AK971" s="82"/>
      <c r="AL971" s="162"/>
      <c r="AM971" s="162"/>
      <c r="AN971" s="162"/>
      <c r="AO971" s="162"/>
      <c r="AP971" s="162"/>
      <c r="AQ971" s="162"/>
      <c r="AR971" s="710"/>
      <c r="AV971" s="82"/>
      <c r="AW971" s="947"/>
      <c r="AX971" s="947"/>
      <c r="AY971" s="947"/>
    </row>
    <row r="972" spans="31:51" x14ac:dyDescent="0.25">
      <c r="AE972" s="75"/>
      <c r="AF972" s="82"/>
      <c r="AG972" s="82"/>
      <c r="AH972" s="82"/>
      <c r="AI972" s="82"/>
      <c r="AJ972" s="166"/>
      <c r="AK972" s="82"/>
      <c r="AL972" s="162"/>
      <c r="AM972" s="162"/>
      <c r="AN972" s="162"/>
      <c r="AO972" s="162"/>
      <c r="AP972" s="162"/>
      <c r="AQ972" s="162"/>
      <c r="AR972" s="710"/>
      <c r="AV972" s="82"/>
      <c r="AW972" s="947"/>
      <c r="AX972" s="947"/>
      <c r="AY972" s="947"/>
    </row>
    <row r="973" spans="31:51" x14ac:dyDescent="0.25">
      <c r="AE973" s="75"/>
      <c r="AF973" s="82"/>
      <c r="AG973" s="82"/>
      <c r="AH973" s="82"/>
      <c r="AI973" s="82"/>
      <c r="AJ973" s="166"/>
      <c r="AK973" s="82"/>
      <c r="AL973" s="162"/>
      <c r="AM973" s="162"/>
      <c r="AN973" s="162"/>
      <c r="AO973" s="162"/>
      <c r="AP973" s="162"/>
      <c r="AQ973" s="162"/>
      <c r="AR973" s="710"/>
      <c r="AV973" s="82"/>
      <c r="AW973" s="947"/>
      <c r="AX973" s="947"/>
      <c r="AY973" s="947"/>
    </row>
    <row r="974" spans="31:51" x14ac:dyDescent="0.25">
      <c r="AE974" s="75"/>
      <c r="AF974" s="82"/>
      <c r="AG974" s="82"/>
      <c r="AH974" s="82"/>
      <c r="AI974" s="82"/>
      <c r="AJ974" s="166"/>
      <c r="AK974" s="82"/>
      <c r="AL974" s="162"/>
      <c r="AM974" s="162"/>
      <c r="AN974" s="162"/>
      <c r="AO974" s="162"/>
      <c r="AP974" s="162"/>
      <c r="AQ974" s="162"/>
      <c r="AR974" s="710"/>
      <c r="AV974" s="82"/>
      <c r="AW974" s="947"/>
      <c r="AX974" s="947"/>
      <c r="AY974" s="947"/>
    </row>
    <row r="975" spans="31:51" x14ac:dyDescent="0.25">
      <c r="AE975" s="75"/>
      <c r="AF975" s="82"/>
      <c r="AG975" s="82"/>
      <c r="AH975" s="82"/>
      <c r="AI975" s="82"/>
      <c r="AJ975" s="166"/>
      <c r="AK975" s="82"/>
      <c r="AL975" s="162"/>
      <c r="AM975" s="162"/>
      <c r="AN975" s="162"/>
      <c r="AO975" s="162"/>
      <c r="AP975" s="162"/>
      <c r="AQ975" s="162"/>
      <c r="AR975" s="710"/>
      <c r="AV975" s="82"/>
      <c r="AW975" s="947"/>
      <c r="AX975" s="947"/>
      <c r="AY975" s="947"/>
    </row>
    <row r="976" spans="31:51" x14ac:dyDescent="0.25">
      <c r="AE976" s="75"/>
      <c r="AF976" s="82"/>
      <c r="AG976" s="82"/>
      <c r="AH976" s="82"/>
      <c r="AI976" s="82"/>
      <c r="AJ976" s="166"/>
      <c r="AK976" s="82"/>
      <c r="AL976" s="162"/>
      <c r="AM976" s="162"/>
      <c r="AN976" s="162"/>
      <c r="AO976" s="162"/>
      <c r="AP976" s="162"/>
      <c r="AQ976" s="162"/>
      <c r="AR976" s="710"/>
      <c r="AV976" s="82"/>
      <c r="AW976" s="947"/>
      <c r="AX976" s="947"/>
      <c r="AY976" s="947"/>
    </row>
    <row r="977" spans="31:51" x14ac:dyDescent="0.25">
      <c r="AE977" s="75"/>
      <c r="AF977" s="82"/>
      <c r="AG977" s="82"/>
      <c r="AH977" s="82"/>
      <c r="AI977" s="82"/>
      <c r="AJ977" s="166"/>
      <c r="AK977" s="82"/>
      <c r="AL977" s="162"/>
      <c r="AM977" s="162"/>
      <c r="AN977" s="162"/>
      <c r="AO977" s="162"/>
      <c r="AP977" s="162"/>
      <c r="AQ977" s="162"/>
      <c r="AR977" s="710"/>
      <c r="AV977" s="82"/>
      <c r="AW977" s="947"/>
      <c r="AX977" s="947"/>
      <c r="AY977" s="947"/>
    </row>
    <row r="978" spans="31:51" x14ac:dyDescent="0.25">
      <c r="AE978" s="75"/>
      <c r="AF978" s="82"/>
      <c r="AG978" s="82"/>
      <c r="AH978" s="82"/>
      <c r="AI978" s="82"/>
      <c r="AJ978" s="166"/>
      <c r="AK978" s="82"/>
      <c r="AL978" s="162"/>
      <c r="AM978" s="162"/>
      <c r="AN978" s="162"/>
      <c r="AO978" s="162"/>
      <c r="AP978" s="162"/>
      <c r="AQ978" s="162"/>
      <c r="AR978" s="710"/>
      <c r="AV978" s="82"/>
      <c r="AW978" s="947"/>
      <c r="AX978" s="947"/>
      <c r="AY978" s="947"/>
    </row>
    <row r="979" spans="31:51" x14ac:dyDescent="0.25">
      <c r="AE979" s="75"/>
      <c r="AF979" s="82"/>
      <c r="AG979" s="82"/>
      <c r="AH979" s="82"/>
      <c r="AI979" s="82"/>
      <c r="AJ979" s="166"/>
      <c r="AK979" s="82"/>
      <c r="AL979" s="162"/>
      <c r="AM979" s="162"/>
      <c r="AN979" s="162"/>
      <c r="AO979" s="162"/>
      <c r="AP979" s="162"/>
      <c r="AQ979" s="162"/>
      <c r="AR979" s="710"/>
      <c r="AV979" s="82"/>
      <c r="AW979" s="947"/>
      <c r="AX979" s="947"/>
      <c r="AY979" s="947"/>
    </row>
    <row r="980" spans="31:51" x14ac:dyDescent="0.25">
      <c r="AE980" s="75"/>
      <c r="AF980" s="82"/>
      <c r="AG980" s="82"/>
      <c r="AH980" s="82"/>
      <c r="AI980" s="82"/>
      <c r="AJ980" s="166"/>
      <c r="AK980" s="82"/>
      <c r="AL980" s="162"/>
      <c r="AM980" s="162"/>
      <c r="AN980" s="162"/>
      <c r="AO980" s="162"/>
      <c r="AP980" s="162"/>
      <c r="AQ980" s="162"/>
      <c r="AR980" s="710"/>
      <c r="AV980" s="82"/>
      <c r="AW980" s="947"/>
      <c r="AX980" s="947"/>
      <c r="AY980" s="947"/>
    </row>
    <row r="981" spans="31:51" x14ac:dyDescent="0.25">
      <c r="AE981" s="75"/>
      <c r="AF981" s="82"/>
      <c r="AG981" s="82"/>
      <c r="AH981" s="82"/>
      <c r="AI981" s="82"/>
      <c r="AJ981" s="166"/>
      <c r="AK981" s="82"/>
      <c r="AL981" s="162"/>
      <c r="AM981" s="162"/>
      <c r="AN981" s="162"/>
      <c r="AO981" s="162"/>
      <c r="AP981" s="162"/>
      <c r="AQ981" s="162"/>
      <c r="AR981" s="710"/>
      <c r="AV981" s="82"/>
      <c r="AW981" s="947"/>
      <c r="AX981" s="947"/>
      <c r="AY981" s="947"/>
    </row>
    <row r="982" spans="31:51" x14ac:dyDescent="0.25">
      <c r="AE982" s="75"/>
      <c r="AF982" s="82"/>
      <c r="AG982" s="82"/>
      <c r="AH982" s="82"/>
      <c r="AI982" s="82"/>
      <c r="AJ982" s="166"/>
      <c r="AK982" s="82"/>
      <c r="AL982" s="162"/>
      <c r="AM982" s="162"/>
      <c r="AN982" s="162"/>
      <c r="AO982" s="162"/>
      <c r="AP982" s="162"/>
      <c r="AQ982" s="162"/>
      <c r="AR982" s="710"/>
      <c r="AV982" s="82"/>
      <c r="AW982" s="947"/>
      <c r="AX982" s="947"/>
      <c r="AY982" s="947"/>
    </row>
    <row r="983" spans="31:51" x14ac:dyDescent="0.25">
      <c r="AE983" s="75"/>
      <c r="AF983" s="82"/>
      <c r="AG983" s="82"/>
      <c r="AH983" s="82"/>
      <c r="AI983" s="82"/>
      <c r="AJ983" s="166"/>
      <c r="AK983" s="82"/>
      <c r="AL983" s="162"/>
      <c r="AM983" s="162"/>
      <c r="AN983" s="162"/>
      <c r="AO983" s="162"/>
      <c r="AP983" s="162"/>
      <c r="AQ983" s="162"/>
      <c r="AR983" s="710"/>
      <c r="AV983" s="82"/>
      <c r="AW983" s="947"/>
      <c r="AX983" s="947"/>
      <c r="AY983" s="947"/>
    </row>
    <row r="984" spans="31:51" x14ac:dyDescent="0.25">
      <c r="AE984" s="75"/>
      <c r="AF984" s="82"/>
      <c r="AG984" s="82"/>
      <c r="AH984" s="82"/>
      <c r="AI984" s="82"/>
      <c r="AJ984" s="166"/>
      <c r="AK984" s="82"/>
      <c r="AL984" s="162"/>
      <c r="AM984" s="162"/>
      <c r="AN984" s="162"/>
      <c r="AO984" s="162"/>
      <c r="AP984" s="162"/>
      <c r="AQ984" s="162"/>
      <c r="AR984" s="710"/>
      <c r="AV984" s="82"/>
      <c r="AW984" s="947"/>
      <c r="AX984" s="947"/>
      <c r="AY984" s="947"/>
    </row>
    <row r="985" spans="31:51" x14ac:dyDescent="0.25">
      <c r="AE985" s="75"/>
      <c r="AF985" s="82"/>
      <c r="AG985" s="82"/>
      <c r="AH985" s="82"/>
      <c r="AI985" s="82"/>
      <c r="AJ985" s="166"/>
      <c r="AK985" s="82"/>
      <c r="AL985" s="162"/>
      <c r="AM985" s="162"/>
      <c r="AN985" s="162"/>
      <c r="AO985" s="162"/>
      <c r="AP985" s="162"/>
      <c r="AQ985" s="162"/>
      <c r="AR985" s="710"/>
      <c r="AV985" s="82"/>
      <c r="AW985" s="947"/>
      <c r="AX985" s="947"/>
      <c r="AY985" s="947"/>
    </row>
    <row r="986" spans="31:51" x14ac:dyDescent="0.25">
      <c r="AE986" s="75"/>
      <c r="AF986" s="82"/>
      <c r="AG986" s="82"/>
      <c r="AH986" s="82"/>
      <c r="AI986" s="82"/>
      <c r="AJ986" s="166"/>
      <c r="AK986" s="82"/>
      <c r="AL986" s="162"/>
      <c r="AM986" s="162"/>
      <c r="AN986" s="162"/>
      <c r="AO986" s="162"/>
      <c r="AP986" s="162"/>
      <c r="AQ986" s="162"/>
      <c r="AR986" s="710"/>
      <c r="AV986" s="82"/>
      <c r="AW986" s="947"/>
      <c r="AX986" s="947"/>
      <c r="AY986" s="947"/>
    </row>
    <row r="987" spans="31:51" x14ac:dyDescent="0.25">
      <c r="AE987" s="75"/>
      <c r="AF987" s="82"/>
      <c r="AG987" s="82"/>
      <c r="AH987" s="82"/>
      <c r="AI987" s="82"/>
      <c r="AJ987" s="166"/>
      <c r="AK987" s="82"/>
      <c r="AL987" s="162"/>
      <c r="AM987" s="162"/>
      <c r="AN987" s="162"/>
      <c r="AO987" s="162"/>
      <c r="AP987" s="162"/>
      <c r="AQ987" s="162"/>
      <c r="AR987" s="710"/>
      <c r="AV987" s="82"/>
      <c r="AW987" s="947"/>
      <c r="AX987" s="947"/>
      <c r="AY987" s="947"/>
    </row>
    <row r="988" spans="31:51" x14ac:dyDescent="0.25">
      <c r="AE988" s="75"/>
      <c r="AF988" s="82"/>
      <c r="AG988" s="82"/>
      <c r="AH988" s="82"/>
      <c r="AI988" s="82"/>
      <c r="AJ988" s="166"/>
      <c r="AK988" s="82"/>
      <c r="AL988" s="162"/>
      <c r="AM988" s="162"/>
      <c r="AN988" s="162"/>
      <c r="AO988" s="162"/>
      <c r="AP988" s="162"/>
      <c r="AQ988" s="162"/>
      <c r="AR988" s="710"/>
      <c r="AV988" s="82"/>
      <c r="AW988" s="947"/>
      <c r="AX988" s="947"/>
      <c r="AY988" s="947"/>
    </row>
    <row r="989" spans="31:51" x14ac:dyDescent="0.25">
      <c r="AE989" s="75"/>
      <c r="AF989" s="82"/>
      <c r="AG989" s="82"/>
      <c r="AH989" s="82"/>
      <c r="AI989" s="82"/>
      <c r="AJ989" s="166"/>
      <c r="AK989" s="82"/>
      <c r="AL989" s="162"/>
      <c r="AM989" s="162"/>
      <c r="AN989" s="162"/>
      <c r="AO989" s="162"/>
      <c r="AP989" s="162"/>
      <c r="AQ989" s="162"/>
      <c r="AR989" s="710"/>
      <c r="AV989" s="82"/>
      <c r="AW989" s="947"/>
      <c r="AX989" s="947"/>
      <c r="AY989" s="947"/>
    </row>
    <row r="990" spans="31:51" x14ac:dyDescent="0.25">
      <c r="AE990" s="75"/>
      <c r="AF990" s="82"/>
      <c r="AG990" s="82"/>
      <c r="AH990" s="82"/>
      <c r="AI990" s="82"/>
      <c r="AJ990" s="166"/>
      <c r="AK990" s="82"/>
      <c r="AL990" s="162"/>
      <c r="AM990" s="162"/>
      <c r="AN990" s="162"/>
      <c r="AO990" s="162"/>
      <c r="AP990" s="162"/>
      <c r="AQ990" s="162"/>
      <c r="AR990" s="710"/>
      <c r="AV990" s="82"/>
      <c r="AW990" s="947"/>
      <c r="AX990" s="947"/>
      <c r="AY990" s="947"/>
    </row>
    <row r="991" spans="31:51" x14ac:dyDescent="0.25">
      <c r="AE991" s="75"/>
      <c r="AF991" s="82"/>
      <c r="AG991" s="82"/>
      <c r="AH991" s="82"/>
      <c r="AI991" s="82"/>
      <c r="AJ991" s="166"/>
      <c r="AK991" s="82"/>
      <c r="AL991" s="162"/>
      <c r="AM991" s="162"/>
      <c r="AN991" s="162"/>
      <c r="AO991" s="162"/>
      <c r="AP991" s="162"/>
      <c r="AQ991" s="162"/>
      <c r="AR991" s="710"/>
      <c r="AV991" s="82"/>
      <c r="AW991" s="947"/>
      <c r="AX991" s="947"/>
      <c r="AY991" s="947"/>
    </row>
    <row r="992" spans="31:51" x14ac:dyDescent="0.25">
      <c r="AE992" s="75"/>
      <c r="AF992" s="82"/>
      <c r="AG992" s="82"/>
      <c r="AH992" s="82"/>
      <c r="AI992" s="82"/>
      <c r="AJ992" s="166"/>
      <c r="AK992" s="82"/>
      <c r="AL992" s="162"/>
      <c r="AM992" s="162"/>
      <c r="AN992" s="162"/>
      <c r="AO992" s="162"/>
      <c r="AP992" s="162"/>
      <c r="AQ992" s="162"/>
      <c r="AR992" s="710"/>
      <c r="AV992" s="82"/>
      <c r="AW992" s="947"/>
      <c r="AX992" s="947"/>
      <c r="AY992" s="947"/>
    </row>
    <row r="993" spans="31:51" x14ac:dyDescent="0.25">
      <c r="AE993" s="75"/>
      <c r="AF993" s="82"/>
      <c r="AG993" s="82"/>
      <c r="AH993" s="82"/>
      <c r="AI993" s="82"/>
      <c r="AJ993" s="166"/>
      <c r="AK993" s="82"/>
      <c r="AL993" s="162"/>
      <c r="AM993" s="162"/>
      <c r="AN993" s="162"/>
      <c r="AO993" s="162"/>
      <c r="AP993" s="162"/>
      <c r="AQ993" s="162"/>
      <c r="AR993" s="710"/>
      <c r="AV993" s="82"/>
      <c r="AW993" s="947"/>
      <c r="AX993" s="947"/>
      <c r="AY993" s="947"/>
    </row>
    <row r="994" spans="31:51" x14ac:dyDescent="0.25">
      <c r="AE994" s="75"/>
      <c r="AF994" s="82"/>
      <c r="AG994" s="82"/>
      <c r="AH994" s="82"/>
      <c r="AI994" s="82"/>
      <c r="AJ994" s="166"/>
      <c r="AK994" s="82"/>
      <c r="AL994" s="162"/>
      <c r="AM994" s="162"/>
      <c r="AN994" s="162"/>
      <c r="AO994" s="162"/>
      <c r="AP994" s="162"/>
      <c r="AQ994" s="162"/>
      <c r="AR994" s="710"/>
      <c r="AV994" s="82"/>
      <c r="AW994" s="947"/>
      <c r="AX994" s="947"/>
      <c r="AY994" s="947"/>
    </row>
    <row r="995" spans="31:51" x14ac:dyDescent="0.25">
      <c r="AE995" s="75"/>
      <c r="AF995" s="82"/>
      <c r="AG995" s="82"/>
      <c r="AH995" s="82"/>
      <c r="AI995" s="82"/>
      <c r="AJ995" s="166"/>
      <c r="AK995" s="82"/>
      <c r="AL995" s="162"/>
      <c r="AM995" s="162"/>
      <c r="AN995" s="162"/>
      <c r="AO995" s="162"/>
      <c r="AP995" s="162"/>
      <c r="AQ995" s="162"/>
      <c r="AR995" s="710"/>
      <c r="AV995" s="82"/>
      <c r="AW995" s="947"/>
      <c r="AX995" s="947"/>
      <c r="AY995" s="947"/>
    </row>
    <row r="996" spans="31:51" x14ac:dyDescent="0.25">
      <c r="AE996" s="75"/>
      <c r="AF996" s="82"/>
      <c r="AG996" s="82"/>
      <c r="AH996" s="82"/>
      <c r="AI996" s="82"/>
      <c r="AJ996" s="166"/>
      <c r="AK996" s="82"/>
      <c r="AL996" s="162"/>
      <c r="AM996" s="162"/>
      <c r="AN996" s="162"/>
      <c r="AO996" s="162"/>
      <c r="AP996" s="162"/>
      <c r="AQ996" s="162"/>
      <c r="AR996" s="710"/>
      <c r="AV996" s="82"/>
      <c r="AW996" s="947"/>
      <c r="AX996" s="947"/>
      <c r="AY996" s="947"/>
    </row>
    <row r="997" spans="31:51" x14ac:dyDescent="0.25">
      <c r="AE997" s="75"/>
      <c r="AF997" s="82"/>
      <c r="AG997" s="82"/>
      <c r="AH997" s="82"/>
      <c r="AI997" s="82"/>
      <c r="AJ997" s="166"/>
      <c r="AK997" s="82"/>
      <c r="AL997" s="162"/>
      <c r="AM997" s="162"/>
      <c r="AN997" s="162"/>
      <c r="AO997" s="162"/>
      <c r="AP997" s="162"/>
      <c r="AQ997" s="162"/>
      <c r="AR997" s="710"/>
      <c r="AV997" s="82"/>
      <c r="AW997" s="947"/>
      <c r="AX997" s="947"/>
      <c r="AY997" s="947"/>
    </row>
    <row r="998" spans="31:51" x14ac:dyDescent="0.25">
      <c r="AE998" s="75"/>
      <c r="AF998" s="82"/>
      <c r="AG998" s="82"/>
      <c r="AH998" s="82"/>
      <c r="AI998" s="82"/>
      <c r="AJ998" s="166"/>
      <c r="AK998" s="82"/>
      <c r="AL998" s="162"/>
      <c r="AM998" s="162"/>
      <c r="AN998" s="162"/>
      <c r="AO998" s="162"/>
      <c r="AP998" s="162"/>
      <c r="AQ998" s="162"/>
      <c r="AR998" s="710"/>
      <c r="AV998" s="82"/>
      <c r="AW998" s="947"/>
      <c r="AX998" s="947"/>
      <c r="AY998" s="947"/>
    </row>
    <row r="999" spans="31:51" x14ac:dyDescent="0.25">
      <c r="AE999" s="75"/>
      <c r="AF999" s="82"/>
      <c r="AG999" s="82"/>
      <c r="AH999" s="82"/>
      <c r="AI999" s="82"/>
      <c r="AJ999" s="166"/>
      <c r="AK999" s="82"/>
      <c r="AL999" s="162"/>
      <c r="AM999" s="162"/>
      <c r="AN999" s="162"/>
      <c r="AO999" s="162"/>
      <c r="AP999" s="162"/>
      <c r="AQ999" s="162"/>
      <c r="AR999" s="710"/>
      <c r="AV999" s="82"/>
      <c r="AW999" s="947"/>
      <c r="AX999" s="947"/>
      <c r="AY999" s="947"/>
    </row>
    <row r="1000" spans="31:51" x14ac:dyDescent="0.25">
      <c r="AE1000" s="75"/>
      <c r="AF1000" s="82"/>
      <c r="AG1000" s="82"/>
      <c r="AH1000" s="82"/>
      <c r="AI1000" s="82"/>
      <c r="AJ1000" s="166"/>
      <c r="AK1000" s="82"/>
      <c r="AL1000" s="162"/>
      <c r="AM1000" s="162"/>
      <c r="AN1000" s="162"/>
      <c r="AO1000" s="162"/>
      <c r="AP1000" s="162"/>
      <c r="AQ1000" s="162"/>
      <c r="AR1000" s="710"/>
      <c r="AV1000" s="82"/>
      <c r="AW1000" s="947"/>
      <c r="AX1000" s="947"/>
      <c r="AY1000" s="947"/>
    </row>
    <row r="1001" spans="31:51" x14ac:dyDescent="0.25">
      <c r="AE1001" s="75"/>
      <c r="AF1001" s="82"/>
      <c r="AG1001" s="82"/>
      <c r="AH1001" s="82"/>
      <c r="AI1001" s="82"/>
      <c r="AJ1001" s="166"/>
      <c r="AK1001" s="82"/>
      <c r="AL1001" s="162"/>
      <c r="AM1001" s="162"/>
      <c r="AN1001" s="162"/>
      <c r="AO1001" s="162"/>
      <c r="AP1001" s="162"/>
      <c r="AQ1001" s="162"/>
      <c r="AR1001" s="710"/>
      <c r="AV1001" s="82"/>
      <c r="AW1001" s="947"/>
      <c r="AX1001" s="947"/>
      <c r="AY1001" s="947"/>
    </row>
    <row r="1002" spans="31:51" x14ac:dyDescent="0.25">
      <c r="AE1002" s="75"/>
      <c r="AF1002" s="82"/>
      <c r="AG1002" s="82"/>
      <c r="AH1002" s="82"/>
      <c r="AI1002" s="82"/>
      <c r="AJ1002" s="166"/>
      <c r="AK1002" s="82"/>
      <c r="AL1002" s="162"/>
      <c r="AM1002" s="162"/>
      <c r="AN1002" s="162"/>
      <c r="AO1002" s="162"/>
      <c r="AP1002" s="162"/>
      <c r="AQ1002" s="162"/>
      <c r="AR1002" s="710"/>
      <c r="AV1002" s="82"/>
      <c r="AW1002" s="947"/>
      <c r="AX1002" s="947"/>
      <c r="AY1002" s="947"/>
    </row>
    <row r="1003" spans="31:51" x14ac:dyDescent="0.25">
      <c r="AE1003" s="75"/>
      <c r="AF1003" s="82"/>
      <c r="AG1003" s="82"/>
      <c r="AH1003" s="82"/>
      <c r="AI1003" s="82"/>
      <c r="AJ1003" s="166"/>
      <c r="AK1003" s="82"/>
      <c r="AL1003" s="162"/>
      <c r="AM1003" s="162"/>
      <c r="AN1003" s="162"/>
      <c r="AO1003" s="162"/>
      <c r="AP1003" s="162"/>
      <c r="AQ1003" s="162"/>
      <c r="AR1003" s="710"/>
      <c r="AV1003" s="82"/>
      <c r="AW1003" s="947"/>
      <c r="AX1003" s="947"/>
      <c r="AY1003" s="947"/>
    </row>
    <row r="1004" spans="31:51" x14ac:dyDescent="0.25">
      <c r="AE1004" s="75"/>
      <c r="AF1004" s="82"/>
      <c r="AG1004" s="82"/>
      <c r="AH1004" s="82"/>
      <c r="AI1004" s="82"/>
      <c r="AJ1004" s="166"/>
      <c r="AK1004" s="82"/>
      <c r="AL1004" s="162"/>
      <c r="AM1004" s="162"/>
      <c r="AN1004" s="162"/>
      <c r="AO1004" s="162"/>
      <c r="AP1004" s="162"/>
      <c r="AQ1004" s="162"/>
      <c r="AR1004" s="710"/>
      <c r="AV1004" s="82"/>
      <c r="AW1004" s="947"/>
      <c r="AX1004" s="947"/>
      <c r="AY1004" s="947"/>
    </row>
    <row r="1005" spans="31:51" x14ac:dyDescent="0.25">
      <c r="AE1005" s="75"/>
      <c r="AF1005" s="82"/>
      <c r="AG1005" s="82"/>
      <c r="AH1005" s="82"/>
      <c r="AI1005" s="82"/>
      <c r="AJ1005" s="166"/>
      <c r="AK1005" s="82"/>
      <c r="AL1005" s="162"/>
      <c r="AM1005" s="162"/>
      <c r="AN1005" s="162"/>
      <c r="AO1005" s="162"/>
      <c r="AP1005" s="162"/>
      <c r="AQ1005" s="162"/>
      <c r="AR1005" s="710"/>
      <c r="AV1005" s="82"/>
      <c r="AW1005" s="947"/>
      <c r="AX1005" s="947"/>
      <c r="AY1005" s="947"/>
    </row>
    <row r="1006" spans="31:51" x14ac:dyDescent="0.25">
      <c r="AE1006" s="75"/>
      <c r="AF1006" s="82"/>
      <c r="AG1006" s="82"/>
      <c r="AH1006" s="82"/>
      <c r="AI1006" s="82"/>
      <c r="AJ1006" s="166"/>
      <c r="AK1006" s="82"/>
      <c r="AL1006" s="162"/>
      <c r="AM1006" s="162"/>
      <c r="AN1006" s="162"/>
      <c r="AO1006" s="162"/>
      <c r="AP1006" s="162"/>
      <c r="AQ1006" s="162"/>
      <c r="AR1006" s="710"/>
      <c r="AV1006" s="82"/>
      <c r="AW1006" s="947"/>
      <c r="AX1006" s="947"/>
      <c r="AY1006" s="947"/>
    </row>
    <row r="1007" spans="31:51" x14ac:dyDescent="0.25">
      <c r="AE1007" s="75"/>
      <c r="AF1007" s="82"/>
      <c r="AG1007" s="82"/>
      <c r="AH1007" s="82"/>
      <c r="AI1007" s="82"/>
      <c r="AJ1007" s="166"/>
      <c r="AK1007" s="82"/>
      <c r="AL1007" s="162"/>
      <c r="AM1007" s="162"/>
      <c r="AN1007" s="162"/>
      <c r="AO1007" s="162"/>
      <c r="AP1007" s="162"/>
      <c r="AQ1007" s="162"/>
      <c r="AR1007" s="710"/>
      <c r="AV1007" s="82"/>
      <c r="AW1007" s="947"/>
      <c r="AX1007" s="947"/>
      <c r="AY1007" s="947"/>
    </row>
    <row r="1008" spans="31:51" x14ac:dyDescent="0.25">
      <c r="AE1008" s="75"/>
      <c r="AF1008" s="82"/>
      <c r="AG1008" s="82"/>
      <c r="AH1008" s="82"/>
      <c r="AI1008" s="82"/>
      <c r="AJ1008" s="166"/>
      <c r="AK1008" s="82"/>
      <c r="AL1008" s="162"/>
      <c r="AM1008" s="162"/>
      <c r="AN1008" s="162"/>
      <c r="AO1008" s="162"/>
      <c r="AP1008" s="162"/>
      <c r="AQ1008" s="162"/>
      <c r="AR1008" s="710"/>
      <c r="AV1008" s="82"/>
      <c r="AW1008" s="947"/>
      <c r="AX1008" s="947"/>
      <c r="AY1008" s="947"/>
    </row>
    <row r="1009" spans="31:51" x14ac:dyDescent="0.25">
      <c r="AE1009" s="75"/>
      <c r="AF1009" s="82"/>
      <c r="AG1009" s="82"/>
      <c r="AH1009" s="82"/>
      <c r="AI1009" s="82"/>
      <c r="AJ1009" s="166"/>
      <c r="AK1009" s="82"/>
      <c r="AL1009" s="162"/>
      <c r="AM1009" s="162"/>
      <c r="AN1009" s="162"/>
      <c r="AO1009" s="162"/>
      <c r="AP1009" s="162"/>
      <c r="AQ1009" s="162"/>
      <c r="AR1009" s="710"/>
      <c r="AV1009" s="82"/>
      <c r="AW1009" s="947"/>
      <c r="AX1009" s="947"/>
      <c r="AY1009" s="947"/>
    </row>
    <row r="1010" spans="31:51" x14ac:dyDescent="0.25">
      <c r="AE1010" s="75"/>
      <c r="AF1010" s="82"/>
      <c r="AG1010" s="82"/>
      <c r="AH1010" s="82"/>
      <c r="AI1010" s="82"/>
      <c r="AJ1010" s="166"/>
      <c r="AK1010" s="82"/>
      <c r="AL1010" s="162"/>
      <c r="AM1010" s="162"/>
      <c r="AN1010" s="162"/>
      <c r="AO1010" s="162"/>
      <c r="AP1010" s="162"/>
      <c r="AQ1010" s="162"/>
      <c r="AR1010" s="710"/>
      <c r="AV1010" s="82"/>
      <c r="AW1010" s="947"/>
      <c r="AX1010" s="947"/>
      <c r="AY1010" s="947"/>
    </row>
    <row r="1011" spans="31:51" x14ac:dyDescent="0.25">
      <c r="AE1011" s="75"/>
      <c r="AF1011" s="82"/>
      <c r="AG1011" s="82"/>
      <c r="AH1011" s="82"/>
      <c r="AI1011" s="82"/>
      <c r="AJ1011" s="166"/>
      <c r="AK1011" s="82"/>
      <c r="AL1011" s="162"/>
      <c r="AM1011" s="162"/>
      <c r="AN1011" s="162"/>
      <c r="AO1011" s="162"/>
      <c r="AP1011" s="162"/>
      <c r="AQ1011" s="162"/>
      <c r="AR1011" s="710"/>
      <c r="AV1011" s="82"/>
      <c r="AW1011" s="947"/>
      <c r="AX1011" s="947"/>
      <c r="AY1011" s="947"/>
    </row>
    <row r="1012" spans="31:51" x14ac:dyDescent="0.25">
      <c r="AE1012" s="75"/>
      <c r="AF1012" s="82"/>
      <c r="AG1012" s="82"/>
      <c r="AH1012" s="82"/>
      <c r="AI1012" s="82"/>
      <c r="AJ1012" s="166"/>
      <c r="AK1012" s="82"/>
      <c r="AL1012" s="162"/>
      <c r="AM1012" s="162"/>
      <c r="AN1012" s="162"/>
      <c r="AO1012" s="162"/>
      <c r="AP1012" s="162"/>
      <c r="AQ1012" s="162"/>
      <c r="AR1012" s="710"/>
      <c r="AV1012" s="82"/>
      <c r="AW1012" s="947"/>
      <c r="AX1012" s="947"/>
      <c r="AY1012" s="947"/>
    </row>
    <row r="1013" spans="31:51" x14ac:dyDescent="0.25">
      <c r="AE1013" s="75"/>
      <c r="AF1013" s="82"/>
      <c r="AG1013" s="82"/>
      <c r="AH1013" s="82"/>
      <c r="AI1013" s="82"/>
      <c r="AJ1013" s="166"/>
      <c r="AK1013" s="82"/>
      <c r="AL1013" s="162"/>
      <c r="AM1013" s="162"/>
      <c r="AN1013" s="162"/>
      <c r="AO1013" s="162"/>
      <c r="AP1013" s="162"/>
      <c r="AQ1013" s="162"/>
      <c r="AR1013" s="710"/>
      <c r="AV1013" s="82"/>
      <c r="AW1013" s="947"/>
      <c r="AX1013" s="947"/>
      <c r="AY1013" s="947"/>
    </row>
    <row r="1014" spans="31:51" x14ac:dyDescent="0.25">
      <c r="AE1014" s="75"/>
      <c r="AF1014" s="82"/>
      <c r="AG1014" s="82"/>
      <c r="AH1014" s="82"/>
      <c r="AI1014" s="82"/>
      <c r="AJ1014" s="166"/>
      <c r="AK1014" s="82"/>
      <c r="AL1014" s="162"/>
      <c r="AM1014" s="162"/>
      <c r="AN1014" s="162"/>
      <c r="AO1014" s="162"/>
      <c r="AP1014" s="162"/>
      <c r="AQ1014" s="162"/>
      <c r="AR1014" s="710"/>
      <c r="AV1014" s="82"/>
      <c r="AW1014" s="947"/>
      <c r="AX1014" s="947"/>
      <c r="AY1014" s="947"/>
    </row>
    <row r="1015" spans="31:51" x14ac:dyDescent="0.25">
      <c r="AE1015" s="75"/>
      <c r="AF1015" s="82"/>
      <c r="AG1015" s="82"/>
      <c r="AH1015" s="82"/>
      <c r="AI1015" s="82"/>
      <c r="AJ1015" s="166"/>
      <c r="AK1015" s="82"/>
      <c r="AL1015" s="162"/>
      <c r="AM1015" s="162"/>
      <c r="AN1015" s="162"/>
      <c r="AO1015" s="162"/>
      <c r="AP1015" s="162"/>
      <c r="AQ1015" s="162"/>
      <c r="AR1015" s="710"/>
      <c r="AV1015" s="82"/>
      <c r="AW1015" s="947"/>
      <c r="AX1015" s="947"/>
      <c r="AY1015" s="947"/>
    </row>
    <row r="1016" spans="31:51" x14ac:dyDescent="0.25">
      <c r="AE1016" s="75"/>
      <c r="AF1016" s="82"/>
      <c r="AG1016" s="82"/>
      <c r="AH1016" s="82"/>
      <c r="AI1016" s="82"/>
      <c r="AJ1016" s="166"/>
      <c r="AK1016" s="82"/>
      <c r="AL1016" s="162"/>
      <c r="AM1016" s="162"/>
      <c r="AN1016" s="162"/>
      <c r="AO1016" s="162"/>
      <c r="AP1016" s="162"/>
      <c r="AQ1016" s="162"/>
      <c r="AR1016" s="710"/>
      <c r="AV1016" s="82"/>
      <c r="AW1016" s="947"/>
      <c r="AX1016" s="947"/>
      <c r="AY1016" s="947"/>
    </row>
    <row r="1017" spans="31:51" x14ac:dyDescent="0.25">
      <c r="AE1017" s="75"/>
      <c r="AF1017" s="82"/>
      <c r="AG1017" s="82"/>
      <c r="AH1017" s="82"/>
      <c r="AI1017" s="82"/>
      <c r="AJ1017" s="166"/>
      <c r="AK1017" s="82"/>
      <c r="AL1017" s="162"/>
      <c r="AM1017" s="162"/>
      <c r="AN1017" s="162"/>
      <c r="AO1017" s="162"/>
      <c r="AP1017" s="162"/>
      <c r="AQ1017" s="162"/>
      <c r="AR1017" s="710"/>
      <c r="AV1017" s="82"/>
      <c r="AW1017" s="947"/>
      <c r="AX1017" s="947"/>
      <c r="AY1017" s="947"/>
    </row>
    <row r="1018" spans="31:51" x14ac:dyDescent="0.25">
      <c r="AE1018" s="75"/>
      <c r="AF1018" s="82"/>
      <c r="AG1018" s="82"/>
      <c r="AH1018" s="82"/>
      <c r="AI1018" s="82"/>
      <c r="AJ1018" s="166"/>
      <c r="AK1018" s="82"/>
      <c r="AL1018" s="162"/>
      <c r="AM1018" s="162"/>
      <c r="AN1018" s="162"/>
      <c r="AO1018" s="162"/>
      <c r="AP1018" s="162"/>
      <c r="AQ1018" s="162"/>
      <c r="AR1018" s="710"/>
      <c r="AV1018" s="82"/>
      <c r="AW1018" s="947"/>
      <c r="AX1018" s="947"/>
      <c r="AY1018" s="947"/>
    </row>
    <row r="1019" spans="31:51" x14ac:dyDescent="0.25">
      <c r="AE1019" s="75"/>
      <c r="AF1019" s="82"/>
      <c r="AG1019" s="82"/>
      <c r="AH1019" s="82"/>
      <c r="AI1019" s="82"/>
      <c r="AJ1019" s="166"/>
      <c r="AK1019" s="82"/>
      <c r="AL1019" s="162"/>
      <c r="AM1019" s="162"/>
      <c r="AN1019" s="162"/>
      <c r="AO1019" s="162"/>
      <c r="AP1019" s="162"/>
      <c r="AQ1019" s="162"/>
      <c r="AR1019" s="710"/>
      <c r="AV1019" s="82"/>
      <c r="AW1019" s="947"/>
      <c r="AX1019" s="947"/>
      <c r="AY1019" s="947"/>
    </row>
    <row r="1020" spans="31:51" x14ac:dyDescent="0.25">
      <c r="AE1020" s="75"/>
      <c r="AF1020" s="82"/>
      <c r="AG1020" s="82"/>
      <c r="AH1020" s="82"/>
      <c r="AI1020" s="82"/>
      <c r="AJ1020" s="166"/>
      <c r="AK1020" s="82"/>
      <c r="AL1020" s="162"/>
      <c r="AM1020" s="162"/>
      <c r="AN1020" s="162"/>
      <c r="AO1020" s="162"/>
      <c r="AP1020" s="162"/>
      <c r="AQ1020" s="162"/>
      <c r="AR1020" s="710"/>
      <c r="AV1020" s="82"/>
      <c r="AW1020" s="947"/>
      <c r="AX1020" s="947"/>
      <c r="AY1020" s="947"/>
    </row>
    <row r="1021" spans="31:51" x14ac:dyDescent="0.25">
      <c r="AE1021" s="75"/>
      <c r="AF1021" s="82"/>
      <c r="AG1021" s="82"/>
      <c r="AH1021" s="82"/>
      <c r="AI1021" s="82"/>
      <c r="AJ1021" s="166"/>
      <c r="AK1021" s="82"/>
      <c r="AL1021" s="162"/>
      <c r="AM1021" s="162"/>
      <c r="AN1021" s="162"/>
      <c r="AO1021" s="162"/>
      <c r="AP1021" s="162"/>
      <c r="AQ1021" s="162"/>
      <c r="AR1021" s="710"/>
      <c r="AV1021" s="82"/>
      <c r="AW1021" s="947"/>
      <c r="AX1021" s="947"/>
      <c r="AY1021" s="947"/>
    </row>
    <row r="1022" spans="31:51" x14ac:dyDescent="0.25">
      <c r="AE1022" s="75"/>
      <c r="AF1022" s="82"/>
      <c r="AG1022" s="82"/>
      <c r="AH1022" s="82"/>
      <c r="AI1022" s="82"/>
      <c r="AJ1022" s="166"/>
      <c r="AK1022" s="82"/>
      <c r="AL1022" s="162"/>
      <c r="AM1022" s="162"/>
      <c r="AN1022" s="162"/>
      <c r="AO1022" s="162"/>
      <c r="AP1022" s="162"/>
      <c r="AQ1022" s="162"/>
      <c r="AR1022" s="710"/>
      <c r="AV1022" s="82"/>
      <c r="AW1022" s="947"/>
      <c r="AX1022" s="947"/>
      <c r="AY1022" s="947"/>
    </row>
    <row r="1023" spans="31:51" x14ac:dyDescent="0.25">
      <c r="AE1023" s="75"/>
      <c r="AF1023" s="82"/>
      <c r="AG1023" s="82"/>
      <c r="AH1023" s="82"/>
      <c r="AI1023" s="82"/>
      <c r="AJ1023" s="166"/>
      <c r="AK1023" s="82"/>
      <c r="AL1023" s="162"/>
      <c r="AM1023" s="162"/>
      <c r="AN1023" s="162"/>
      <c r="AO1023" s="162"/>
      <c r="AP1023" s="162"/>
      <c r="AQ1023" s="162"/>
      <c r="AR1023" s="710"/>
      <c r="AV1023" s="82"/>
      <c r="AW1023" s="947"/>
      <c r="AX1023" s="947"/>
      <c r="AY1023" s="947"/>
    </row>
    <row r="1024" spans="31:51" x14ac:dyDescent="0.25">
      <c r="AE1024" s="75"/>
      <c r="AF1024" s="82"/>
      <c r="AG1024" s="82"/>
      <c r="AH1024" s="82"/>
      <c r="AI1024" s="82"/>
      <c r="AJ1024" s="166"/>
      <c r="AK1024" s="82"/>
      <c r="AL1024" s="162"/>
      <c r="AM1024" s="162"/>
      <c r="AN1024" s="162"/>
      <c r="AO1024" s="162"/>
      <c r="AP1024" s="162"/>
      <c r="AQ1024" s="162"/>
      <c r="AR1024" s="710"/>
      <c r="AV1024" s="82"/>
      <c r="AW1024" s="947"/>
      <c r="AX1024" s="947"/>
      <c r="AY1024" s="947"/>
    </row>
    <row r="1025" spans="31:51" x14ac:dyDescent="0.25">
      <c r="AE1025" s="75"/>
      <c r="AF1025" s="82"/>
      <c r="AG1025" s="82"/>
      <c r="AH1025" s="82"/>
      <c r="AI1025" s="82"/>
      <c r="AJ1025" s="166"/>
      <c r="AK1025" s="82"/>
      <c r="AL1025" s="162"/>
      <c r="AM1025" s="162"/>
      <c r="AN1025" s="162"/>
      <c r="AO1025" s="162"/>
      <c r="AP1025" s="162"/>
      <c r="AQ1025" s="162"/>
      <c r="AR1025" s="710"/>
      <c r="AV1025" s="82"/>
      <c r="AW1025" s="947"/>
      <c r="AX1025" s="947"/>
      <c r="AY1025" s="947"/>
    </row>
    <row r="1026" spans="31:51" x14ac:dyDescent="0.25">
      <c r="AE1026" s="75"/>
      <c r="AF1026" s="82"/>
      <c r="AG1026" s="82"/>
      <c r="AH1026" s="82"/>
      <c r="AI1026" s="82"/>
      <c r="AJ1026" s="166"/>
      <c r="AK1026" s="82"/>
      <c r="AL1026" s="162"/>
      <c r="AM1026" s="162"/>
      <c r="AN1026" s="162"/>
      <c r="AO1026" s="162"/>
      <c r="AP1026" s="162"/>
      <c r="AQ1026" s="162"/>
      <c r="AR1026" s="710"/>
      <c r="AV1026" s="82"/>
      <c r="AW1026" s="947"/>
      <c r="AX1026" s="947"/>
      <c r="AY1026" s="947"/>
    </row>
    <row r="1027" spans="31:51" x14ac:dyDescent="0.25">
      <c r="AE1027" s="75"/>
      <c r="AF1027" s="82"/>
      <c r="AG1027" s="82"/>
      <c r="AH1027" s="82"/>
      <c r="AI1027" s="82"/>
      <c r="AJ1027" s="166"/>
      <c r="AK1027" s="82"/>
      <c r="AL1027" s="162"/>
      <c r="AM1027" s="162"/>
      <c r="AN1027" s="162"/>
      <c r="AO1027" s="162"/>
      <c r="AP1027" s="162"/>
      <c r="AQ1027" s="162"/>
      <c r="AR1027" s="710"/>
      <c r="AV1027" s="82"/>
      <c r="AW1027" s="947"/>
      <c r="AX1027" s="947"/>
      <c r="AY1027" s="947"/>
    </row>
    <row r="1028" spans="31:51" x14ac:dyDescent="0.25">
      <c r="AE1028" s="75"/>
      <c r="AF1028" s="82"/>
      <c r="AG1028" s="82"/>
      <c r="AH1028" s="82"/>
      <c r="AI1028" s="82"/>
      <c r="AJ1028" s="166"/>
      <c r="AK1028" s="82"/>
      <c r="AL1028" s="162"/>
      <c r="AM1028" s="162"/>
      <c r="AN1028" s="162"/>
      <c r="AO1028" s="162"/>
      <c r="AP1028" s="162"/>
      <c r="AQ1028" s="162"/>
      <c r="AR1028" s="710"/>
      <c r="AV1028" s="82"/>
      <c r="AW1028" s="947"/>
      <c r="AX1028" s="947"/>
      <c r="AY1028" s="947"/>
    </row>
    <row r="1029" spans="31:51" x14ac:dyDescent="0.25">
      <c r="AE1029" s="75"/>
      <c r="AF1029" s="82"/>
      <c r="AG1029" s="82"/>
      <c r="AH1029" s="82"/>
      <c r="AI1029" s="82"/>
      <c r="AJ1029" s="166"/>
      <c r="AK1029" s="82"/>
      <c r="AL1029" s="162"/>
      <c r="AM1029" s="162"/>
      <c r="AN1029" s="162"/>
      <c r="AO1029" s="162"/>
      <c r="AP1029" s="162"/>
      <c r="AQ1029" s="162"/>
      <c r="AR1029" s="710"/>
      <c r="AV1029" s="82"/>
      <c r="AW1029" s="947"/>
      <c r="AX1029" s="947"/>
      <c r="AY1029" s="947"/>
    </row>
    <row r="1030" spans="31:51" x14ac:dyDescent="0.25">
      <c r="AE1030" s="75"/>
      <c r="AF1030" s="82"/>
      <c r="AG1030" s="82"/>
      <c r="AH1030" s="82"/>
      <c r="AI1030" s="82"/>
      <c r="AJ1030" s="166"/>
      <c r="AK1030" s="82"/>
      <c r="AL1030" s="162"/>
      <c r="AM1030" s="162"/>
      <c r="AN1030" s="162"/>
      <c r="AO1030" s="162"/>
      <c r="AP1030" s="162"/>
      <c r="AQ1030" s="162"/>
      <c r="AR1030" s="710"/>
      <c r="AV1030" s="82"/>
      <c r="AW1030" s="947"/>
      <c r="AX1030" s="947"/>
      <c r="AY1030" s="947"/>
    </row>
    <row r="1031" spans="31:51" x14ac:dyDescent="0.25">
      <c r="AE1031" s="75"/>
      <c r="AF1031" s="82"/>
      <c r="AG1031" s="82"/>
      <c r="AH1031" s="82"/>
      <c r="AI1031" s="82"/>
      <c r="AJ1031" s="166"/>
      <c r="AK1031" s="82"/>
      <c r="AL1031" s="162"/>
      <c r="AM1031" s="162"/>
      <c r="AN1031" s="162"/>
      <c r="AO1031" s="162"/>
      <c r="AP1031" s="162"/>
      <c r="AQ1031" s="162"/>
      <c r="AR1031" s="710"/>
      <c r="AV1031" s="82"/>
      <c r="AW1031" s="947"/>
      <c r="AX1031" s="947"/>
      <c r="AY1031" s="947"/>
    </row>
    <row r="1032" spans="31:51" x14ac:dyDescent="0.25">
      <c r="AE1032" s="75"/>
      <c r="AF1032" s="82"/>
      <c r="AG1032" s="82"/>
      <c r="AH1032" s="82"/>
      <c r="AI1032" s="82"/>
      <c r="AJ1032" s="166"/>
      <c r="AK1032" s="82"/>
      <c r="AL1032" s="162"/>
      <c r="AM1032" s="162"/>
      <c r="AN1032" s="162"/>
      <c r="AO1032" s="162"/>
      <c r="AP1032" s="162"/>
      <c r="AQ1032" s="162"/>
      <c r="AR1032" s="710"/>
      <c r="AV1032" s="82"/>
      <c r="AW1032" s="947"/>
      <c r="AX1032" s="947"/>
      <c r="AY1032" s="947"/>
    </row>
    <row r="1033" spans="31:51" x14ac:dyDescent="0.25">
      <c r="AE1033" s="75"/>
      <c r="AF1033" s="82"/>
      <c r="AG1033" s="82"/>
      <c r="AH1033" s="82"/>
      <c r="AI1033" s="82"/>
      <c r="AJ1033" s="166"/>
      <c r="AK1033" s="82"/>
      <c r="AL1033" s="162"/>
      <c r="AM1033" s="162"/>
      <c r="AN1033" s="162"/>
      <c r="AO1033" s="162"/>
      <c r="AP1033" s="162"/>
      <c r="AQ1033" s="162"/>
      <c r="AR1033" s="710"/>
      <c r="AV1033" s="82"/>
      <c r="AW1033" s="947"/>
      <c r="AX1033" s="947"/>
      <c r="AY1033" s="947"/>
    </row>
    <row r="1034" spans="31:51" x14ac:dyDescent="0.25">
      <c r="AE1034" s="75"/>
      <c r="AF1034" s="82"/>
      <c r="AG1034" s="82"/>
      <c r="AH1034" s="82"/>
      <c r="AI1034" s="82"/>
      <c r="AJ1034" s="166"/>
      <c r="AK1034" s="82"/>
      <c r="AL1034" s="162"/>
      <c r="AM1034" s="162"/>
      <c r="AN1034" s="162"/>
      <c r="AO1034" s="162"/>
      <c r="AP1034" s="162"/>
      <c r="AQ1034" s="162"/>
      <c r="AR1034" s="710"/>
      <c r="AV1034" s="82"/>
      <c r="AW1034" s="947"/>
      <c r="AX1034" s="947"/>
      <c r="AY1034" s="947"/>
    </row>
    <row r="1035" spans="31:51" x14ac:dyDescent="0.25">
      <c r="AE1035" s="75"/>
      <c r="AF1035" s="82"/>
      <c r="AG1035" s="82"/>
      <c r="AH1035" s="82"/>
      <c r="AI1035" s="82"/>
      <c r="AJ1035" s="166"/>
      <c r="AK1035" s="82"/>
      <c r="AL1035" s="162"/>
      <c r="AM1035" s="162"/>
      <c r="AN1035" s="162"/>
      <c r="AO1035" s="162"/>
      <c r="AP1035" s="162"/>
      <c r="AQ1035" s="162"/>
      <c r="AR1035" s="710"/>
      <c r="AV1035" s="82"/>
      <c r="AW1035" s="947"/>
      <c r="AX1035" s="947"/>
      <c r="AY1035" s="947"/>
    </row>
    <row r="1036" spans="31:51" x14ac:dyDescent="0.25">
      <c r="AE1036" s="75"/>
      <c r="AF1036" s="82"/>
      <c r="AG1036" s="82"/>
      <c r="AH1036" s="82"/>
      <c r="AI1036" s="82"/>
      <c r="AJ1036" s="166"/>
      <c r="AK1036" s="82"/>
      <c r="AL1036" s="162"/>
      <c r="AM1036" s="162"/>
      <c r="AN1036" s="162"/>
      <c r="AO1036" s="162"/>
      <c r="AP1036" s="162"/>
      <c r="AQ1036" s="162"/>
      <c r="AR1036" s="710"/>
      <c r="AV1036" s="82"/>
      <c r="AW1036" s="947"/>
      <c r="AX1036" s="947"/>
      <c r="AY1036" s="947"/>
    </row>
    <row r="1037" spans="31:51" x14ac:dyDescent="0.25">
      <c r="AE1037" s="75"/>
      <c r="AF1037" s="82"/>
      <c r="AG1037" s="82"/>
      <c r="AH1037" s="82"/>
      <c r="AI1037" s="82"/>
      <c r="AJ1037" s="166"/>
      <c r="AK1037" s="82"/>
      <c r="AL1037" s="162"/>
      <c r="AM1037" s="162"/>
      <c r="AN1037" s="162"/>
      <c r="AO1037" s="162"/>
      <c r="AP1037" s="162"/>
      <c r="AQ1037" s="162"/>
      <c r="AR1037" s="710"/>
      <c r="AV1037" s="82"/>
      <c r="AW1037" s="947"/>
      <c r="AX1037" s="947"/>
      <c r="AY1037" s="947"/>
    </row>
    <row r="1038" spans="31:51" x14ac:dyDescent="0.25">
      <c r="AE1038" s="75"/>
      <c r="AF1038" s="82"/>
      <c r="AG1038" s="82"/>
      <c r="AH1038" s="82"/>
      <c r="AI1038" s="82"/>
      <c r="AJ1038" s="166"/>
      <c r="AK1038" s="82"/>
      <c r="AL1038" s="162"/>
      <c r="AM1038" s="162"/>
      <c r="AN1038" s="162"/>
      <c r="AO1038" s="162"/>
      <c r="AP1038" s="162"/>
      <c r="AQ1038" s="162"/>
      <c r="AR1038" s="710"/>
      <c r="AV1038" s="82"/>
      <c r="AW1038" s="947"/>
      <c r="AX1038" s="947"/>
      <c r="AY1038" s="947"/>
    </row>
    <row r="1039" spans="31:51" x14ac:dyDescent="0.25">
      <c r="AE1039" s="75"/>
      <c r="AF1039" s="82"/>
      <c r="AG1039" s="82"/>
      <c r="AH1039" s="82"/>
      <c r="AI1039" s="82"/>
      <c r="AJ1039" s="166"/>
      <c r="AK1039" s="82"/>
      <c r="AL1039" s="162"/>
      <c r="AM1039" s="162"/>
      <c r="AN1039" s="162"/>
      <c r="AO1039" s="162"/>
      <c r="AP1039" s="162"/>
      <c r="AQ1039" s="162"/>
      <c r="AR1039" s="710"/>
      <c r="AV1039" s="82"/>
      <c r="AW1039" s="947"/>
      <c r="AX1039" s="947"/>
      <c r="AY1039" s="947"/>
    </row>
    <row r="1040" spans="31:51" x14ac:dyDescent="0.25">
      <c r="AE1040" s="75"/>
      <c r="AF1040" s="82"/>
      <c r="AG1040" s="82"/>
      <c r="AH1040" s="82"/>
      <c r="AI1040" s="82"/>
      <c r="AJ1040" s="166"/>
      <c r="AK1040" s="82"/>
      <c r="AL1040" s="162"/>
      <c r="AM1040" s="162"/>
      <c r="AN1040" s="162"/>
      <c r="AO1040" s="162"/>
      <c r="AP1040" s="162"/>
      <c r="AQ1040" s="162"/>
      <c r="AR1040" s="710"/>
      <c r="AV1040" s="82"/>
      <c r="AW1040" s="947"/>
      <c r="AX1040" s="947"/>
      <c r="AY1040" s="947"/>
    </row>
    <row r="1041" spans="31:51" x14ac:dyDescent="0.25">
      <c r="AE1041" s="75"/>
      <c r="AF1041" s="82"/>
      <c r="AG1041" s="82"/>
      <c r="AH1041" s="82"/>
      <c r="AI1041" s="82"/>
      <c r="AJ1041" s="166"/>
      <c r="AK1041" s="82"/>
      <c r="AL1041" s="162"/>
      <c r="AM1041" s="162"/>
      <c r="AN1041" s="162"/>
      <c r="AO1041" s="162"/>
      <c r="AP1041" s="162"/>
      <c r="AQ1041" s="162"/>
      <c r="AR1041" s="710"/>
      <c r="AV1041" s="82"/>
      <c r="AW1041" s="947"/>
      <c r="AX1041" s="947"/>
      <c r="AY1041" s="947"/>
    </row>
    <row r="1042" spans="31:51" x14ac:dyDescent="0.25">
      <c r="AE1042" s="75"/>
      <c r="AF1042" s="82"/>
      <c r="AG1042" s="82"/>
      <c r="AH1042" s="82"/>
      <c r="AI1042" s="82"/>
      <c r="AJ1042" s="166"/>
      <c r="AK1042" s="82"/>
      <c r="AL1042" s="162"/>
      <c r="AM1042" s="162"/>
      <c r="AN1042" s="162"/>
      <c r="AO1042" s="162"/>
      <c r="AP1042" s="162"/>
      <c r="AQ1042" s="162"/>
      <c r="AR1042" s="710"/>
      <c r="AV1042" s="82"/>
      <c r="AW1042" s="947"/>
      <c r="AX1042" s="947"/>
      <c r="AY1042" s="947"/>
    </row>
    <row r="1043" spans="31:51" x14ac:dyDescent="0.25">
      <c r="AE1043" s="75"/>
      <c r="AF1043" s="82"/>
      <c r="AG1043" s="82"/>
      <c r="AH1043" s="82"/>
      <c r="AI1043" s="82"/>
      <c r="AJ1043" s="166"/>
      <c r="AK1043" s="82"/>
      <c r="AL1043" s="162"/>
      <c r="AM1043" s="162"/>
      <c r="AN1043" s="162"/>
      <c r="AO1043" s="162"/>
      <c r="AP1043" s="162"/>
      <c r="AQ1043" s="162"/>
      <c r="AR1043" s="710"/>
      <c r="AV1043" s="82"/>
      <c r="AW1043" s="947"/>
      <c r="AX1043" s="947"/>
      <c r="AY1043" s="947"/>
    </row>
    <row r="1044" spans="31:51" x14ac:dyDescent="0.25">
      <c r="AE1044" s="75"/>
      <c r="AF1044" s="82"/>
      <c r="AG1044" s="82"/>
      <c r="AH1044" s="82"/>
      <c r="AI1044" s="82"/>
      <c r="AJ1044" s="166"/>
      <c r="AK1044" s="82"/>
      <c r="AL1044" s="162"/>
      <c r="AM1044" s="162"/>
      <c r="AN1044" s="162"/>
      <c r="AO1044" s="162"/>
      <c r="AP1044" s="162"/>
      <c r="AQ1044" s="162"/>
      <c r="AR1044" s="710"/>
      <c r="AV1044" s="82"/>
      <c r="AW1044" s="947"/>
      <c r="AX1044" s="947"/>
      <c r="AY1044" s="947"/>
    </row>
    <row r="1045" spans="31:51" x14ac:dyDescent="0.25">
      <c r="AE1045" s="75"/>
      <c r="AF1045" s="82"/>
      <c r="AG1045" s="82"/>
      <c r="AH1045" s="82"/>
      <c r="AI1045" s="82"/>
      <c r="AJ1045" s="166"/>
      <c r="AK1045" s="82"/>
      <c r="AL1045" s="162"/>
      <c r="AM1045" s="162"/>
      <c r="AN1045" s="162"/>
      <c r="AO1045" s="162"/>
      <c r="AP1045" s="162"/>
      <c r="AQ1045" s="162"/>
      <c r="AR1045" s="710"/>
      <c r="AV1045" s="82"/>
      <c r="AW1045" s="947"/>
      <c r="AX1045" s="947"/>
      <c r="AY1045" s="947"/>
    </row>
    <row r="1046" spans="31:51" x14ac:dyDescent="0.25">
      <c r="AE1046" s="75"/>
      <c r="AF1046" s="82"/>
      <c r="AG1046" s="82"/>
      <c r="AH1046" s="82"/>
      <c r="AI1046" s="82"/>
      <c r="AJ1046" s="166"/>
      <c r="AK1046" s="82"/>
      <c r="AL1046" s="162"/>
      <c r="AM1046" s="162"/>
      <c r="AN1046" s="162"/>
      <c r="AO1046" s="162"/>
      <c r="AP1046" s="162"/>
      <c r="AQ1046" s="162"/>
      <c r="AR1046" s="710"/>
      <c r="AV1046" s="82"/>
      <c r="AW1046" s="947"/>
      <c r="AX1046" s="947"/>
      <c r="AY1046" s="947"/>
    </row>
    <row r="1047" spans="31:51" x14ac:dyDescent="0.25">
      <c r="AE1047" s="75"/>
      <c r="AF1047" s="82"/>
      <c r="AG1047" s="82"/>
      <c r="AH1047" s="82"/>
      <c r="AI1047" s="82"/>
      <c r="AJ1047" s="166"/>
      <c r="AK1047" s="82"/>
      <c r="AL1047" s="162"/>
      <c r="AM1047" s="162"/>
      <c r="AN1047" s="162"/>
      <c r="AO1047" s="162"/>
      <c r="AP1047" s="162"/>
      <c r="AQ1047" s="162"/>
      <c r="AR1047" s="710"/>
      <c r="AV1047" s="82"/>
      <c r="AW1047" s="947"/>
      <c r="AX1047" s="947"/>
      <c r="AY1047" s="947"/>
    </row>
    <row r="1048" spans="31:51" x14ac:dyDescent="0.25">
      <c r="AE1048" s="75"/>
      <c r="AF1048" s="82"/>
      <c r="AG1048" s="82"/>
      <c r="AH1048" s="82"/>
      <c r="AI1048" s="82"/>
      <c r="AJ1048" s="166"/>
      <c r="AK1048" s="82"/>
      <c r="AL1048" s="162"/>
      <c r="AM1048" s="162"/>
      <c r="AN1048" s="162"/>
      <c r="AO1048" s="162"/>
      <c r="AP1048" s="162"/>
      <c r="AQ1048" s="162"/>
      <c r="AR1048" s="710"/>
      <c r="AV1048" s="82"/>
      <c r="AW1048" s="947"/>
      <c r="AX1048" s="947"/>
      <c r="AY1048" s="947"/>
    </row>
    <row r="1049" spans="31:51" x14ac:dyDescent="0.25">
      <c r="AE1049" s="75"/>
      <c r="AF1049" s="82"/>
      <c r="AG1049" s="82"/>
      <c r="AH1049" s="82"/>
      <c r="AI1049" s="82"/>
      <c r="AJ1049" s="166"/>
      <c r="AK1049" s="82"/>
      <c r="AL1049" s="162"/>
      <c r="AM1049" s="162"/>
      <c r="AN1049" s="162"/>
      <c r="AO1049" s="162"/>
      <c r="AP1049" s="162"/>
      <c r="AQ1049" s="162"/>
      <c r="AR1049" s="710"/>
      <c r="AV1049" s="82"/>
      <c r="AW1049" s="947"/>
      <c r="AX1049" s="947"/>
      <c r="AY1049" s="947"/>
    </row>
    <row r="1050" spans="31:51" x14ac:dyDescent="0.25">
      <c r="AE1050" s="75"/>
      <c r="AF1050" s="82"/>
      <c r="AG1050" s="82"/>
      <c r="AH1050" s="82"/>
      <c r="AI1050" s="82"/>
      <c r="AJ1050" s="166"/>
      <c r="AK1050" s="82"/>
      <c r="AL1050" s="162"/>
      <c r="AM1050" s="162"/>
      <c r="AN1050" s="162"/>
      <c r="AO1050" s="162"/>
      <c r="AP1050" s="162"/>
      <c r="AQ1050" s="162"/>
      <c r="AR1050" s="710"/>
      <c r="AV1050" s="82"/>
      <c r="AW1050" s="947"/>
      <c r="AX1050" s="947"/>
      <c r="AY1050" s="947"/>
    </row>
    <row r="1051" spans="31:51" x14ac:dyDescent="0.25">
      <c r="AE1051" s="75"/>
      <c r="AF1051" s="82"/>
      <c r="AG1051" s="82"/>
      <c r="AH1051" s="82"/>
      <c r="AI1051" s="82"/>
      <c r="AJ1051" s="166"/>
      <c r="AK1051" s="82"/>
      <c r="AL1051" s="162"/>
      <c r="AM1051" s="162"/>
      <c r="AN1051" s="162"/>
      <c r="AO1051" s="162"/>
      <c r="AP1051" s="162"/>
      <c r="AQ1051" s="162"/>
      <c r="AR1051" s="710"/>
      <c r="AV1051" s="82"/>
      <c r="AW1051" s="947"/>
      <c r="AX1051" s="947"/>
      <c r="AY1051" s="947"/>
    </row>
    <row r="1052" spans="31:51" x14ac:dyDescent="0.25">
      <c r="AE1052" s="75"/>
      <c r="AF1052" s="82"/>
      <c r="AG1052" s="82"/>
      <c r="AH1052" s="82"/>
      <c r="AI1052" s="82"/>
      <c r="AJ1052" s="166"/>
      <c r="AK1052" s="82"/>
      <c r="AL1052" s="162"/>
      <c r="AM1052" s="162"/>
      <c r="AN1052" s="162"/>
      <c r="AO1052" s="162"/>
      <c r="AP1052" s="162"/>
      <c r="AQ1052" s="162"/>
      <c r="AR1052" s="710"/>
      <c r="AV1052" s="82"/>
      <c r="AW1052" s="947"/>
      <c r="AX1052" s="947"/>
      <c r="AY1052" s="947"/>
    </row>
    <row r="1053" spans="31:51" x14ac:dyDescent="0.25">
      <c r="AE1053" s="75"/>
      <c r="AF1053" s="82"/>
      <c r="AG1053" s="82"/>
      <c r="AH1053" s="82"/>
      <c r="AI1053" s="82"/>
      <c r="AJ1053" s="166"/>
      <c r="AK1053" s="82"/>
      <c r="AL1053" s="162"/>
      <c r="AM1053" s="162"/>
      <c r="AN1053" s="162"/>
      <c r="AO1053" s="162"/>
      <c r="AP1053" s="162"/>
      <c r="AQ1053" s="162"/>
      <c r="AR1053" s="710"/>
      <c r="AV1053" s="82"/>
      <c r="AW1053" s="947"/>
      <c r="AX1053" s="947"/>
      <c r="AY1053" s="947"/>
    </row>
    <row r="1054" spans="31:51" x14ac:dyDescent="0.25">
      <c r="AE1054" s="75"/>
      <c r="AF1054" s="82"/>
      <c r="AG1054" s="82"/>
      <c r="AH1054" s="82"/>
      <c r="AI1054" s="82"/>
      <c r="AJ1054" s="166"/>
      <c r="AK1054" s="82"/>
      <c r="AL1054" s="162"/>
      <c r="AM1054" s="162"/>
      <c r="AN1054" s="162"/>
      <c r="AO1054" s="162"/>
      <c r="AP1054" s="162"/>
      <c r="AQ1054" s="162"/>
      <c r="AR1054" s="710"/>
      <c r="AV1054" s="82"/>
      <c r="AW1054" s="947"/>
      <c r="AX1054" s="947"/>
      <c r="AY1054" s="947"/>
    </row>
    <row r="1055" spans="31:51" x14ac:dyDescent="0.25">
      <c r="AE1055" s="75"/>
      <c r="AF1055" s="82"/>
      <c r="AG1055" s="82"/>
      <c r="AH1055" s="82"/>
      <c r="AI1055" s="82"/>
      <c r="AJ1055" s="166"/>
      <c r="AK1055" s="82"/>
      <c r="AL1055" s="162"/>
      <c r="AM1055" s="162"/>
      <c r="AN1055" s="162"/>
      <c r="AO1055" s="162"/>
      <c r="AP1055" s="162"/>
      <c r="AQ1055" s="162"/>
      <c r="AR1055" s="710"/>
      <c r="AV1055" s="82"/>
      <c r="AW1055" s="947"/>
      <c r="AX1055" s="947"/>
      <c r="AY1055" s="947"/>
    </row>
    <row r="1056" spans="31:51" x14ac:dyDescent="0.25">
      <c r="AE1056" s="75"/>
      <c r="AF1056" s="82"/>
      <c r="AG1056" s="82"/>
      <c r="AH1056" s="82"/>
      <c r="AI1056" s="82"/>
      <c r="AJ1056" s="166"/>
      <c r="AK1056" s="82"/>
      <c r="AL1056" s="162"/>
      <c r="AM1056" s="162"/>
      <c r="AN1056" s="162"/>
      <c r="AO1056" s="162"/>
      <c r="AP1056" s="162"/>
      <c r="AQ1056" s="162"/>
      <c r="AR1056" s="710"/>
      <c r="AV1056" s="82"/>
      <c r="AW1056" s="947"/>
      <c r="AX1056" s="947"/>
      <c r="AY1056" s="947"/>
    </row>
    <row r="1057" spans="31:51" x14ac:dyDescent="0.25">
      <c r="AE1057" s="75"/>
      <c r="AF1057" s="82"/>
      <c r="AG1057" s="82"/>
      <c r="AH1057" s="82"/>
      <c r="AI1057" s="82"/>
      <c r="AJ1057" s="166"/>
      <c r="AK1057" s="82"/>
      <c r="AL1057" s="162"/>
      <c r="AM1057" s="162"/>
      <c r="AN1057" s="162"/>
      <c r="AO1057" s="162"/>
      <c r="AP1057" s="162"/>
      <c r="AQ1057" s="162"/>
      <c r="AR1057" s="710"/>
      <c r="AV1057" s="82"/>
      <c r="AW1057" s="947"/>
      <c r="AX1057" s="947"/>
      <c r="AY1057" s="947"/>
    </row>
    <row r="1058" spans="31:51" x14ac:dyDescent="0.25">
      <c r="AE1058" s="75"/>
      <c r="AF1058" s="82"/>
      <c r="AG1058" s="82"/>
      <c r="AH1058" s="82"/>
      <c r="AI1058" s="82"/>
      <c r="AJ1058" s="166"/>
      <c r="AK1058" s="82"/>
      <c r="AL1058" s="162"/>
      <c r="AM1058" s="162"/>
      <c r="AN1058" s="162"/>
      <c r="AO1058" s="162"/>
      <c r="AP1058" s="162"/>
      <c r="AQ1058" s="162"/>
      <c r="AR1058" s="710"/>
      <c r="AV1058" s="82"/>
      <c r="AW1058" s="947"/>
      <c r="AX1058" s="947"/>
      <c r="AY1058" s="947"/>
    </row>
    <row r="1059" spans="31:51" x14ac:dyDescent="0.25">
      <c r="AE1059" s="75"/>
      <c r="AF1059" s="82"/>
      <c r="AG1059" s="82"/>
      <c r="AH1059" s="82"/>
      <c r="AI1059" s="82"/>
      <c r="AJ1059" s="166"/>
      <c r="AK1059" s="82"/>
      <c r="AL1059" s="162"/>
      <c r="AM1059" s="162"/>
      <c r="AN1059" s="162"/>
      <c r="AO1059" s="162"/>
      <c r="AP1059" s="162"/>
      <c r="AQ1059" s="162"/>
      <c r="AR1059" s="710"/>
      <c r="AV1059" s="82"/>
      <c r="AW1059" s="947"/>
      <c r="AX1059" s="947"/>
      <c r="AY1059" s="947"/>
    </row>
    <row r="1060" spans="31:51" x14ac:dyDescent="0.25">
      <c r="AE1060" s="75"/>
      <c r="AF1060" s="82"/>
      <c r="AG1060" s="82"/>
      <c r="AH1060" s="82"/>
      <c r="AI1060" s="82"/>
      <c r="AJ1060" s="166"/>
      <c r="AK1060" s="82"/>
      <c r="AL1060" s="162"/>
      <c r="AM1060" s="162"/>
      <c r="AN1060" s="162"/>
      <c r="AO1060" s="162"/>
      <c r="AP1060" s="162"/>
      <c r="AQ1060" s="162"/>
      <c r="AR1060" s="710"/>
      <c r="AV1060" s="82"/>
      <c r="AW1060" s="947"/>
      <c r="AX1060" s="947"/>
      <c r="AY1060" s="947"/>
    </row>
    <row r="1061" spans="31:51" x14ac:dyDescent="0.25">
      <c r="AE1061" s="75"/>
      <c r="AF1061" s="82"/>
      <c r="AG1061" s="82"/>
      <c r="AH1061" s="82"/>
      <c r="AI1061" s="82"/>
      <c r="AJ1061" s="166"/>
      <c r="AK1061" s="82"/>
      <c r="AL1061" s="162"/>
      <c r="AM1061" s="162"/>
      <c r="AN1061" s="162"/>
      <c r="AO1061" s="162"/>
      <c r="AP1061" s="162"/>
      <c r="AQ1061" s="162"/>
      <c r="AR1061" s="710"/>
      <c r="AV1061" s="82"/>
      <c r="AW1061" s="947"/>
      <c r="AX1061" s="947"/>
      <c r="AY1061" s="947"/>
    </row>
    <row r="1062" spans="31:51" x14ac:dyDescent="0.25">
      <c r="AE1062" s="75"/>
      <c r="AF1062" s="82"/>
      <c r="AG1062" s="82"/>
      <c r="AH1062" s="82"/>
      <c r="AI1062" s="82"/>
      <c r="AJ1062" s="166"/>
      <c r="AK1062" s="82"/>
      <c r="AL1062" s="162"/>
      <c r="AM1062" s="162"/>
      <c r="AN1062" s="162"/>
      <c r="AO1062" s="162"/>
      <c r="AP1062" s="162"/>
      <c r="AQ1062" s="162"/>
      <c r="AR1062" s="710"/>
      <c r="AV1062" s="82"/>
      <c r="AW1062" s="947"/>
      <c r="AX1062" s="947"/>
      <c r="AY1062" s="947"/>
    </row>
    <row r="1063" spans="31:51" x14ac:dyDescent="0.25">
      <c r="AE1063" s="75"/>
      <c r="AF1063" s="82"/>
      <c r="AG1063" s="82"/>
      <c r="AH1063" s="82"/>
      <c r="AI1063" s="82"/>
      <c r="AJ1063" s="166"/>
      <c r="AK1063" s="82"/>
      <c r="AL1063" s="162"/>
      <c r="AM1063" s="162"/>
      <c r="AN1063" s="162"/>
      <c r="AO1063" s="162"/>
      <c r="AP1063" s="162"/>
      <c r="AQ1063" s="162"/>
      <c r="AR1063" s="710"/>
      <c r="AV1063" s="82"/>
      <c r="AW1063" s="947"/>
      <c r="AX1063" s="947"/>
      <c r="AY1063" s="947"/>
    </row>
    <row r="1064" spans="31:51" x14ac:dyDescent="0.25">
      <c r="AE1064" s="75"/>
      <c r="AF1064" s="82"/>
      <c r="AG1064" s="82"/>
      <c r="AH1064" s="82"/>
      <c r="AI1064" s="82"/>
      <c r="AJ1064" s="166"/>
      <c r="AK1064" s="82"/>
      <c r="AL1064" s="162"/>
      <c r="AM1064" s="162"/>
      <c r="AN1064" s="162"/>
      <c r="AO1064" s="162"/>
      <c r="AP1064" s="162"/>
      <c r="AQ1064" s="162"/>
      <c r="AR1064" s="710"/>
      <c r="AV1064" s="82"/>
      <c r="AW1064" s="947"/>
      <c r="AX1064" s="947"/>
      <c r="AY1064" s="947"/>
    </row>
    <row r="1065" spans="31:51" x14ac:dyDescent="0.25">
      <c r="AE1065" s="75"/>
      <c r="AF1065" s="82"/>
      <c r="AG1065" s="82"/>
      <c r="AH1065" s="82"/>
      <c r="AI1065" s="82"/>
      <c r="AJ1065" s="166"/>
      <c r="AK1065" s="82"/>
      <c r="AL1065" s="162"/>
      <c r="AM1065" s="162"/>
      <c r="AN1065" s="162"/>
      <c r="AO1065" s="162"/>
      <c r="AP1065" s="162"/>
      <c r="AQ1065" s="162"/>
      <c r="AR1065" s="710"/>
      <c r="AV1065" s="82"/>
      <c r="AW1065" s="947"/>
      <c r="AX1065" s="947"/>
      <c r="AY1065" s="947"/>
    </row>
    <row r="1066" spans="31:51" x14ac:dyDescent="0.25">
      <c r="AE1066" s="75"/>
      <c r="AF1066" s="82"/>
      <c r="AG1066" s="82"/>
      <c r="AH1066" s="82"/>
      <c r="AI1066" s="82"/>
      <c r="AJ1066" s="166"/>
      <c r="AK1066" s="82"/>
      <c r="AL1066" s="162"/>
      <c r="AM1066" s="162"/>
      <c r="AN1066" s="162"/>
      <c r="AO1066" s="162"/>
      <c r="AP1066" s="162"/>
      <c r="AQ1066" s="162"/>
      <c r="AR1066" s="710"/>
      <c r="AV1066" s="82"/>
      <c r="AW1066" s="947"/>
      <c r="AX1066" s="947"/>
      <c r="AY1066" s="947"/>
    </row>
    <row r="1067" spans="31:51" x14ac:dyDescent="0.25">
      <c r="AE1067" s="75"/>
      <c r="AF1067" s="82"/>
      <c r="AG1067" s="82"/>
      <c r="AH1067" s="82"/>
      <c r="AI1067" s="82"/>
      <c r="AJ1067" s="166"/>
      <c r="AK1067" s="82"/>
      <c r="AL1067" s="162"/>
      <c r="AM1067" s="162"/>
      <c r="AN1067" s="162"/>
      <c r="AO1067" s="162"/>
      <c r="AP1067" s="162"/>
      <c r="AQ1067" s="162"/>
      <c r="AR1067" s="710"/>
      <c r="AV1067" s="82"/>
      <c r="AW1067" s="947"/>
      <c r="AX1067" s="947"/>
      <c r="AY1067" s="947"/>
    </row>
    <row r="1068" spans="31:51" x14ac:dyDescent="0.25">
      <c r="AE1068" s="75"/>
      <c r="AF1068" s="82"/>
      <c r="AG1068" s="82"/>
      <c r="AH1068" s="82"/>
      <c r="AI1068" s="82"/>
      <c r="AJ1068" s="166"/>
      <c r="AK1068" s="82"/>
      <c r="AL1068" s="162"/>
      <c r="AM1068" s="162"/>
      <c r="AN1068" s="162"/>
      <c r="AO1068" s="162"/>
      <c r="AP1068" s="162"/>
      <c r="AQ1068" s="162"/>
      <c r="AR1068" s="710"/>
      <c r="AV1068" s="82"/>
      <c r="AW1068" s="947"/>
      <c r="AX1068" s="947"/>
      <c r="AY1068" s="947"/>
    </row>
    <row r="1069" spans="31:51" x14ac:dyDescent="0.25">
      <c r="AE1069" s="75"/>
      <c r="AF1069" s="82"/>
      <c r="AG1069" s="82"/>
      <c r="AH1069" s="82"/>
      <c r="AI1069" s="82"/>
      <c r="AJ1069" s="166"/>
      <c r="AK1069" s="82"/>
      <c r="AL1069" s="162"/>
      <c r="AM1069" s="162"/>
      <c r="AN1069" s="162"/>
      <c r="AO1069" s="162"/>
      <c r="AP1069" s="162"/>
      <c r="AQ1069" s="162"/>
      <c r="AR1069" s="710"/>
      <c r="AV1069" s="82"/>
      <c r="AW1069" s="947"/>
      <c r="AX1069" s="947"/>
      <c r="AY1069" s="947"/>
    </row>
    <row r="1070" spans="31:51" x14ac:dyDescent="0.25">
      <c r="AE1070" s="75"/>
      <c r="AF1070" s="82"/>
      <c r="AG1070" s="82"/>
      <c r="AH1070" s="82"/>
      <c r="AI1070" s="82"/>
      <c r="AJ1070" s="166"/>
      <c r="AK1070" s="82"/>
      <c r="AL1070" s="162"/>
      <c r="AM1070" s="162"/>
      <c r="AN1070" s="162"/>
      <c r="AO1070" s="162"/>
      <c r="AP1070" s="162"/>
      <c r="AQ1070" s="162"/>
      <c r="AR1070" s="710"/>
      <c r="AV1070" s="82"/>
      <c r="AW1070" s="947"/>
      <c r="AX1070" s="947"/>
      <c r="AY1070" s="947"/>
    </row>
    <row r="1071" spans="31:51" x14ac:dyDescent="0.25">
      <c r="AE1071" s="75"/>
      <c r="AF1071" s="82"/>
      <c r="AG1071" s="82"/>
      <c r="AH1071" s="82"/>
      <c r="AI1071" s="82"/>
      <c r="AJ1071" s="166"/>
      <c r="AK1071" s="82"/>
      <c r="AL1071" s="162"/>
      <c r="AM1071" s="162"/>
      <c r="AN1071" s="162"/>
      <c r="AO1071" s="162"/>
      <c r="AP1071" s="162"/>
      <c r="AQ1071" s="162"/>
      <c r="AR1071" s="710"/>
      <c r="AV1071" s="82"/>
      <c r="AW1071" s="947"/>
      <c r="AX1071" s="947"/>
      <c r="AY1071" s="947"/>
    </row>
    <row r="1072" spans="31:51" x14ac:dyDescent="0.25">
      <c r="AE1072" s="75"/>
      <c r="AF1072" s="82"/>
      <c r="AG1072" s="82"/>
      <c r="AH1072" s="82"/>
      <c r="AI1072" s="82"/>
      <c r="AJ1072" s="166"/>
      <c r="AK1072" s="82"/>
      <c r="AL1072" s="162"/>
      <c r="AM1072" s="162"/>
      <c r="AN1072" s="162"/>
      <c r="AO1072" s="162"/>
      <c r="AP1072" s="162"/>
      <c r="AQ1072" s="162"/>
      <c r="AR1072" s="710"/>
      <c r="AV1072" s="82"/>
      <c r="AW1072" s="947"/>
      <c r="AX1072" s="947"/>
      <c r="AY1072" s="947"/>
    </row>
    <row r="1073" spans="31:51" x14ac:dyDescent="0.25">
      <c r="AE1073" s="75"/>
      <c r="AF1073" s="82"/>
      <c r="AG1073" s="82"/>
      <c r="AH1073" s="82"/>
      <c r="AI1073" s="82"/>
      <c r="AJ1073" s="166"/>
      <c r="AK1073" s="82"/>
      <c r="AL1073" s="162"/>
      <c r="AM1073" s="162"/>
      <c r="AN1073" s="162"/>
      <c r="AO1073" s="162"/>
      <c r="AP1073" s="162"/>
      <c r="AQ1073" s="162"/>
      <c r="AR1073" s="710"/>
      <c r="AV1073" s="82"/>
      <c r="AW1073" s="947"/>
      <c r="AX1073" s="947"/>
      <c r="AY1073" s="947"/>
    </row>
    <row r="1074" spans="31:51" x14ac:dyDescent="0.25">
      <c r="AE1074" s="75"/>
      <c r="AF1074" s="82"/>
      <c r="AG1074" s="82"/>
      <c r="AH1074" s="82"/>
      <c r="AI1074" s="82"/>
      <c r="AJ1074" s="166"/>
      <c r="AK1074" s="82"/>
      <c r="AL1074" s="162"/>
      <c r="AM1074" s="162"/>
      <c r="AN1074" s="162"/>
      <c r="AO1074" s="162"/>
      <c r="AP1074" s="162"/>
      <c r="AQ1074" s="162"/>
      <c r="AR1074" s="710"/>
      <c r="AV1074" s="82"/>
      <c r="AW1074" s="947"/>
      <c r="AX1074" s="947"/>
      <c r="AY1074" s="947"/>
    </row>
    <row r="1075" spans="31:51" x14ac:dyDescent="0.25">
      <c r="AE1075" s="75"/>
      <c r="AF1075" s="82"/>
      <c r="AG1075" s="82"/>
      <c r="AH1075" s="82"/>
      <c r="AI1075" s="82"/>
      <c r="AJ1075" s="166"/>
      <c r="AK1075" s="82"/>
      <c r="AL1075" s="162"/>
      <c r="AM1075" s="162"/>
      <c r="AN1075" s="162"/>
      <c r="AO1075" s="162"/>
      <c r="AP1075" s="162"/>
      <c r="AQ1075" s="162"/>
      <c r="AR1075" s="710"/>
      <c r="AV1075" s="82"/>
      <c r="AW1075" s="947"/>
      <c r="AX1075" s="947"/>
      <c r="AY1075" s="947"/>
    </row>
    <row r="1076" spans="31:51" x14ac:dyDescent="0.25">
      <c r="AE1076" s="75"/>
      <c r="AF1076" s="82"/>
      <c r="AG1076" s="82"/>
      <c r="AH1076" s="82"/>
      <c r="AI1076" s="82"/>
      <c r="AJ1076" s="166"/>
      <c r="AK1076" s="82"/>
      <c r="AL1076" s="162"/>
      <c r="AM1076" s="162"/>
      <c r="AN1076" s="162"/>
      <c r="AO1076" s="162"/>
      <c r="AP1076" s="162"/>
      <c r="AQ1076" s="162"/>
      <c r="AR1076" s="710"/>
      <c r="AV1076" s="82"/>
      <c r="AW1076" s="947"/>
      <c r="AX1076" s="947"/>
      <c r="AY1076" s="947"/>
    </row>
    <row r="1077" spans="31:51" x14ac:dyDescent="0.25">
      <c r="AE1077" s="75"/>
      <c r="AF1077" s="82"/>
      <c r="AG1077" s="82"/>
      <c r="AH1077" s="82"/>
      <c r="AI1077" s="82"/>
      <c r="AJ1077" s="166"/>
      <c r="AK1077" s="82"/>
      <c r="AL1077" s="162"/>
      <c r="AM1077" s="162"/>
      <c r="AN1077" s="162"/>
      <c r="AO1077" s="162"/>
      <c r="AP1077" s="162"/>
      <c r="AQ1077" s="162"/>
      <c r="AR1077" s="710"/>
      <c r="AV1077" s="82"/>
      <c r="AW1077" s="947"/>
      <c r="AX1077" s="947"/>
      <c r="AY1077" s="947"/>
    </row>
    <row r="1078" spans="31:51" x14ac:dyDescent="0.25">
      <c r="AE1078" s="75"/>
      <c r="AF1078" s="82"/>
      <c r="AG1078" s="82"/>
      <c r="AH1078" s="82"/>
      <c r="AI1078" s="82"/>
      <c r="AJ1078" s="166"/>
      <c r="AK1078" s="82"/>
      <c r="AL1078" s="162"/>
      <c r="AM1078" s="162"/>
      <c r="AN1078" s="162"/>
      <c r="AO1078" s="162"/>
      <c r="AP1078" s="162"/>
      <c r="AQ1078" s="162"/>
      <c r="AR1078" s="710"/>
      <c r="AV1078" s="82"/>
      <c r="AW1078" s="947"/>
      <c r="AX1078" s="947"/>
      <c r="AY1078" s="947"/>
    </row>
    <row r="1079" spans="31:51" x14ac:dyDescent="0.25">
      <c r="AE1079" s="75"/>
      <c r="AF1079" s="82"/>
      <c r="AG1079" s="82"/>
      <c r="AH1079" s="82"/>
      <c r="AI1079" s="82"/>
      <c r="AJ1079" s="166"/>
      <c r="AK1079" s="82"/>
      <c r="AL1079" s="162"/>
      <c r="AM1079" s="162"/>
      <c r="AN1079" s="162"/>
      <c r="AO1079" s="162"/>
      <c r="AP1079" s="162"/>
      <c r="AQ1079" s="162"/>
      <c r="AR1079" s="710"/>
      <c r="AV1079" s="82"/>
      <c r="AW1079" s="947"/>
      <c r="AX1079" s="947"/>
      <c r="AY1079" s="947"/>
    </row>
    <row r="1080" spans="31:51" x14ac:dyDescent="0.25">
      <c r="AE1080" s="75"/>
      <c r="AF1080" s="82"/>
      <c r="AG1080" s="82"/>
      <c r="AH1080" s="82"/>
      <c r="AI1080" s="82"/>
      <c r="AJ1080" s="166"/>
      <c r="AK1080" s="82"/>
      <c r="AL1080" s="162"/>
      <c r="AM1080" s="162"/>
      <c r="AN1080" s="162"/>
      <c r="AO1080" s="162"/>
      <c r="AP1080" s="162"/>
      <c r="AQ1080" s="162"/>
      <c r="AR1080" s="710"/>
      <c r="AV1080" s="82"/>
      <c r="AW1080" s="947"/>
      <c r="AX1080" s="947"/>
      <c r="AY1080" s="947"/>
    </row>
    <row r="1081" spans="31:51" x14ac:dyDescent="0.25">
      <c r="AE1081" s="75"/>
      <c r="AF1081" s="82"/>
      <c r="AG1081" s="82"/>
      <c r="AH1081" s="82"/>
      <c r="AI1081" s="82"/>
      <c r="AJ1081" s="166"/>
      <c r="AK1081" s="82"/>
      <c r="AL1081" s="162"/>
      <c r="AM1081" s="162"/>
      <c r="AN1081" s="162"/>
      <c r="AO1081" s="162"/>
      <c r="AP1081" s="162"/>
      <c r="AQ1081" s="162"/>
      <c r="AR1081" s="710"/>
      <c r="AV1081" s="82"/>
      <c r="AW1081" s="947"/>
      <c r="AX1081" s="947"/>
      <c r="AY1081" s="947"/>
    </row>
    <row r="1082" spans="31:51" x14ac:dyDescent="0.25">
      <c r="AE1082" s="75"/>
      <c r="AF1082" s="82"/>
      <c r="AG1082" s="82"/>
      <c r="AH1082" s="82"/>
      <c r="AI1082" s="82"/>
      <c r="AJ1082" s="166"/>
      <c r="AK1082" s="82"/>
      <c r="AL1082" s="162"/>
      <c r="AM1082" s="162"/>
      <c r="AN1082" s="162"/>
      <c r="AO1082" s="162"/>
      <c r="AP1082" s="162"/>
      <c r="AQ1082" s="162"/>
      <c r="AR1082" s="710"/>
      <c r="AV1082" s="82"/>
      <c r="AW1082" s="947"/>
      <c r="AX1082" s="947"/>
      <c r="AY1082" s="947"/>
    </row>
    <row r="1083" spans="31:51" x14ac:dyDescent="0.25">
      <c r="AE1083" s="75"/>
      <c r="AF1083" s="82"/>
      <c r="AG1083" s="82"/>
      <c r="AH1083" s="82"/>
      <c r="AI1083" s="82"/>
      <c r="AJ1083" s="166"/>
      <c r="AK1083" s="82"/>
      <c r="AL1083" s="162"/>
      <c r="AM1083" s="162"/>
      <c r="AN1083" s="162"/>
      <c r="AO1083" s="162"/>
      <c r="AP1083" s="162"/>
      <c r="AQ1083" s="162"/>
      <c r="AR1083" s="710"/>
      <c r="AV1083" s="82"/>
      <c r="AW1083" s="947"/>
      <c r="AX1083" s="947"/>
      <c r="AY1083" s="947"/>
    </row>
    <row r="1084" spans="31:51" x14ac:dyDescent="0.25">
      <c r="AE1084" s="75"/>
      <c r="AF1084" s="82"/>
      <c r="AG1084" s="82"/>
      <c r="AH1084" s="82"/>
      <c r="AI1084" s="82"/>
      <c r="AJ1084" s="166"/>
      <c r="AK1084" s="82"/>
      <c r="AL1084" s="162"/>
      <c r="AM1084" s="162"/>
      <c r="AN1084" s="162"/>
      <c r="AO1084" s="162"/>
      <c r="AP1084" s="162"/>
      <c r="AQ1084" s="162"/>
      <c r="AR1084" s="710"/>
      <c r="AV1084" s="82"/>
      <c r="AW1084" s="947"/>
      <c r="AX1084" s="947"/>
      <c r="AY1084" s="947"/>
    </row>
    <row r="1085" spans="31:51" x14ac:dyDescent="0.25">
      <c r="AE1085" s="75"/>
      <c r="AF1085" s="82"/>
      <c r="AG1085" s="82"/>
      <c r="AH1085" s="82"/>
      <c r="AI1085" s="82"/>
      <c r="AJ1085" s="166"/>
      <c r="AK1085" s="82"/>
      <c r="AL1085" s="162"/>
      <c r="AM1085" s="162"/>
      <c r="AN1085" s="162"/>
      <c r="AO1085" s="162"/>
      <c r="AP1085" s="162"/>
      <c r="AQ1085" s="162"/>
      <c r="AR1085" s="710"/>
      <c r="AV1085" s="82"/>
      <c r="AW1085" s="947"/>
      <c r="AX1085" s="947"/>
      <c r="AY1085" s="947"/>
    </row>
    <row r="1086" spans="31:51" x14ac:dyDescent="0.25">
      <c r="AE1086" s="75"/>
      <c r="AF1086" s="82"/>
      <c r="AG1086" s="82"/>
      <c r="AH1086" s="82"/>
      <c r="AI1086" s="82"/>
      <c r="AJ1086" s="166"/>
      <c r="AK1086" s="82"/>
      <c r="AL1086" s="162"/>
      <c r="AM1086" s="162"/>
      <c r="AN1086" s="162"/>
      <c r="AO1086" s="162"/>
      <c r="AP1086" s="162"/>
      <c r="AQ1086" s="162"/>
      <c r="AR1086" s="710"/>
      <c r="AV1086" s="82"/>
      <c r="AW1086" s="947"/>
      <c r="AX1086" s="947"/>
      <c r="AY1086" s="947"/>
    </row>
    <row r="1087" spans="31:51" x14ac:dyDescent="0.25">
      <c r="AE1087" s="75"/>
      <c r="AF1087" s="82"/>
      <c r="AG1087" s="82"/>
      <c r="AH1087" s="82"/>
      <c r="AI1087" s="82"/>
      <c r="AJ1087" s="166"/>
      <c r="AK1087" s="82"/>
      <c r="AL1087" s="162"/>
      <c r="AM1087" s="162"/>
      <c r="AN1087" s="162"/>
      <c r="AO1087" s="162"/>
      <c r="AP1087" s="162"/>
      <c r="AQ1087" s="162"/>
      <c r="AR1087" s="710"/>
      <c r="AV1087" s="82"/>
      <c r="AW1087" s="947"/>
      <c r="AX1087" s="947"/>
      <c r="AY1087" s="947"/>
    </row>
    <row r="1088" spans="31:51" x14ac:dyDescent="0.25">
      <c r="AE1088" s="75"/>
      <c r="AF1088" s="82"/>
      <c r="AG1088" s="82"/>
      <c r="AH1088" s="82"/>
      <c r="AI1088" s="82"/>
      <c r="AJ1088" s="166"/>
      <c r="AK1088" s="82"/>
      <c r="AL1088" s="162"/>
      <c r="AM1088" s="162"/>
      <c r="AN1088" s="162"/>
      <c r="AO1088" s="162"/>
      <c r="AP1088" s="162"/>
      <c r="AQ1088" s="162"/>
      <c r="AR1088" s="710"/>
      <c r="AV1088" s="82"/>
      <c r="AW1088" s="947"/>
      <c r="AX1088" s="947"/>
      <c r="AY1088" s="947"/>
    </row>
    <row r="1089" spans="31:51" x14ac:dyDescent="0.25">
      <c r="AE1089" s="75"/>
      <c r="AF1089" s="82"/>
      <c r="AG1089" s="82"/>
      <c r="AH1089" s="82"/>
      <c r="AI1089" s="82"/>
      <c r="AJ1089" s="166"/>
      <c r="AK1089" s="82"/>
      <c r="AL1089" s="162"/>
      <c r="AM1089" s="162"/>
      <c r="AN1089" s="162"/>
      <c r="AO1089" s="162"/>
      <c r="AP1089" s="162"/>
      <c r="AQ1089" s="162"/>
      <c r="AR1089" s="710"/>
      <c r="AV1089" s="82"/>
      <c r="AW1089" s="947"/>
      <c r="AX1089" s="947"/>
      <c r="AY1089" s="947"/>
    </row>
    <row r="1090" spans="31:51" x14ac:dyDescent="0.25">
      <c r="AE1090" s="75"/>
      <c r="AF1090" s="82"/>
      <c r="AG1090" s="82"/>
      <c r="AH1090" s="82"/>
      <c r="AI1090" s="82"/>
      <c r="AJ1090" s="166"/>
      <c r="AK1090" s="82"/>
      <c r="AL1090" s="162"/>
      <c r="AM1090" s="162"/>
      <c r="AN1090" s="162"/>
      <c r="AO1090" s="162"/>
      <c r="AP1090" s="162"/>
      <c r="AQ1090" s="162"/>
      <c r="AR1090" s="710"/>
      <c r="AV1090" s="82"/>
      <c r="AW1090" s="947"/>
      <c r="AX1090" s="947"/>
      <c r="AY1090" s="947"/>
    </row>
    <row r="1091" spans="31:51" x14ac:dyDescent="0.25">
      <c r="AE1091" s="75"/>
      <c r="AF1091" s="82"/>
      <c r="AG1091" s="82"/>
      <c r="AH1091" s="82"/>
      <c r="AI1091" s="82"/>
      <c r="AJ1091" s="166"/>
      <c r="AK1091" s="82"/>
      <c r="AL1091" s="162"/>
      <c r="AM1091" s="162"/>
      <c r="AN1091" s="162"/>
      <c r="AO1091" s="162"/>
      <c r="AP1091" s="162"/>
      <c r="AQ1091" s="162"/>
      <c r="AR1091" s="710"/>
      <c r="AV1091" s="82"/>
      <c r="AW1091" s="947"/>
      <c r="AX1091" s="947"/>
      <c r="AY1091" s="947"/>
    </row>
    <row r="1092" spans="31:51" x14ac:dyDescent="0.25">
      <c r="AE1092" s="75"/>
      <c r="AF1092" s="82"/>
      <c r="AG1092" s="82"/>
      <c r="AH1092" s="82"/>
      <c r="AI1092" s="82"/>
      <c r="AJ1092" s="166"/>
      <c r="AK1092" s="82"/>
      <c r="AL1092" s="162"/>
      <c r="AM1092" s="162"/>
      <c r="AN1092" s="162"/>
      <c r="AO1092" s="162"/>
      <c r="AP1092" s="162"/>
      <c r="AQ1092" s="162"/>
      <c r="AR1092" s="710"/>
      <c r="AV1092" s="82"/>
      <c r="AW1092" s="947"/>
      <c r="AX1092" s="947"/>
      <c r="AY1092" s="947"/>
    </row>
    <row r="1093" spans="31:51" x14ac:dyDescent="0.25">
      <c r="AE1093" s="75"/>
      <c r="AF1093" s="82"/>
      <c r="AG1093" s="82"/>
      <c r="AH1093" s="82"/>
      <c r="AI1093" s="82"/>
      <c r="AJ1093" s="166"/>
      <c r="AK1093" s="82"/>
      <c r="AL1093" s="162"/>
      <c r="AM1093" s="162"/>
      <c r="AN1093" s="162"/>
      <c r="AO1093" s="162"/>
      <c r="AP1093" s="162"/>
      <c r="AQ1093" s="162"/>
      <c r="AR1093" s="710"/>
      <c r="AV1093" s="82"/>
      <c r="AW1093" s="947"/>
      <c r="AX1093" s="947"/>
      <c r="AY1093" s="947"/>
    </row>
    <row r="1094" spans="31:51" x14ac:dyDescent="0.25">
      <c r="AE1094" s="75"/>
      <c r="AF1094" s="82"/>
      <c r="AG1094" s="82"/>
      <c r="AH1094" s="82"/>
      <c r="AI1094" s="82"/>
      <c r="AJ1094" s="166"/>
      <c r="AK1094" s="82"/>
      <c r="AL1094" s="162"/>
      <c r="AM1094" s="162"/>
      <c r="AN1094" s="162"/>
      <c r="AO1094" s="162"/>
      <c r="AP1094" s="162"/>
      <c r="AQ1094" s="162"/>
      <c r="AR1094" s="710"/>
      <c r="AV1094" s="82"/>
      <c r="AW1094" s="947"/>
      <c r="AX1094" s="947"/>
      <c r="AY1094" s="947"/>
    </row>
    <row r="1095" spans="31:51" x14ac:dyDescent="0.25">
      <c r="AE1095" s="75"/>
      <c r="AF1095" s="82"/>
      <c r="AG1095" s="82"/>
      <c r="AH1095" s="82"/>
      <c r="AI1095" s="82"/>
      <c r="AJ1095" s="166"/>
      <c r="AK1095" s="82"/>
      <c r="AL1095" s="162"/>
      <c r="AM1095" s="162"/>
      <c r="AN1095" s="162"/>
      <c r="AO1095" s="162"/>
      <c r="AP1095" s="162"/>
      <c r="AQ1095" s="162"/>
      <c r="AR1095" s="710"/>
      <c r="AV1095" s="82"/>
      <c r="AW1095" s="947"/>
      <c r="AX1095" s="947"/>
      <c r="AY1095" s="947"/>
    </row>
    <row r="1096" spans="31:51" x14ac:dyDescent="0.25">
      <c r="AE1096" s="75"/>
      <c r="AF1096" s="82"/>
      <c r="AG1096" s="82"/>
      <c r="AH1096" s="82"/>
      <c r="AI1096" s="82"/>
      <c r="AJ1096" s="166"/>
      <c r="AK1096" s="82"/>
      <c r="AL1096" s="162"/>
      <c r="AM1096" s="162"/>
      <c r="AN1096" s="162"/>
      <c r="AO1096" s="162"/>
      <c r="AP1096" s="162"/>
      <c r="AQ1096" s="162"/>
      <c r="AR1096" s="710"/>
      <c r="AV1096" s="82"/>
      <c r="AW1096" s="947"/>
      <c r="AX1096" s="947"/>
      <c r="AY1096" s="947"/>
    </row>
    <row r="1097" spans="31:51" x14ac:dyDescent="0.25">
      <c r="AE1097" s="75"/>
      <c r="AF1097" s="82"/>
      <c r="AG1097" s="82"/>
      <c r="AH1097" s="82"/>
      <c r="AI1097" s="82"/>
      <c r="AJ1097" s="166"/>
      <c r="AK1097" s="82"/>
      <c r="AL1097" s="162"/>
      <c r="AM1097" s="162"/>
      <c r="AN1097" s="162"/>
      <c r="AO1097" s="162"/>
      <c r="AP1097" s="162"/>
      <c r="AQ1097" s="162"/>
      <c r="AR1097" s="710"/>
      <c r="AV1097" s="82"/>
      <c r="AW1097" s="947"/>
      <c r="AX1097" s="947"/>
      <c r="AY1097" s="947"/>
    </row>
    <row r="1098" spans="31:51" x14ac:dyDescent="0.25">
      <c r="AE1098" s="75"/>
      <c r="AF1098" s="82"/>
      <c r="AG1098" s="82"/>
      <c r="AH1098" s="82"/>
      <c r="AI1098" s="82"/>
      <c r="AJ1098" s="166"/>
      <c r="AK1098" s="82"/>
      <c r="AL1098" s="162"/>
      <c r="AM1098" s="162"/>
      <c r="AN1098" s="162"/>
      <c r="AO1098" s="162"/>
      <c r="AP1098" s="162"/>
      <c r="AQ1098" s="162"/>
      <c r="AR1098" s="710"/>
      <c r="AV1098" s="82"/>
      <c r="AW1098" s="947"/>
      <c r="AX1098" s="947"/>
      <c r="AY1098" s="947"/>
    </row>
    <row r="1099" spans="31:51" x14ac:dyDescent="0.25">
      <c r="AE1099" s="75"/>
      <c r="AF1099" s="82"/>
      <c r="AG1099" s="82"/>
      <c r="AH1099" s="82"/>
      <c r="AI1099" s="82"/>
      <c r="AJ1099" s="166"/>
      <c r="AK1099" s="82"/>
      <c r="AL1099" s="162"/>
      <c r="AM1099" s="162"/>
      <c r="AN1099" s="162"/>
      <c r="AO1099" s="162"/>
      <c r="AP1099" s="162"/>
      <c r="AQ1099" s="162"/>
      <c r="AR1099" s="710"/>
      <c r="AV1099" s="82"/>
      <c r="AW1099" s="947"/>
      <c r="AX1099" s="947"/>
      <c r="AY1099" s="947"/>
    </row>
    <row r="1100" spans="31:51" x14ac:dyDescent="0.25">
      <c r="AE1100" s="75"/>
      <c r="AF1100" s="82"/>
      <c r="AG1100" s="82"/>
      <c r="AH1100" s="82"/>
      <c r="AI1100" s="82"/>
      <c r="AJ1100" s="166"/>
      <c r="AK1100" s="82"/>
      <c r="AL1100" s="162"/>
      <c r="AM1100" s="162"/>
      <c r="AN1100" s="162"/>
      <c r="AO1100" s="162"/>
      <c r="AP1100" s="162"/>
      <c r="AQ1100" s="162"/>
      <c r="AR1100" s="710"/>
      <c r="AV1100" s="82"/>
      <c r="AW1100" s="947"/>
      <c r="AX1100" s="947"/>
      <c r="AY1100" s="947"/>
    </row>
    <row r="1101" spans="31:51" x14ac:dyDescent="0.25">
      <c r="AE1101" s="75"/>
      <c r="AF1101" s="82"/>
      <c r="AG1101" s="82"/>
      <c r="AH1101" s="82"/>
      <c r="AI1101" s="82"/>
      <c r="AJ1101" s="166"/>
      <c r="AK1101" s="82"/>
      <c r="AL1101" s="162"/>
      <c r="AM1101" s="162"/>
      <c r="AN1101" s="162"/>
      <c r="AO1101" s="162"/>
      <c r="AP1101" s="162"/>
      <c r="AQ1101" s="162"/>
      <c r="AR1101" s="710"/>
      <c r="AV1101" s="82"/>
      <c r="AW1101" s="947"/>
      <c r="AX1101" s="947"/>
      <c r="AY1101" s="947"/>
    </row>
    <row r="1102" spans="31:51" x14ac:dyDescent="0.25">
      <c r="AE1102" s="75"/>
      <c r="AF1102" s="82"/>
      <c r="AG1102" s="82"/>
      <c r="AH1102" s="82"/>
      <c r="AI1102" s="82"/>
      <c r="AJ1102" s="166"/>
      <c r="AK1102" s="82"/>
      <c r="AL1102" s="162"/>
      <c r="AM1102" s="162"/>
      <c r="AN1102" s="162"/>
      <c r="AO1102" s="162"/>
      <c r="AP1102" s="162"/>
      <c r="AQ1102" s="162"/>
      <c r="AR1102" s="710"/>
      <c r="AV1102" s="82"/>
      <c r="AW1102" s="947"/>
      <c r="AX1102" s="947"/>
      <c r="AY1102" s="947"/>
    </row>
    <row r="1103" spans="31:51" x14ac:dyDescent="0.25">
      <c r="AE1103" s="75"/>
      <c r="AF1103" s="82"/>
      <c r="AG1103" s="82"/>
      <c r="AH1103" s="82"/>
      <c r="AI1103" s="82"/>
      <c r="AJ1103" s="166"/>
      <c r="AK1103" s="82"/>
      <c r="AL1103" s="162"/>
      <c r="AM1103" s="162"/>
      <c r="AN1103" s="162"/>
      <c r="AO1103" s="162"/>
      <c r="AP1103" s="162"/>
      <c r="AQ1103" s="162"/>
      <c r="AR1103" s="710"/>
      <c r="AV1103" s="82"/>
      <c r="AW1103" s="947"/>
      <c r="AX1103" s="947"/>
      <c r="AY1103" s="947"/>
    </row>
    <row r="1104" spans="31:51" x14ac:dyDescent="0.25">
      <c r="AE1104" s="75"/>
      <c r="AF1104" s="82"/>
      <c r="AG1104" s="82"/>
      <c r="AH1104" s="82"/>
      <c r="AI1104" s="82"/>
      <c r="AJ1104" s="166"/>
      <c r="AK1104" s="82"/>
      <c r="AL1104" s="162"/>
      <c r="AM1104" s="162"/>
      <c r="AN1104" s="162"/>
      <c r="AO1104" s="162"/>
      <c r="AP1104" s="162"/>
      <c r="AQ1104" s="162"/>
      <c r="AR1104" s="710"/>
      <c r="AV1104" s="82"/>
      <c r="AW1104" s="947"/>
      <c r="AX1104" s="947"/>
      <c r="AY1104" s="947"/>
    </row>
    <row r="1105" spans="31:51" x14ac:dyDescent="0.25">
      <c r="AE1105" s="75"/>
      <c r="AF1105" s="82"/>
      <c r="AG1105" s="82"/>
      <c r="AH1105" s="82"/>
      <c r="AI1105" s="82"/>
      <c r="AJ1105" s="166"/>
      <c r="AK1105" s="82"/>
      <c r="AL1105" s="162"/>
      <c r="AM1105" s="162"/>
      <c r="AN1105" s="162"/>
      <c r="AO1105" s="162"/>
      <c r="AP1105" s="162"/>
      <c r="AQ1105" s="162"/>
      <c r="AR1105" s="710"/>
      <c r="AV1105" s="82"/>
      <c r="AW1105" s="947"/>
      <c r="AX1105" s="947"/>
      <c r="AY1105" s="947"/>
    </row>
    <row r="1106" spans="31:51" x14ac:dyDescent="0.25">
      <c r="AE1106" s="75"/>
      <c r="AF1106" s="82"/>
      <c r="AG1106" s="82"/>
      <c r="AH1106" s="82"/>
      <c r="AI1106" s="82"/>
      <c r="AJ1106" s="166"/>
      <c r="AK1106" s="82"/>
      <c r="AL1106" s="162"/>
      <c r="AM1106" s="162"/>
      <c r="AN1106" s="162"/>
      <c r="AO1106" s="162"/>
      <c r="AP1106" s="162"/>
      <c r="AQ1106" s="162"/>
      <c r="AR1106" s="710"/>
      <c r="AV1106" s="82"/>
      <c r="AW1106" s="947"/>
      <c r="AX1106" s="947"/>
      <c r="AY1106" s="947"/>
    </row>
    <row r="1107" spans="31:51" x14ac:dyDescent="0.25">
      <c r="AE1107" s="75"/>
      <c r="AF1107" s="82"/>
      <c r="AG1107" s="82"/>
      <c r="AH1107" s="82"/>
      <c r="AI1107" s="82"/>
      <c r="AJ1107" s="166"/>
      <c r="AK1107" s="82"/>
      <c r="AL1107" s="162"/>
      <c r="AM1107" s="162"/>
      <c r="AN1107" s="162"/>
      <c r="AO1107" s="162"/>
      <c r="AP1107" s="162"/>
      <c r="AQ1107" s="162"/>
      <c r="AR1107" s="710"/>
      <c r="AV1107" s="82"/>
      <c r="AW1107" s="947"/>
      <c r="AX1107" s="947"/>
      <c r="AY1107" s="947"/>
    </row>
    <row r="1108" spans="31:51" x14ac:dyDescent="0.25">
      <c r="AE1108" s="75"/>
      <c r="AF1108" s="82"/>
      <c r="AG1108" s="82"/>
      <c r="AH1108" s="82"/>
      <c r="AI1108" s="82"/>
      <c r="AJ1108" s="166"/>
      <c r="AK1108" s="82"/>
      <c r="AL1108" s="162"/>
      <c r="AM1108" s="162"/>
      <c r="AN1108" s="162"/>
      <c r="AO1108" s="162"/>
      <c r="AP1108" s="162"/>
      <c r="AQ1108" s="162"/>
      <c r="AR1108" s="710"/>
      <c r="AV1108" s="82"/>
      <c r="AW1108" s="947"/>
      <c r="AX1108" s="947"/>
      <c r="AY1108" s="947"/>
    </row>
    <row r="1109" spans="31:51" x14ac:dyDescent="0.25">
      <c r="AE1109" s="75"/>
      <c r="AF1109" s="82"/>
      <c r="AG1109" s="82"/>
      <c r="AH1109" s="82"/>
      <c r="AI1109" s="82"/>
      <c r="AJ1109" s="166"/>
      <c r="AK1109" s="82"/>
      <c r="AL1109" s="162"/>
      <c r="AM1109" s="162"/>
      <c r="AN1109" s="162"/>
      <c r="AO1109" s="162"/>
      <c r="AP1109" s="162"/>
      <c r="AQ1109" s="162"/>
      <c r="AR1109" s="710"/>
      <c r="AV1109" s="82"/>
      <c r="AW1109" s="947"/>
      <c r="AX1109" s="947"/>
      <c r="AY1109" s="947"/>
    </row>
    <row r="1110" spans="31:51" x14ac:dyDescent="0.25">
      <c r="AE1110" s="75"/>
      <c r="AF1110" s="82"/>
      <c r="AG1110" s="82"/>
      <c r="AH1110" s="82"/>
      <c r="AI1110" s="82"/>
      <c r="AJ1110" s="166"/>
      <c r="AK1110" s="82"/>
      <c r="AL1110" s="162"/>
      <c r="AM1110" s="162"/>
      <c r="AN1110" s="162"/>
      <c r="AO1110" s="162"/>
      <c r="AP1110" s="162"/>
      <c r="AQ1110" s="162"/>
      <c r="AR1110" s="710"/>
      <c r="AV1110" s="82"/>
      <c r="AW1110" s="947"/>
      <c r="AX1110" s="947"/>
      <c r="AY1110" s="947"/>
    </row>
    <row r="1111" spans="31:51" x14ac:dyDescent="0.25">
      <c r="AE1111" s="75"/>
      <c r="AF1111" s="82"/>
      <c r="AG1111" s="82"/>
      <c r="AH1111" s="82"/>
      <c r="AI1111" s="82"/>
      <c r="AJ1111" s="166"/>
      <c r="AK1111" s="82"/>
      <c r="AL1111" s="162"/>
      <c r="AM1111" s="162"/>
      <c r="AN1111" s="162"/>
      <c r="AO1111" s="162"/>
      <c r="AP1111" s="162"/>
      <c r="AQ1111" s="162"/>
      <c r="AR1111" s="710"/>
      <c r="AV1111" s="82"/>
      <c r="AW1111" s="947"/>
      <c r="AX1111" s="947"/>
      <c r="AY1111" s="947"/>
    </row>
    <row r="1112" spans="31:51" x14ac:dyDescent="0.25">
      <c r="AE1112" s="75"/>
      <c r="AF1112" s="82"/>
      <c r="AG1112" s="82"/>
      <c r="AH1112" s="82"/>
      <c r="AI1112" s="82"/>
      <c r="AJ1112" s="166"/>
      <c r="AK1112" s="82"/>
      <c r="AL1112" s="162"/>
      <c r="AM1112" s="162"/>
      <c r="AN1112" s="162"/>
      <c r="AO1112" s="162"/>
      <c r="AP1112" s="162"/>
      <c r="AQ1112" s="162"/>
      <c r="AR1112" s="710"/>
      <c r="AV1112" s="82"/>
      <c r="AW1112" s="947"/>
      <c r="AX1112" s="947"/>
      <c r="AY1112" s="947"/>
    </row>
    <row r="1113" spans="31:51" x14ac:dyDescent="0.25">
      <c r="AE1113" s="75"/>
      <c r="AF1113" s="82"/>
      <c r="AG1113" s="82"/>
      <c r="AH1113" s="82"/>
      <c r="AI1113" s="82"/>
      <c r="AJ1113" s="166"/>
      <c r="AK1113" s="82"/>
      <c r="AL1113" s="162"/>
      <c r="AM1113" s="162"/>
      <c r="AN1113" s="162"/>
      <c r="AO1113" s="162"/>
      <c r="AP1113" s="162"/>
      <c r="AQ1113" s="162"/>
      <c r="AR1113" s="710"/>
      <c r="AV1113" s="82"/>
      <c r="AW1113" s="947"/>
      <c r="AX1113" s="947"/>
      <c r="AY1113" s="947"/>
    </row>
    <row r="1114" spans="31:51" x14ac:dyDescent="0.25">
      <c r="AE1114" s="75"/>
      <c r="AF1114" s="82"/>
      <c r="AG1114" s="82"/>
      <c r="AH1114" s="82"/>
      <c r="AI1114" s="82"/>
      <c r="AJ1114" s="166"/>
      <c r="AK1114" s="82"/>
      <c r="AL1114" s="162"/>
      <c r="AM1114" s="162"/>
      <c r="AN1114" s="162"/>
      <c r="AO1114" s="162"/>
      <c r="AP1114" s="162"/>
      <c r="AQ1114" s="162"/>
      <c r="AR1114" s="710"/>
      <c r="AV1114" s="82"/>
      <c r="AW1114" s="947"/>
      <c r="AX1114" s="947"/>
      <c r="AY1114" s="947"/>
    </row>
    <row r="1115" spans="31:51" x14ac:dyDescent="0.25">
      <c r="AE1115" s="75"/>
      <c r="AF1115" s="82"/>
      <c r="AG1115" s="82"/>
      <c r="AH1115" s="82"/>
      <c r="AI1115" s="82"/>
      <c r="AJ1115" s="166"/>
      <c r="AK1115" s="82"/>
      <c r="AL1115" s="162"/>
      <c r="AM1115" s="162"/>
      <c r="AN1115" s="162"/>
      <c r="AO1115" s="162"/>
      <c r="AP1115" s="162"/>
      <c r="AQ1115" s="162"/>
      <c r="AR1115" s="710"/>
      <c r="AV1115" s="82"/>
      <c r="AW1115" s="947"/>
      <c r="AX1115" s="947"/>
      <c r="AY1115" s="947"/>
    </row>
    <row r="1116" spans="31:51" x14ac:dyDescent="0.25">
      <c r="AE1116" s="75"/>
      <c r="AF1116" s="82"/>
      <c r="AG1116" s="82"/>
      <c r="AH1116" s="82"/>
      <c r="AI1116" s="82"/>
      <c r="AJ1116" s="166"/>
      <c r="AK1116" s="82"/>
      <c r="AL1116" s="162"/>
      <c r="AM1116" s="162"/>
      <c r="AN1116" s="162"/>
      <c r="AO1116" s="162"/>
      <c r="AP1116" s="162"/>
      <c r="AQ1116" s="162"/>
      <c r="AR1116" s="710"/>
      <c r="AV1116" s="82"/>
      <c r="AW1116" s="947"/>
      <c r="AX1116" s="947"/>
      <c r="AY1116" s="947"/>
    </row>
    <row r="1117" spans="31:51" x14ac:dyDescent="0.25">
      <c r="AE1117" s="75"/>
      <c r="AF1117" s="82"/>
      <c r="AG1117" s="82"/>
      <c r="AH1117" s="82"/>
      <c r="AI1117" s="82"/>
      <c r="AJ1117" s="166"/>
      <c r="AK1117" s="82"/>
      <c r="AL1117" s="162"/>
      <c r="AM1117" s="162"/>
      <c r="AN1117" s="162"/>
      <c r="AO1117" s="162"/>
      <c r="AP1117" s="162"/>
      <c r="AQ1117" s="162"/>
      <c r="AR1117" s="710"/>
      <c r="AV1117" s="82"/>
      <c r="AW1117" s="947"/>
      <c r="AX1117" s="947"/>
      <c r="AY1117" s="947"/>
    </row>
    <row r="1118" spans="31:51" x14ac:dyDescent="0.25">
      <c r="AE1118" s="75"/>
      <c r="AF1118" s="82"/>
      <c r="AG1118" s="82"/>
      <c r="AH1118" s="82"/>
      <c r="AI1118" s="82"/>
      <c r="AJ1118" s="166"/>
      <c r="AK1118" s="82"/>
      <c r="AL1118" s="162"/>
      <c r="AM1118" s="162"/>
      <c r="AN1118" s="162"/>
      <c r="AO1118" s="162"/>
      <c r="AP1118" s="162"/>
      <c r="AQ1118" s="162"/>
      <c r="AR1118" s="710"/>
      <c r="AV1118" s="82"/>
      <c r="AW1118" s="947"/>
      <c r="AX1118" s="947"/>
      <c r="AY1118" s="947"/>
    </row>
    <row r="1119" spans="31:51" x14ac:dyDescent="0.25">
      <c r="AE1119" s="75"/>
      <c r="AF1119" s="82"/>
      <c r="AG1119" s="82"/>
      <c r="AH1119" s="82"/>
      <c r="AI1119" s="82"/>
      <c r="AJ1119" s="166"/>
      <c r="AK1119" s="82"/>
      <c r="AL1119" s="162"/>
      <c r="AM1119" s="162"/>
      <c r="AN1119" s="162"/>
      <c r="AO1119" s="162"/>
      <c r="AP1119" s="162"/>
      <c r="AQ1119" s="162"/>
      <c r="AR1119" s="710"/>
      <c r="AV1119" s="82"/>
      <c r="AW1119" s="947"/>
      <c r="AX1119" s="947"/>
      <c r="AY1119" s="947"/>
    </row>
    <row r="1120" spans="31:51" x14ac:dyDescent="0.25">
      <c r="AE1120" s="75"/>
      <c r="AF1120" s="82"/>
      <c r="AG1120" s="82"/>
      <c r="AH1120" s="82"/>
      <c r="AI1120" s="82"/>
      <c r="AJ1120" s="166"/>
      <c r="AK1120" s="82"/>
      <c r="AL1120" s="162"/>
      <c r="AM1120" s="162"/>
      <c r="AN1120" s="162"/>
      <c r="AO1120" s="162"/>
      <c r="AP1120" s="162"/>
      <c r="AQ1120" s="162"/>
      <c r="AR1120" s="710"/>
      <c r="AV1120" s="82"/>
      <c r="AW1120" s="947"/>
      <c r="AX1120" s="947"/>
      <c r="AY1120" s="947"/>
    </row>
    <row r="1121" spans="31:51" x14ac:dyDescent="0.25">
      <c r="AE1121" s="75"/>
      <c r="AF1121" s="82"/>
      <c r="AG1121" s="82"/>
      <c r="AH1121" s="82"/>
      <c r="AI1121" s="82"/>
      <c r="AJ1121" s="166"/>
      <c r="AK1121" s="82"/>
      <c r="AL1121" s="162"/>
      <c r="AM1121" s="162"/>
      <c r="AN1121" s="162"/>
      <c r="AO1121" s="162"/>
      <c r="AP1121" s="162"/>
      <c r="AQ1121" s="162"/>
      <c r="AR1121" s="710"/>
      <c r="AV1121" s="82"/>
      <c r="AW1121" s="947"/>
      <c r="AX1121" s="947"/>
      <c r="AY1121" s="947"/>
    </row>
    <row r="1122" spans="31:51" x14ac:dyDescent="0.25">
      <c r="AE1122" s="75"/>
      <c r="AF1122" s="82"/>
      <c r="AG1122" s="82"/>
      <c r="AH1122" s="82"/>
      <c r="AI1122" s="82"/>
      <c r="AJ1122" s="166"/>
      <c r="AK1122" s="82"/>
      <c r="AL1122" s="162"/>
      <c r="AM1122" s="162"/>
      <c r="AN1122" s="162"/>
      <c r="AO1122" s="162"/>
      <c r="AP1122" s="162"/>
      <c r="AQ1122" s="162"/>
      <c r="AR1122" s="710"/>
      <c r="AV1122" s="82"/>
      <c r="AW1122" s="947"/>
      <c r="AX1122" s="947"/>
      <c r="AY1122" s="947"/>
    </row>
    <row r="1123" spans="31:51" x14ac:dyDescent="0.25">
      <c r="AE1123" s="75"/>
      <c r="AF1123" s="82"/>
      <c r="AG1123" s="82"/>
      <c r="AH1123" s="82"/>
      <c r="AI1123" s="82"/>
      <c r="AJ1123" s="166"/>
      <c r="AK1123" s="82"/>
      <c r="AL1123" s="162"/>
      <c r="AM1123" s="162"/>
      <c r="AN1123" s="162"/>
      <c r="AO1123" s="162"/>
      <c r="AP1123" s="162"/>
      <c r="AQ1123" s="162"/>
      <c r="AR1123" s="710"/>
      <c r="AV1123" s="82"/>
      <c r="AW1123" s="947"/>
      <c r="AX1123" s="947"/>
      <c r="AY1123" s="947"/>
    </row>
    <row r="1124" spans="31:51" x14ac:dyDescent="0.25">
      <c r="AE1124" s="75"/>
      <c r="AF1124" s="82"/>
      <c r="AG1124" s="82"/>
      <c r="AH1124" s="82"/>
      <c r="AI1124" s="82"/>
      <c r="AJ1124" s="166"/>
      <c r="AK1124" s="82"/>
      <c r="AL1124" s="162"/>
      <c r="AM1124" s="162"/>
      <c r="AN1124" s="162"/>
      <c r="AO1124" s="162"/>
      <c r="AP1124" s="162"/>
      <c r="AQ1124" s="162"/>
      <c r="AR1124" s="710"/>
      <c r="AV1124" s="82"/>
      <c r="AW1124" s="947"/>
      <c r="AX1124" s="947"/>
      <c r="AY1124" s="947"/>
    </row>
    <row r="1125" spans="31:51" x14ac:dyDescent="0.25">
      <c r="AE1125" s="75"/>
      <c r="AF1125" s="82"/>
      <c r="AG1125" s="82"/>
      <c r="AH1125" s="82"/>
      <c r="AI1125" s="82"/>
      <c r="AJ1125" s="166"/>
      <c r="AK1125" s="82"/>
      <c r="AL1125" s="162"/>
      <c r="AM1125" s="162"/>
      <c r="AN1125" s="162"/>
      <c r="AO1125" s="162"/>
      <c r="AP1125" s="162"/>
      <c r="AQ1125" s="162"/>
      <c r="AR1125" s="710"/>
      <c r="AV1125" s="82"/>
      <c r="AW1125" s="947"/>
      <c r="AX1125" s="947"/>
      <c r="AY1125" s="947"/>
    </row>
    <row r="1126" spans="31:51" x14ac:dyDescent="0.25">
      <c r="AE1126" s="75"/>
      <c r="AF1126" s="82"/>
      <c r="AG1126" s="82"/>
      <c r="AH1126" s="82"/>
      <c r="AI1126" s="82"/>
      <c r="AJ1126" s="166"/>
      <c r="AK1126" s="82"/>
      <c r="AL1126" s="162"/>
      <c r="AM1126" s="162"/>
      <c r="AN1126" s="162"/>
      <c r="AO1126" s="162"/>
      <c r="AP1126" s="162"/>
      <c r="AQ1126" s="162"/>
      <c r="AR1126" s="710"/>
      <c r="AV1126" s="82"/>
      <c r="AW1126" s="947"/>
      <c r="AX1126" s="947"/>
      <c r="AY1126" s="947"/>
    </row>
    <row r="1127" spans="31:51" x14ac:dyDescent="0.25">
      <c r="AE1127" s="75"/>
      <c r="AF1127" s="82"/>
      <c r="AG1127" s="82"/>
      <c r="AH1127" s="82"/>
      <c r="AI1127" s="82"/>
      <c r="AJ1127" s="166"/>
      <c r="AK1127" s="82"/>
      <c r="AL1127" s="162"/>
      <c r="AM1127" s="162"/>
      <c r="AN1127" s="162"/>
      <c r="AO1127" s="162"/>
      <c r="AP1127" s="162"/>
      <c r="AQ1127" s="162"/>
      <c r="AR1127" s="710"/>
      <c r="AV1127" s="82"/>
      <c r="AW1127" s="947"/>
      <c r="AX1127" s="947"/>
      <c r="AY1127" s="947"/>
    </row>
    <row r="1128" spans="31:51" x14ac:dyDescent="0.25">
      <c r="AE1128" s="75"/>
      <c r="AF1128" s="82"/>
      <c r="AG1128" s="82"/>
      <c r="AH1128" s="82"/>
      <c r="AI1128" s="82"/>
      <c r="AJ1128" s="166"/>
      <c r="AK1128" s="82"/>
      <c r="AL1128" s="162"/>
      <c r="AM1128" s="162"/>
      <c r="AN1128" s="162"/>
      <c r="AO1128" s="162"/>
      <c r="AP1128" s="162"/>
      <c r="AQ1128" s="162"/>
      <c r="AR1128" s="710"/>
      <c r="AV1128" s="82"/>
      <c r="AW1128" s="947"/>
      <c r="AX1128" s="947"/>
      <c r="AY1128" s="947"/>
    </row>
    <row r="1129" spans="31:51" x14ac:dyDescent="0.25">
      <c r="AE1129" s="75"/>
      <c r="AF1129" s="82"/>
      <c r="AG1129" s="82"/>
      <c r="AH1129" s="82"/>
      <c r="AI1129" s="82"/>
      <c r="AJ1129" s="166"/>
      <c r="AK1129" s="82"/>
      <c r="AL1129" s="162"/>
      <c r="AM1129" s="162"/>
      <c r="AN1129" s="162"/>
      <c r="AO1129" s="162"/>
      <c r="AP1129" s="162"/>
      <c r="AQ1129" s="162"/>
      <c r="AR1129" s="710"/>
      <c r="AV1129" s="82"/>
      <c r="AW1129" s="947"/>
      <c r="AX1129" s="947"/>
      <c r="AY1129" s="947"/>
    </row>
    <row r="1130" spans="31:51" x14ac:dyDescent="0.25">
      <c r="AE1130" s="75"/>
      <c r="AF1130" s="82"/>
      <c r="AG1130" s="82"/>
      <c r="AH1130" s="82"/>
      <c r="AI1130" s="82"/>
      <c r="AJ1130" s="166"/>
      <c r="AK1130" s="82"/>
      <c r="AL1130" s="162"/>
      <c r="AM1130" s="162"/>
      <c r="AN1130" s="162"/>
      <c r="AO1130" s="162"/>
      <c r="AP1130" s="162"/>
      <c r="AQ1130" s="162"/>
      <c r="AR1130" s="710"/>
      <c r="AV1130" s="82"/>
      <c r="AW1130" s="947"/>
      <c r="AX1130" s="947"/>
      <c r="AY1130" s="947"/>
    </row>
    <row r="1131" spans="31:51" x14ac:dyDescent="0.25">
      <c r="AE1131" s="75"/>
      <c r="AF1131" s="82"/>
      <c r="AG1131" s="82"/>
      <c r="AH1131" s="82"/>
      <c r="AI1131" s="82"/>
      <c r="AJ1131" s="166"/>
      <c r="AK1131" s="82"/>
      <c r="AL1131" s="162"/>
      <c r="AM1131" s="162"/>
      <c r="AN1131" s="162"/>
      <c r="AO1131" s="162"/>
      <c r="AP1131" s="162"/>
      <c r="AQ1131" s="162"/>
      <c r="AR1131" s="710"/>
      <c r="AV1131" s="82"/>
      <c r="AW1131" s="947"/>
      <c r="AX1131" s="947"/>
      <c r="AY1131" s="947"/>
    </row>
    <row r="1132" spans="31:51" x14ac:dyDescent="0.25">
      <c r="AE1132" s="75"/>
      <c r="AF1132" s="82"/>
      <c r="AG1132" s="82"/>
      <c r="AH1132" s="82"/>
      <c r="AI1132" s="82"/>
      <c r="AJ1132" s="166"/>
      <c r="AK1132" s="82"/>
      <c r="AL1132" s="162"/>
      <c r="AM1132" s="162"/>
      <c r="AN1132" s="162"/>
      <c r="AO1132" s="162"/>
      <c r="AP1132" s="162"/>
      <c r="AQ1132" s="162"/>
      <c r="AR1132" s="710"/>
      <c r="AV1132" s="82"/>
      <c r="AW1132" s="947"/>
      <c r="AX1132" s="947"/>
      <c r="AY1132" s="947"/>
    </row>
    <row r="1133" spans="31:51" x14ac:dyDescent="0.25">
      <c r="AE1133" s="75"/>
      <c r="AF1133" s="82"/>
      <c r="AG1133" s="82"/>
      <c r="AH1133" s="82"/>
      <c r="AI1133" s="82"/>
      <c r="AJ1133" s="166"/>
      <c r="AK1133" s="82"/>
      <c r="AL1133" s="162"/>
      <c r="AM1133" s="162"/>
      <c r="AN1133" s="162"/>
      <c r="AO1133" s="162"/>
      <c r="AP1133" s="162"/>
      <c r="AQ1133" s="162"/>
      <c r="AR1133" s="710"/>
      <c r="AV1133" s="82"/>
      <c r="AW1133" s="947"/>
      <c r="AX1133" s="947"/>
      <c r="AY1133" s="947"/>
    </row>
    <row r="1134" spans="31:51" x14ac:dyDescent="0.25">
      <c r="AE1134" s="75"/>
      <c r="AF1134" s="82"/>
      <c r="AG1134" s="82"/>
      <c r="AH1134" s="82"/>
      <c r="AI1134" s="82"/>
      <c r="AJ1134" s="166"/>
      <c r="AK1134" s="82"/>
      <c r="AL1134" s="162"/>
      <c r="AM1134" s="162"/>
      <c r="AN1134" s="162"/>
      <c r="AO1134" s="162"/>
      <c r="AP1134" s="162"/>
      <c r="AQ1134" s="162"/>
      <c r="AR1134" s="710"/>
      <c r="AV1134" s="82"/>
      <c r="AW1134" s="947"/>
      <c r="AX1134" s="947"/>
      <c r="AY1134" s="947"/>
    </row>
    <row r="1135" spans="31:51" x14ac:dyDescent="0.25">
      <c r="AE1135" s="75"/>
      <c r="AF1135" s="82"/>
      <c r="AG1135" s="82"/>
      <c r="AH1135" s="82"/>
      <c r="AI1135" s="82"/>
      <c r="AJ1135" s="166"/>
      <c r="AK1135" s="82"/>
      <c r="AL1135" s="162"/>
      <c r="AM1135" s="162"/>
      <c r="AN1135" s="162"/>
      <c r="AO1135" s="162"/>
      <c r="AP1135" s="162"/>
      <c r="AQ1135" s="162"/>
      <c r="AR1135" s="710"/>
      <c r="AV1135" s="82"/>
      <c r="AW1135" s="947"/>
      <c r="AX1135" s="947"/>
      <c r="AY1135" s="947"/>
    </row>
    <row r="1136" spans="31:51" x14ac:dyDescent="0.25">
      <c r="AE1136" s="75"/>
      <c r="AF1136" s="82"/>
      <c r="AG1136" s="82"/>
      <c r="AH1136" s="82"/>
      <c r="AI1136" s="82"/>
      <c r="AJ1136" s="166"/>
      <c r="AK1136" s="82"/>
      <c r="AL1136" s="162"/>
      <c r="AM1136" s="162"/>
      <c r="AN1136" s="162"/>
      <c r="AO1136" s="162"/>
      <c r="AP1136" s="162"/>
      <c r="AQ1136" s="162"/>
      <c r="AR1136" s="710"/>
      <c r="AV1136" s="82"/>
      <c r="AW1136" s="947"/>
      <c r="AX1136" s="947"/>
      <c r="AY1136" s="947"/>
    </row>
    <row r="1137" spans="31:51" x14ac:dyDescent="0.25">
      <c r="AE1137" s="75"/>
      <c r="AF1137" s="82"/>
      <c r="AG1137" s="82"/>
      <c r="AH1137" s="82"/>
      <c r="AI1137" s="82"/>
      <c r="AJ1137" s="166"/>
      <c r="AK1137" s="82"/>
      <c r="AL1137" s="162"/>
      <c r="AM1137" s="162"/>
      <c r="AN1137" s="162"/>
      <c r="AO1137" s="162"/>
      <c r="AP1137" s="162"/>
      <c r="AQ1137" s="162"/>
      <c r="AR1137" s="710"/>
      <c r="AV1137" s="82"/>
      <c r="AW1137" s="947"/>
      <c r="AX1137" s="947"/>
      <c r="AY1137" s="947"/>
    </row>
    <row r="1138" spans="31:51" x14ac:dyDescent="0.25">
      <c r="AE1138" s="75"/>
      <c r="AF1138" s="82"/>
      <c r="AG1138" s="82"/>
      <c r="AH1138" s="82"/>
      <c r="AI1138" s="82"/>
      <c r="AJ1138" s="166"/>
      <c r="AK1138" s="82"/>
      <c r="AL1138" s="162"/>
      <c r="AM1138" s="162"/>
      <c r="AN1138" s="162"/>
      <c r="AO1138" s="162"/>
      <c r="AP1138" s="162"/>
      <c r="AQ1138" s="162"/>
      <c r="AR1138" s="710"/>
      <c r="AV1138" s="82"/>
      <c r="AW1138" s="947"/>
      <c r="AX1138" s="947"/>
      <c r="AY1138" s="947"/>
    </row>
    <row r="1139" spans="31:51" x14ac:dyDescent="0.25">
      <c r="AE1139" s="75"/>
      <c r="AF1139" s="82"/>
      <c r="AG1139" s="82"/>
      <c r="AH1139" s="82"/>
      <c r="AI1139" s="82"/>
      <c r="AJ1139" s="166"/>
      <c r="AK1139" s="82"/>
      <c r="AL1139" s="162"/>
      <c r="AM1139" s="162"/>
      <c r="AN1139" s="162"/>
      <c r="AO1139" s="162"/>
      <c r="AP1139" s="162"/>
      <c r="AQ1139" s="162"/>
      <c r="AR1139" s="710"/>
      <c r="AV1139" s="82"/>
      <c r="AW1139" s="947"/>
      <c r="AX1139" s="947"/>
      <c r="AY1139" s="947"/>
    </row>
    <row r="1140" spans="31:51" x14ac:dyDescent="0.25">
      <c r="AE1140" s="75"/>
      <c r="AF1140" s="82"/>
      <c r="AG1140" s="82"/>
      <c r="AH1140" s="82"/>
      <c r="AI1140" s="82"/>
      <c r="AJ1140" s="166"/>
      <c r="AK1140" s="82"/>
      <c r="AL1140" s="162"/>
      <c r="AM1140" s="162"/>
      <c r="AN1140" s="162"/>
      <c r="AO1140" s="162"/>
      <c r="AP1140" s="162"/>
      <c r="AQ1140" s="162"/>
      <c r="AR1140" s="710"/>
      <c r="AV1140" s="82"/>
      <c r="AW1140" s="947"/>
      <c r="AX1140" s="947"/>
      <c r="AY1140" s="947"/>
    </row>
    <row r="1141" spans="31:51" x14ac:dyDescent="0.25">
      <c r="AE1141" s="75"/>
      <c r="AF1141" s="82"/>
      <c r="AG1141" s="82"/>
      <c r="AH1141" s="82"/>
      <c r="AI1141" s="82"/>
      <c r="AJ1141" s="166"/>
      <c r="AK1141" s="82"/>
      <c r="AL1141" s="162"/>
      <c r="AM1141" s="162"/>
      <c r="AN1141" s="162"/>
      <c r="AO1141" s="162"/>
      <c r="AP1141" s="162"/>
      <c r="AQ1141" s="162"/>
      <c r="AR1141" s="710"/>
      <c r="AV1141" s="82"/>
      <c r="AW1141" s="947"/>
      <c r="AX1141" s="947"/>
      <c r="AY1141" s="947"/>
    </row>
    <row r="1142" spans="31:51" x14ac:dyDescent="0.25">
      <c r="AE1142" s="75"/>
      <c r="AF1142" s="82"/>
      <c r="AG1142" s="82"/>
      <c r="AH1142" s="82"/>
      <c r="AI1142" s="82"/>
      <c r="AJ1142" s="166"/>
      <c r="AK1142" s="82"/>
      <c r="AL1142" s="162"/>
      <c r="AM1142" s="162"/>
      <c r="AN1142" s="162"/>
      <c r="AO1142" s="162"/>
      <c r="AP1142" s="162"/>
      <c r="AQ1142" s="162"/>
      <c r="AR1142" s="710"/>
      <c r="AV1142" s="82"/>
      <c r="AW1142" s="947"/>
      <c r="AX1142" s="947"/>
      <c r="AY1142" s="947"/>
    </row>
    <row r="1143" spans="31:51" x14ac:dyDescent="0.25">
      <c r="AE1143" s="75"/>
      <c r="AF1143" s="82"/>
      <c r="AG1143" s="82"/>
      <c r="AH1143" s="82"/>
      <c r="AI1143" s="82"/>
      <c r="AJ1143" s="166"/>
      <c r="AK1143" s="82"/>
      <c r="AL1143" s="162"/>
      <c r="AM1143" s="162"/>
      <c r="AN1143" s="162"/>
      <c r="AO1143" s="162"/>
      <c r="AP1143" s="162"/>
      <c r="AQ1143" s="162"/>
      <c r="AR1143" s="710"/>
      <c r="AV1143" s="82"/>
      <c r="AW1143" s="947"/>
      <c r="AX1143" s="947"/>
      <c r="AY1143" s="947"/>
    </row>
    <row r="1144" spans="31:51" x14ac:dyDescent="0.25">
      <c r="AE1144" s="75"/>
      <c r="AF1144" s="82"/>
      <c r="AG1144" s="82"/>
      <c r="AH1144" s="82"/>
      <c r="AI1144" s="82"/>
      <c r="AJ1144" s="166"/>
      <c r="AK1144" s="82"/>
      <c r="AL1144" s="162"/>
      <c r="AM1144" s="162"/>
      <c r="AN1144" s="162"/>
      <c r="AO1144" s="162"/>
      <c r="AP1144" s="162"/>
      <c r="AQ1144" s="162"/>
      <c r="AR1144" s="710"/>
      <c r="AV1144" s="82"/>
      <c r="AW1144" s="947"/>
      <c r="AX1144" s="947"/>
      <c r="AY1144" s="947"/>
    </row>
    <row r="1145" spans="31:51" x14ac:dyDescent="0.25">
      <c r="AE1145" s="75"/>
      <c r="AF1145" s="82"/>
      <c r="AG1145" s="82"/>
      <c r="AH1145" s="82"/>
      <c r="AI1145" s="82"/>
      <c r="AJ1145" s="166"/>
      <c r="AK1145" s="82"/>
      <c r="AL1145" s="162"/>
      <c r="AM1145" s="162"/>
      <c r="AN1145" s="162"/>
      <c r="AO1145" s="162"/>
      <c r="AP1145" s="162"/>
      <c r="AQ1145" s="162"/>
      <c r="AR1145" s="710"/>
      <c r="AV1145" s="82"/>
      <c r="AW1145" s="947"/>
      <c r="AX1145" s="947"/>
      <c r="AY1145" s="947"/>
    </row>
    <row r="1146" spans="31:51" x14ac:dyDescent="0.25">
      <c r="AE1146" s="75"/>
      <c r="AF1146" s="82"/>
      <c r="AG1146" s="82"/>
      <c r="AH1146" s="82"/>
      <c r="AI1146" s="82"/>
      <c r="AJ1146" s="166"/>
      <c r="AK1146" s="82"/>
      <c r="AL1146" s="162"/>
      <c r="AM1146" s="162"/>
      <c r="AN1146" s="162"/>
      <c r="AO1146" s="162"/>
      <c r="AP1146" s="162"/>
      <c r="AQ1146" s="162"/>
      <c r="AR1146" s="710"/>
      <c r="AV1146" s="82"/>
      <c r="AW1146" s="947"/>
      <c r="AX1146" s="947"/>
      <c r="AY1146" s="947"/>
    </row>
    <row r="1147" spans="31:51" x14ac:dyDescent="0.25">
      <c r="AE1147" s="75"/>
      <c r="AF1147" s="82"/>
      <c r="AG1147" s="82"/>
      <c r="AH1147" s="82"/>
      <c r="AI1147" s="82"/>
      <c r="AJ1147" s="166"/>
      <c r="AK1147" s="82"/>
      <c r="AL1147" s="162"/>
      <c r="AM1147" s="162"/>
      <c r="AN1147" s="162"/>
      <c r="AO1147" s="162"/>
      <c r="AP1147" s="162"/>
      <c r="AQ1147" s="162"/>
      <c r="AR1147" s="710"/>
      <c r="AV1147" s="82"/>
      <c r="AW1147" s="947"/>
      <c r="AX1147" s="947"/>
      <c r="AY1147" s="947"/>
    </row>
    <row r="1148" spans="31:51" x14ac:dyDescent="0.25">
      <c r="AE1148" s="75"/>
      <c r="AF1148" s="82"/>
      <c r="AG1148" s="82"/>
      <c r="AH1148" s="82"/>
      <c r="AI1148" s="82"/>
      <c r="AJ1148" s="166"/>
      <c r="AK1148" s="82"/>
      <c r="AL1148" s="162"/>
      <c r="AM1148" s="162"/>
      <c r="AN1148" s="162"/>
      <c r="AO1148" s="162"/>
      <c r="AP1148" s="162"/>
      <c r="AQ1148" s="162"/>
      <c r="AR1148" s="710"/>
      <c r="AV1148" s="82"/>
      <c r="AW1148" s="947"/>
      <c r="AX1148" s="947"/>
      <c r="AY1148" s="947"/>
    </row>
    <row r="1149" spans="31:51" x14ac:dyDescent="0.25">
      <c r="AE1149" s="75"/>
      <c r="AF1149" s="82"/>
      <c r="AG1149" s="82"/>
      <c r="AH1149" s="82"/>
      <c r="AI1149" s="82"/>
      <c r="AJ1149" s="166"/>
      <c r="AK1149" s="82"/>
      <c r="AL1149" s="162"/>
      <c r="AM1149" s="162"/>
      <c r="AN1149" s="162"/>
      <c r="AO1149" s="162"/>
      <c r="AP1149" s="162"/>
      <c r="AQ1149" s="162"/>
      <c r="AR1149" s="710"/>
      <c r="AV1149" s="82"/>
      <c r="AW1149" s="947"/>
      <c r="AX1149" s="947"/>
      <c r="AY1149" s="947"/>
    </row>
    <row r="1150" spans="31:51" x14ac:dyDescent="0.25">
      <c r="AE1150" s="75"/>
      <c r="AF1150" s="82"/>
      <c r="AG1150" s="82"/>
      <c r="AH1150" s="82"/>
      <c r="AI1150" s="82"/>
      <c r="AJ1150" s="166"/>
      <c r="AK1150" s="82"/>
      <c r="AL1150" s="162"/>
      <c r="AM1150" s="162"/>
      <c r="AN1150" s="162"/>
      <c r="AO1150" s="162"/>
      <c r="AP1150" s="162"/>
      <c r="AQ1150" s="162"/>
      <c r="AR1150" s="710"/>
      <c r="AV1150" s="82"/>
      <c r="AW1150" s="947"/>
      <c r="AX1150" s="947"/>
      <c r="AY1150" s="947"/>
    </row>
    <row r="1151" spans="31:51" x14ac:dyDescent="0.25">
      <c r="AE1151" s="75"/>
      <c r="AF1151" s="82"/>
      <c r="AG1151" s="82"/>
      <c r="AH1151" s="82"/>
      <c r="AI1151" s="82"/>
      <c r="AJ1151" s="166"/>
      <c r="AK1151" s="82"/>
      <c r="AL1151" s="162"/>
      <c r="AM1151" s="162"/>
      <c r="AN1151" s="162"/>
      <c r="AO1151" s="162"/>
      <c r="AP1151" s="162"/>
      <c r="AQ1151" s="162"/>
      <c r="AR1151" s="710"/>
      <c r="AV1151" s="82"/>
      <c r="AW1151" s="947"/>
      <c r="AX1151" s="947"/>
      <c r="AY1151" s="947"/>
    </row>
    <row r="1152" spans="31:51" x14ac:dyDescent="0.25">
      <c r="AE1152" s="75"/>
      <c r="AF1152" s="82"/>
      <c r="AG1152" s="82"/>
      <c r="AH1152" s="82"/>
      <c r="AI1152" s="82"/>
      <c r="AJ1152" s="166"/>
      <c r="AK1152" s="82"/>
      <c r="AL1152" s="162"/>
      <c r="AM1152" s="162"/>
      <c r="AN1152" s="162"/>
      <c r="AO1152" s="162"/>
      <c r="AP1152" s="162"/>
      <c r="AQ1152" s="162"/>
      <c r="AR1152" s="710"/>
      <c r="AV1152" s="82"/>
      <c r="AW1152" s="947"/>
      <c r="AX1152" s="947"/>
      <c r="AY1152" s="947"/>
    </row>
    <row r="1153" spans="31:51" x14ac:dyDescent="0.25">
      <c r="AE1153" s="75"/>
      <c r="AF1153" s="82"/>
      <c r="AG1153" s="82"/>
      <c r="AH1153" s="82"/>
      <c r="AI1153" s="82"/>
      <c r="AJ1153" s="166"/>
      <c r="AK1153" s="82"/>
      <c r="AL1153" s="162"/>
      <c r="AM1153" s="162"/>
      <c r="AN1153" s="162"/>
      <c r="AO1153" s="162"/>
      <c r="AP1153" s="162"/>
      <c r="AQ1153" s="162"/>
      <c r="AR1153" s="710"/>
      <c r="AV1153" s="82"/>
      <c r="AW1153" s="947"/>
      <c r="AX1153" s="947"/>
      <c r="AY1153" s="947"/>
    </row>
    <row r="1154" spans="31:51" x14ac:dyDescent="0.25">
      <c r="AE1154" s="75"/>
      <c r="AF1154" s="82"/>
      <c r="AG1154" s="82"/>
      <c r="AH1154" s="82"/>
      <c r="AI1154" s="82"/>
      <c r="AJ1154" s="166"/>
      <c r="AK1154" s="82"/>
      <c r="AL1154" s="162"/>
      <c r="AM1154" s="162"/>
      <c r="AN1154" s="162"/>
      <c r="AO1154" s="162"/>
      <c r="AP1154" s="162"/>
      <c r="AQ1154" s="162"/>
      <c r="AR1154" s="710"/>
      <c r="AV1154" s="82"/>
      <c r="AW1154" s="947"/>
      <c r="AX1154" s="947"/>
      <c r="AY1154" s="947"/>
    </row>
    <row r="1155" spans="31:51" x14ac:dyDescent="0.25">
      <c r="AE1155" s="75"/>
      <c r="AF1155" s="82"/>
      <c r="AG1155" s="82"/>
      <c r="AH1155" s="82"/>
      <c r="AI1155" s="82"/>
      <c r="AJ1155" s="166"/>
      <c r="AK1155" s="82"/>
      <c r="AL1155" s="162"/>
      <c r="AM1155" s="162"/>
      <c r="AN1155" s="162"/>
      <c r="AO1155" s="162"/>
      <c r="AP1155" s="162"/>
      <c r="AQ1155" s="162"/>
      <c r="AR1155" s="710"/>
      <c r="AV1155" s="82"/>
      <c r="AW1155" s="947"/>
      <c r="AX1155" s="947"/>
      <c r="AY1155" s="947"/>
    </row>
    <row r="1156" spans="31:51" x14ac:dyDescent="0.25">
      <c r="AE1156" s="75"/>
      <c r="AF1156" s="82"/>
      <c r="AG1156" s="82"/>
      <c r="AH1156" s="82"/>
      <c r="AI1156" s="82"/>
      <c r="AJ1156" s="166"/>
      <c r="AK1156" s="82"/>
      <c r="AL1156" s="162"/>
      <c r="AM1156" s="162"/>
      <c r="AN1156" s="162"/>
      <c r="AO1156" s="162"/>
      <c r="AP1156" s="162"/>
      <c r="AQ1156" s="162"/>
      <c r="AR1156" s="710"/>
      <c r="AV1156" s="82"/>
      <c r="AW1156" s="947"/>
      <c r="AX1156" s="947"/>
      <c r="AY1156" s="947"/>
    </row>
    <row r="1157" spans="31:51" x14ac:dyDescent="0.25">
      <c r="AE1157" s="75"/>
      <c r="AF1157" s="82"/>
      <c r="AG1157" s="82"/>
      <c r="AH1157" s="82"/>
      <c r="AI1157" s="82"/>
      <c r="AJ1157" s="166"/>
      <c r="AK1157" s="82"/>
      <c r="AL1157" s="162"/>
      <c r="AM1157" s="162"/>
      <c r="AN1157" s="162"/>
      <c r="AO1157" s="162"/>
      <c r="AP1157" s="162"/>
      <c r="AQ1157" s="162"/>
      <c r="AR1157" s="710"/>
      <c r="AV1157" s="82"/>
      <c r="AW1157" s="947"/>
      <c r="AX1157" s="947"/>
      <c r="AY1157" s="947"/>
    </row>
    <row r="1158" spans="31:51" x14ac:dyDescent="0.25">
      <c r="AE1158" s="75"/>
      <c r="AF1158" s="82"/>
      <c r="AG1158" s="82"/>
      <c r="AH1158" s="82"/>
      <c r="AI1158" s="82"/>
      <c r="AJ1158" s="166"/>
      <c r="AK1158" s="82"/>
      <c r="AL1158" s="162"/>
      <c r="AM1158" s="162"/>
      <c r="AN1158" s="162"/>
      <c r="AO1158" s="162"/>
      <c r="AP1158" s="162"/>
      <c r="AQ1158" s="162"/>
      <c r="AR1158" s="710"/>
      <c r="AV1158" s="82"/>
      <c r="AW1158" s="947"/>
      <c r="AX1158" s="947"/>
      <c r="AY1158" s="947"/>
    </row>
    <row r="1159" spans="31:51" x14ac:dyDescent="0.25">
      <c r="AE1159" s="75"/>
      <c r="AF1159" s="82"/>
      <c r="AG1159" s="82"/>
      <c r="AH1159" s="82"/>
      <c r="AI1159" s="82"/>
      <c r="AJ1159" s="166"/>
      <c r="AK1159" s="82"/>
      <c r="AL1159" s="162"/>
      <c r="AM1159" s="162"/>
      <c r="AN1159" s="162"/>
      <c r="AO1159" s="162"/>
      <c r="AP1159" s="162"/>
      <c r="AQ1159" s="162"/>
      <c r="AR1159" s="710"/>
      <c r="AV1159" s="82"/>
      <c r="AW1159" s="947"/>
      <c r="AX1159" s="947"/>
      <c r="AY1159" s="947"/>
    </row>
    <row r="1160" spans="31:51" x14ac:dyDescent="0.25">
      <c r="AE1160" s="75"/>
      <c r="AF1160" s="82"/>
      <c r="AG1160" s="82"/>
      <c r="AH1160" s="82"/>
      <c r="AI1160" s="82"/>
      <c r="AJ1160" s="166"/>
      <c r="AK1160" s="82"/>
      <c r="AL1160" s="162"/>
      <c r="AM1160" s="162"/>
      <c r="AN1160" s="162"/>
      <c r="AO1160" s="162"/>
      <c r="AP1160" s="162"/>
      <c r="AQ1160" s="162"/>
      <c r="AR1160" s="710"/>
      <c r="AV1160" s="82"/>
      <c r="AW1160" s="947"/>
      <c r="AX1160" s="947"/>
      <c r="AY1160" s="947"/>
    </row>
    <row r="1161" spans="31:51" x14ac:dyDescent="0.25">
      <c r="AE1161" s="75"/>
      <c r="AF1161" s="82"/>
      <c r="AG1161" s="82"/>
      <c r="AH1161" s="82"/>
      <c r="AI1161" s="82"/>
      <c r="AJ1161" s="166"/>
      <c r="AK1161" s="82"/>
      <c r="AL1161" s="162"/>
      <c r="AM1161" s="162"/>
      <c r="AN1161" s="162"/>
      <c r="AO1161" s="162"/>
      <c r="AP1161" s="162"/>
      <c r="AQ1161" s="162"/>
      <c r="AR1161" s="710"/>
      <c r="AV1161" s="82"/>
      <c r="AW1161" s="947"/>
      <c r="AX1161" s="947"/>
      <c r="AY1161" s="947"/>
    </row>
    <row r="1162" spans="31:51" x14ac:dyDescent="0.25">
      <c r="AE1162" s="75"/>
      <c r="AF1162" s="82"/>
      <c r="AG1162" s="82"/>
      <c r="AH1162" s="82"/>
      <c r="AI1162" s="82"/>
      <c r="AJ1162" s="166"/>
      <c r="AK1162" s="82"/>
      <c r="AL1162" s="162"/>
      <c r="AM1162" s="162"/>
      <c r="AN1162" s="162"/>
      <c r="AO1162" s="162"/>
      <c r="AP1162" s="162"/>
      <c r="AQ1162" s="162"/>
      <c r="AR1162" s="710"/>
      <c r="AV1162" s="82"/>
      <c r="AW1162" s="947"/>
      <c r="AX1162" s="947"/>
      <c r="AY1162" s="947"/>
    </row>
    <row r="1163" spans="31:51" x14ac:dyDescent="0.25">
      <c r="AE1163" s="75"/>
      <c r="AF1163" s="82"/>
      <c r="AG1163" s="82"/>
      <c r="AH1163" s="82"/>
      <c r="AI1163" s="82"/>
      <c r="AJ1163" s="166"/>
      <c r="AK1163" s="82"/>
      <c r="AL1163" s="162"/>
      <c r="AM1163" s="162"/>
      <c r="AN1163" s="162"/>
      <c r="AO1163" s="162"/>
      <c r="AP1163" s="162"/>
      <c r="AQ1163" s="162"/>
      <c r="AR1163" s="710"/>
      <c r="AV1163" s="82"/>
      <c r="AW1163" s="947"/>
      <c r="AX1163" s="947"/>
      <c r="AY1163" s="947"/>
    </row>
    <row r="1164" spans="31:51" x14ac:dyDescent="0.25">
      <c r="AE1164" s="75"/>
      <c r="AF1164" s="82"/>
      <c r="AG1164" s="82"/>
      <c r="AH1164" s="82"/>
      <c r="AI1164" s="82"/>
      <c r="AJ1164" s="166"/>
      <c r="AK1164" s="82"/>
      <c r="AL1164" s="162"/>
      <c r="AM1164" s="162"/>
      <c r="AN1164" s="162"/>
      <c r="AO1164" s="162"/>
      <c r="AP1164" s="162"/>
      <c r="AQ1164" s="162"/>
      <c r="AR1164" s="710"/>
      <c r="AV1164" s="82"/>
      <c r="AW1164" s="947"/>
      <c r="AX1164" s="947"/>
      <c r="AY1164" s="947"/>
    </row>
    <row r="1165" spans="31:51" x14ac:dyDescent="0.25">
      <c r="AE1165" s="75"/>
      <c r="AF1165" s="82"/>
      <c r="AG1165" s="82"/>
      <c r="AH1165" s="82"/>
      <c r="AI1165" s="82"/>
      <c r="AJ1165" s="166"/>
      <c r="AK1165" s="82"/>
      <c r="AL1165" s="162"/>
      <c r="AM1165" s="162"/>
      <c r="AN1165" s="162"/>
      <c r="AO1165" s="162"/>
      <c r="AP1165" s="162"/>
      <c r="AQ1165" s="162"/>
      <c r="AR1165" s="710"/>
      <c r="AV1165" s="82"/>
      <c r="AW1165" s="947"/>
      <c r="AX1165" s="947"/>
      <c r="AY1165" s="947"/>
    </row>
    <row r="1166" spans="31:51" x14ac:dyDescent="0.25">
      <c r="AE1166" s="75"/>
      <c r="AF1166" s="82"/>
      <c r="AG1166" s="82"/>
      <c r="AH1166" s="82"/>
      <c r="AI1166" s="82"/>
      <c r="AJ1166" s="166"/>
      <c r="AK1166" s="82"/>
      <c r="AL1166" s="162"/>
      <c r="AM1166" s="162"/>
      <c r="AN1166" s="162"/>
      <c r="AO1166" s="162"/>
      <c r="AP1166" s="162"/>
      <c r="AQ1166" s="162"/>
      <c r="AR1166" s="710"/>
      <c r="AV1166" s="82"/>
      <c r="AW1166" s="947"/>
      <c r="AX1166" s="947"/>
      <c r="AY1166" s="947"/>
    </row>
    <row r="1167" spans="31:51" x14ac:dyDescent="0.25">
      <c r="AE1167" s="75"/>
      <c r="AF1167" s="82"/>
      <c r="AG1167" s="82"/>
      <c r="AH1167" s="82"/>
      <c r="AI1167" s="82"/>
      <c r="AJ1167" s="166"/>
      <c r="AK1167" s="82"/>
      <c r="AL1167" s="162"/>
      <c r="AM1167" s="162"/>
      <c r="AN1167" s="162"/>
      <c r="AO1167" s="162"/>
      <c r="AP1167" s="162"/>
      <c r="AQ1167" s="162"/>
      <c r="AR1167" s="710"/>
      <c r="AV1167" s="82"/>
      <c r="AW1167" s="947"/>
      <c r="AX1167" s="947"/>
      <c r="AY1167" s="947"/>
    </row>
    <row r="1168" spans="31:51" x14ac:dyDescent="0.25">
      <c r="AE1168" s="75"/>
      <c r="AF1168" s="82"/>
      <c r="AG1168" s="82"/>
      <c r="AH1168" s="82"/>
      <c r="AI1168" s="82"/>
      <c r="AJ1168" s="166"/>
      <c r="AK1168" s="82"/>
      <c r="AL1168" s="162"/>
      <c r="AM1168" s="162"/>
      <c r="AN1168" s="162"/>
      <c r="AO1168" s="162"/>
      <c r="AP1168" s="162"/>
      <c r="AQ1168" s="162"/>
      <c r="AR1168" s="710"/>
      <c r="AV1168" s="82"/>
      <c r="AW1168" s="947"/>
      <c r="AX1168" s="947"/>
      <c r="AY1168" s="947"/>
    </row>
    <row r="1169" spans="31:51" x14ac:dyDescent="0.25">
      <c r="AE1169" s="75"/>
      <c r="AF1169" s="82"/>
      <c r="AG1169" s="82"/>
      <c r="AH1169" s="82"/>
      <c r="AI1169" s="82"/>
      <c r="AJ1169" s="166"/>
      <c r="AK1169" s="82"/>
      <c r="AL1169" s="162"/>
      <c r="AM1169" s="162"/>
      <c r="AN1169" s="162"/>
      <c r="AO1169" s="162"/>
      <c r="AP1169" s="162"/>
      <c r="AQ1169" s="162"/>
      <c r="AR1169" s="710"/>
      <c r="AV1169" s="82"/>
      <c r="AW1169" s="947"/>
      <c r="AX1169" s="947"/>
      <c r="AY1169" s="947"/>
    </row>
    <row r="1170" spans="31:51" x14ac:dyDescent="0.25">
      <c r="AE1170" s="75"/>
      <c r="AF1170" s="82"/>
      <c r="AG1170" s="82"/>
      <c r="AH1170" s="82"/>
      <c r="AI1170" s="82"/>
      <c r="AJ1170" s="166"/>
      <c r="AK1170" s="82"/>
      <c r="AL1170" s="162"/>
      <c r="AM1170" s="162"/>
      <c r="AN1170" s="162"/>
      <c r="AO1170" s="162"/>
      <c r="AP1170" s="162"/>
      <c r="AQ1170" s="162"/>
      <c r="AR1170" s="710"/>
      <c r="AV1170" s="82"/>
      <c r="AW1170" s="947"/>
      <c r="AX1170" s="947"/>
      <c r="AY1170" s="947"/>
    </row>
    <row r="1171" spans="31:51" x14ac:dyDescent="0.25">
      <c r="AE1171" s="75"/>
      <c r="AF1171" s="82"/>
      <c r="AG1171" s="82"/>
      <c r="AH1171" s="82"/>
      <c r="AI1171" s="82"/>
      <c r="AJ1171" s="166"/>
      <c r="AK1171" s="82"/>
      <c r="AL1171" s="162"/>
      <c r="AM1171" s="162"/>
      <c r="AN1171" s="162"/>
      <c r="AO1171" s="162"/>
      <c r="AP1171" s="162"/>
      <c r="AQ1171" s="162"/>
      <c r="AR1171" s="710"/>
      <c r="AV1171" s="82"/>
      <c r="AW1171" s="947"/>
      <c r="AX1171" s="947"/>
      <c r="AY1171" s="947"/>
    </row>
    <row r="1172" spans="31:51" x14ac:dyDescent="0.25">
      <c r="AE1172" s="75"/>
      <c r="AF1172" s="82"/>
      <c r="AG1172" s="82"/>
      <c r="AH1172" s="82"/>
      <c r="AI1172" s="82"/>
      <c r="AJ1172" s="166"/>
      <c r="AK1172" s="82"/>
      <c r="AL1172" s="162"/>
      <c r="AM1172" s="162"/>
      <c r="AN1172" s="162"/>
      <c r="AO1172" s="162"/>
      <c r="AP1172" s="162"/>
      <c r="AQ1172" s="162"/>
      <c r="AR1172" s="710"/>
      <c r="AV1172" s="82"/>
      <c r="AW1172" s="947"/>
      <c r="AX1172" s="947"/>
      <c r="AY1172" s="947"/>
    </row>
    <row r="1173" spans="31:51" x14ac:dyDescent="0.25">
      <c r="AE1173" s="75"/>
      <c r="AF1173" s="82"/>
      <c r="AG1173" s="82"/>
      <c r="AH1173" s="82"/>
      <c r="AI1173" s="82"/>
      <c r="AJ1173" s="166"/>
      <c r="AK1173" s="82"/>
      <c r="AL1173" s="162"/>
      <c r="AM1173" s="162"/>
      <c r="AN1173" s="162"/>
      <c r="AO1173" s="162"/>
      <c r="AP1173" s="162"/>
      <c r="AQ1173" s="162"/>
      <c r="AR1173" s="710"/>
      <c r="AV1173" s="82"/>
      <c r="AW1173" s="947"/>
      <c r="AX1173" s="947"/>
      <c r="AY1173" s="947"/>
    </row>
    <row r="1174" spans="31:51" x14ac:dyDescent="0.25">
      <c r="AE1174" s="75"/>
      <c r="AF1174" s="82"/>
      <c r="AG1174" s="82"/>
      <c r="AH1174" s="82"/>
      <c r="AI1174" s="82"/>
      <c r="AJ1174" s="166"/>
      <c r="AK1174" s="82"/>
      <c r="AL1174" s="162"/>
      <c r="AM1174" s="162"/>
      <c r="AN1174" s="162"/>
      <c r="AO1174" s="162"/>
      <c r="AP1174" s="162"/>
      <c r="AQ1174" s="162"/>
      <c r="AR1174" s="710"/>
      <c r="AV1174" s="82"/>
      <c r="AW1174" s="947"/>
      <c r="AX1174" s="947"/>
      <c r="AY1174" s="947"/>
    </row>
    <row r="1175" spans="31:51" x14ac:dyDescent="0.25">
      <c r="AE1175" s="75"/>
      <c r="AF1175" s="82"/>
      <c r="AG1175" s="82"/>
      <c r="AH1175" s="82"/>
      <c r="AI1175" s="82"/>
      <c r="AJ1175" s="166"/>
      <c r="AK1175" s="82"/>
      <c r="AL1175" s="162"/>
      <c r="AM1175" s="162"/>
      <c r="AN1175" s="162"/>
      <c r="AO1175" s="162"/>
      <c r="AP1175" s="162"/>
      <c r="AQ1175" s="162"/>
      <c r="AR1175" s="710"/>
      <c r="AV1175" s="82"/>
      <c r="AW1175" s="947"/>
      <c r="AX1175" s="947"/>
      <c r="AY1175" s="947"/>
    </row>
    <row r="1176" spans="31:51" x14ac:dyDescent="0.25">
      <c r="AE1176" s="75"/>
      <c r="AF1176" s="82"/>
      <c r="AG1176" s="82"/>
      <c r="AH1176" s="82"/>
      <c r="AI1176" s="82"/>
      <c r="AJ1176" s="166"/>
      <c r="AK1176" s="82"/>
      <c r="AL1176" s="162"/>
      <c r="AM1176" s="162"/>
      <c r="AN1176" s="162"/>
      <c r="AO1176" s="162"/>
      <c r="AP1176" s="162"/>
      <c r="AQ1176" s="162"/>
      <c r="AR1176" s="710"/>
      <c r="AV1176" s="82"/>
      <c r="AW1176" s="947"/>
      <c r="AX1176" s="947"/>
      <c r="AY1176" s="947"/>
    </row>
    <row r="1177" spans="31:51" x14ac:dyDescent="0.25">
      <c r="AE1177" s="75"/>
      <c r="AF1177" s="82"/>
      <c r="AG1177" s="82"/>
      <c r="AH1177" s="82"/>
      <c r="AI1177" s="82"/>
      <c r="AJ1177" s="166"/>
      <c r="AK1177" s="82"/>
      <c r="AL1177" s="162"/>
      <c r="AM1177" s="162"/>
      <c r="AN1177" s="162"/>
      <c r="AO1177" s="162"/>
      <c r="AP1177" s="162"/>
      <c r="AQ1177" s="162"/>
      <c r="AR1177" s="710"/>
      <c r="AV1177" s="82"/>
      <c r="AW1177" s="947"/>
      <c r="AX1177" s="947"/>
      <c r="AY1177" s="947"/>
    </row>
    <row r="1178" spans="31:51" x14ac:dyDescent="0.25">
      <c r="AE1178" s="75"/>
      <c r="AF1178" s="82"/>
      <c r="AG1178" s="82"/>
      <c r="AH1178" s="82"/>
      <c r="AI1178" s="82"/>
      <c r="AJ1178" s="166"/>
      <c r="AK1178" s="82"/>
      <c r="AL1178" s="162"/>
      <c r="AM1178" s="162"/>
      <c r="AN1178" s="162"/>
      <c r="AO1178" s="162"/>
      <c r="AP1178" s="162"/>
      <c r="AQ1178" s="162"/>
      <c r="AR1178" s="710"/>
      <c r="AV1178" s="82"/>
      <c r="AW1178" s="947"/>
      <c r="AX1178" s="947"/>
      <c r="AY1178" s="947"/>
    </row>
    <row r="1179" spans="31:51" x14ac:dyDescent="0.25">
      <c r="AE1179" s="75"/>
      <c r="AF1179" s="82"/>
      <c r="AG1179" s="82"/>
      <c r="AH1179" s="82"/>
      <c r="AI1179" s="82"/>
      <c r="AJ1179" s="166"/>
      <c r="AK1179" s="82"/>
      <c r="AL1179" s="162"/>
      <c r="AM1179" s="162"/>
      <c r="AN1179" s="162"/>
      <c r="AO1179" s="162"/>
      <c r="AP1179" s="162"/>
      <c r="AQ1179" s="162"/>
      <c r="AR1179" s="710"/>
      <c r="AV1179" s="82"/>
      <c r="AW1179" s="947"/>
      <c r="AX1179" s="947"/>
      <c r="AY1179" s="947"/>
    </row>
    <row r="1180" spans="31:51" x14ac:dyDescent="0.25">
      <c r="AE1180" s="75"/>
      <c r="AF1180" s="82"/>
      <c r="AG1180" s="82"/>
      <c r="AH1180" s="82"/>
      <c r="AI1180" s="82"/>
      <c r="AJ1180" s="166"/>
      <c r="AK1180" s="82"/>
      <c r="AL1180" s="162"/>
      <c r="AM1180" s="162"/>
      <c r="AN1180" s="162"/>
      <c r="AO1180" s="162"/>
      <c r="AP1180" s="162"/>
      <c r="AQ1180" s="162"/>
      <c r="AR1180" s="710"/>
      <c r="AV1180" s="82"/>
      <c r="AW1180" s="947"/>
      <c r="AX1180" s="947"/>
      <c r="AY1180" s="947"/>
    </row>
    <row r="1181" spans="31:51" x14ac:dyDescent="0.25">
      <c r="AE1181" s="75"/>
      <c r="AF1181" s="82"/>
      <c r="AG1181" s="82"/>
      <c r="AH1181" s="82"/>
      <c r="AI1181" s="82"/>
      <c r="AJ1181" s="166"/>
      <c r="AK1181" s="82"/>
      <c r="AL1181" s="162"/>
      <c r="AM1181" s="162"/>
      <c r="AN1181" s="162"/>
      <c r="AO1181" s="162"/>
      <c r="AP1181" s="162"/>
      <c r="AQ1181" s="162"/>
      <c r="AR1181" s="710"/>
      <c r="AV1181" s="82"/>
      <c r="AW1181" s="947"/>
      <c r="AX1181" s="947"/>
      <c r="AY1181" s="947"/>
    </row>
    <row r="1182" spans="31:51" x14ac:dyDescent="0.25">
      <c r="AE1182" s="75"/>
      <c r="AF1182" s="82"/>
      <c r="AG1182" s="82"/>
      <c r="AH1182" s="82"/>
      <c r="AI1182" s="82"/>
      <c r="AJ1182" s="166"/>
      <c r="AK1182" s="82"/>
      <c r="AL1182" s="162"/>
      <c r="AM1182" s="162"/>
      <c r="AN1182" s="162"/>
      <c r="AO1182" s="162"/>
      <c r="AP1182" s="162"/>
      <c r="AQ1182" s="162"/>
      <c r="AR1182" s="710"/>
      <c r="AV1182" s="82"/>
      <c r="AW1182" s="947"/>
      <c r="AX1182" s="947"/>
      <c r="AY1182" s="947"/>
    </row>
    <row r="1183" spans="31:51" x14ac:dyDescent="0.25">
      <c r="AE1183" s="75"/>
      <c r="AF1183" s="82"/>
      <c r="AG1183" s="82"/>
      <c r="AH1183" s="82"/>
      <c r="AI1183" s="82"/>
      <c r="AJ1183" s="166"/>
      <c r="AK1183" s="82"/>
      <c r="AL1183" s="162"/>
      <c r="AM1183" s="162"/>
      <c r="AN1183" s="162"/>
      <c r="AO1183" s="162"/>
      <c r="AP1183" s="162"/>
      <c r="AQ1183" s="162"/>
      <c r="AR1183" s="710"/>
      <c r="AV1183" s="82"/>
      <c r="AW1183" s="947"/>
      <c r="AX1183" s="947"/>
      <c r="AY1183" s="947"/>
    </row>
    <row r="1184" spans="31:51" x14ac:dyDescent="0.25">
      <c r="AE1184" s="75"/>
      <c r="AF1184" s="82"/>
      <c r="AG1184" s="82"/>
      <c r="AH1184" s="82"/>
      <c r="AI1184" s="82"/>
      <c r="AJ1184" s="166"/>
      <c r="AK1184" s="82"/>
      <c r="AL1184" s="162"/>
      <c r="AM1184" s="162"/>
      <c r="AN1184" s="162"/>
      <c r="AO1184" s="162"/>
      <c r="AP1184" s="162"/>
      <c r="AQ1184" s="162"/>
      <c r="AR1184" s="710"/>
      <c r="AV1184" s="82"/>
      <c r="AW1184" s="947"/>
      <c r="AX1184" s="947"/>
      <c r="AY1184" s="947"/>
    </row>
    <row r="1185" spans="31:51" x14ac:dyDescent="0.25">
      <c r="AE1185" s="75"/>
      <c r="AF1185" s="82"/>
      <c r="AG1185" s="82"/>
      <c r="AH1185" s="82"/>
      <c r="AI1185" s="82"/>
      <c r="AJ1185" s="166"/>
      <c r="AK1185" s="82"/>
      <c r="AL1185" s="162"/>
      <c r="AM1185" s="162"/>
      <c r="AN1185" s="162"/>
      <c r="AO1185" s="162"/>
      <c r="AP1185" s="162"/>
      <c r="AQ1185" s="162"/>
      <c r="AR1185" s="710"/>
      <c r="AV1185" s="82"/>
      <c r="AW1185" s="947"/>
      <c r="AX1185" s="947"/>
      <c r="AY1185" s="947"/>
    </row>
    <row r="1186" spans="31:51" x14ac:dyDescent="0.25">
      <c r="AE1186" s="75"/>
      <c r="AF1186" s="82"/>
      <c r="AG1186" s="82"/>
      <c r="AH1186" s="82"/>
      <c r="AI1186" s="82"/>
      <c r="AJ1186" s="166"/>
      <c r="AK1186" s="82"/>
      <c r="AL1186" s="162"/>
      <c r="AM1186" s="162"/>
      <c r="AN1186" s="162"/>
      <c r="AO1186" s="162"/>
      <c r="AP1186" s="162"/>
      <c r="AQ1186" s="162"/>
      <c r="AR1186" s="710"/>
      <c r="AV1186" s="82"/>
      <c r="AW1186" s="947"/>
      <c r="AX1186" s="947"/>
      <c r="AY1186" s="947"/>
    </row>
    <row r="1187" spans="31:51" x14ac:dyDescent="0.25">
      <c r="AE1187" s="75"/>
      <c r="AF1187" s="82"/>
      <c r="AG1187" s="82"/>
      <c r="AH1187" s="82"/>
      <c r="AI1187" s="82"/>
      <c r="AJ1187" s="166"/>
      <c r="AK1187" s="82"/>
      <c r="AL1187" s="162"/>
      <c r="AM1187" s="162"/>
      <c r="AN1187" s="162"/>
      <c r="AO1187" s="162"/>
      <c r="AP1187" s="162"/>
      <c r="AQ1187" s="162"/>
      <c r="AR1187" s="710"/>
      <c r="AV1187" s="82"/>
      <c r="AW1187" s="947"/>
      <c r="AX1187" s="947"/>
      <c r="AY1187" s="947"/>
    </row>
    <row r="1188" spans="31:51" x14ac:dyDescent="0.25">
      <c r="AE1188" s="75"/>
      <c r="AF1188" s="82"/>
      <c r="AG1188" s="82"/>
      <c r="AH1188" s="82"/>
      <c r="AI1188" s="82"/>
      <c r="AJ1188" s="166"/>
      <c r="AK1188" s="82"/>
      <c r="AL1188" s="162"/>
      <c r="AM1188" s="162"/>
      <c r="AN1188" s="162"/>
      <c r="AO1188" s="162"/>
      <c r="AP1188" s="162"/>
      <c r="AQ1188" s="162"/>
      <c r="AR1188" s="710"/>
      <c r="AV1188" s="82"/>
      <c r="AW1188" s="947"/>
      <c r="AX1188" s="947"/>
      <c r="AY1188" s="947"/>
    </row>
    <row r="1189" spans="31:51" x14ac:dyDescent="0.25">
      <c r="AE1189" s="75"/>
      <c r="AF1189" s="82"/>
      <c r="AG1189" s="82"/>
      <c r="AH1189" s="82"/>
      <c r="AI1189" s="82"/>
      <c r="AJ1189" s="166"/>
      <c r="AK1189" s="82"/>
      <c r="AL1189" s="162"/>
      <c r="AM1189" s="162"/>
      <c r="AN1189" s="162"/>
      <c r="AO1189" s="162"/>
      <c r="AP1189" s="162"/>
      <c r="AQ1189" s="162"/>
      <c r="AR1189" s="710"/>
      <c r="AV1189" s="82"/>
      <c r="AW1189" s="947"/>
      <c r="AX1189" s="947"/>
      <c r="AY1189" s="947"/>
    </row>
    <row r="1190" spans="31:51" x14ac:dyDescent="0.25">
      <c r="AE1190" s="75"/>
      <c r="AF1190" s="82"/>
      <c r="AG1190" s="82"/>
      <c r="AH1190" s="82"/>
      <c r="AI1190" s="82"/>
      <c r="AJ1190" s="166"/>
      <c r="AK1190" s="82"/>
      <c r="AL1190" s="162"/>
      <c r="AM1190" s="162"/>
      <c r="AN1190" s="162"/>
      <c r="AO1190" s="162"/>
      <c r="AP1190" s="162"/>
      <c r="AQ1190" s="162"/>
      <c r="AR1190" s="710"/>
      <c r="AV1190" s="82"/>
      <c r="AW1190" s="947"/>
      <c r="AX1190" s="947"/>
      <c r="AY1190" s="947"/>
    </row>
    <row r="1191" spans="31:51" x14ac:dyDescent="0.25">
      <c r="AE1191" s="75"/>
      <c r="AF1191" s="82"/>
      <c r="AG1191" s="82"/>
      <c r="AH1191" s="82"/>
      <c r="AI1191" s="82"/>
      <c r="AJ1191" s="166"/>
      <c r="AK1191" s="82"/>
      <c r="AL1191" s="162"/>
      <c r="AM1191" s="162"/>
      <c r="AN1191" s="162"/>
      <c r="AO1191" s="162"/>
      <c r="AP1191" s="162"/>
      <c r="AQ1191" s="162"/>
      <c r="AR1191" s="710"/>
      <c r="AV1191" s="82"/>
      <c r="AW1191" s="947"/>
      <c r="AX1191" s="947"/>
      <c r="AY1191" s="947"/>
    </row>
    <row r="1192" spans="31:51" x14ac:dyDescent="0.25">
      <c r="AE1192" s="75"/>
      <c r="AF1192" s="82"/>
      <c r="AG1192" s="82"/>
      <c r="AH1192" s="82"/>
      <c r="AI1192" s="82"/>
      <c r="AJ1192" s="166"/>
      <c r="AK1192" s="82"/>
      <c r="AL1192" s="162"/>
      <c r="AM1192" s="162"/>
      <c r="AN1192" s="162"/>
      <c r="AO1192" s="162"/>
      <c r="AP1192" s="162"/>
      <c r="AQ1192" s="162"/>
      <c r="AR1192" s="710"/>
      <c r="AV1192" s="82"/>
      <c r="AW1192" s="947"/>
      <c r="AX1192" s="947"/>
      <c r="AY1192" s="947"/>
    </row>
    <row r="1193" spans="31:51" x14ac:dyDescent="0.25">
      <c r="AE1193" s="75"/>
      <c r="AF1193" s="82"/>
      <c r="AG1193" s="82"/>
      <c r="AH1193" s="82"/>
      <c r="AI1193" s="82"/>
      <c r="AJ1193" s="166"/>
      <c r="AK1193" s="82"/>
      <c r="AL1193" s="162"/>
      <c r="AM1193" s="162"/>
      <c r="AN1193" s="162"/>
      <c r="AO1193" s="162"/>
      <c r="AP1193" s="162"/>
      <c r="AQ1193" s="162"/>
      <c r="AR1193" s="710"/>
      <c r="AV1193" s="82"/>
      <c r="AW1193" s="947"/>
      <c r="AX1193" s="947"/>
      <c r="AY1193" s="947"/>
    </row>
    <row r="1194" spans="31:51" x14ac:dyDescent="0.25">
      <c r="AE1194" s="75"/>
      <c r="AF1194" s="82"/>
      <c r="AG1194" s="82"/>
      <c r="AH1194" s="82"/>
      <c r="AI1194" s="82"/>
      <c r="AJ1194" s="166"/>
      <c r="AK1194" s="82"/>
      <c r="AL1194" s="162"/>
      <c r="AM1194" s="162"/>
      <c r="AN1194" s="162"/>
      <c r="AO1194" s="162"/>
      <c r="AP1194" s="162"/>
      <c r="AQ1194" s="162"/>
      <c r="AR1194" s="710"/>
      <c r="AV1194" s="82"/>
      <c r="AW1194" s="947"/>
      <c r="AX1194" s="947"/>
      <c r="AY1194" s="947"/>
    </row>
    <row r="1195" spans="31:51" x14ac:dyDescent="0.25">
      <c r="AE1195" s="75"/>
      <c r="AF1195" s="82"/>
      <c r="AG1195" s="82"/>
      <c r="AH1195" s="82"/>
      <c r="AI1195" s="82"/>
      <c r="AJ1195" s="166"/>
      <c r="AK1195" s="82"/>
      <c r="AL1195" s="162"/>
      <c r="AM1195" s="162"/>
      <c r="AN1195" s="162"/>
      <c r="AO1195" s="162"/>
      <c r="AP1195" s="162"/>
      <c r="AQ1195" s="162"/>
      <c r="AR1195" s="710"/>
      <c r="AV1195" s="82"/>
      <c r="AW1195" s="947"/>
      <c r="AX1195" s="947"/>
      <c r="AY1195" s="947"/>
    </row>
    <row r="1196" spans="31:51" x14ac:dyDescent="0.25">
      <c r="AE1196" s="75"/>
      <c r="AF1196" s="82"/>
      <c r="AG1196" s="82"/>
      <c r="AH1196" s="82"/>
      <c r="AI1196" s="82"/>
      <c r="AJ1196" s="166"/>
      <c r="AK1196" s="82"/>
      <c r="AL1196" s="162"/>
      <c r="AM1196" s="162"/>
      <c r="AN1196" s="162"/>
      <c r="AO1196" s="162"/>
      <c r="AP1196" s="162"/>
      <c r="AQ1196" s="162"/>
      <c r="AR1196" s="710"/>
      <c r="AV1196" s="82"/>
      <c r="AW1196" s="947"/>
      <c r="AX1196" s="947"/>
      <c r="AY1196" s="947"/>
    </row>
    <row r="1197" spans="31:51" x14ac:dyDescent="0.25">
      <c r="AE1197" s="75"/>
      <c r="AF1197" s="82"/>
      <c r="AG1197" s="82"/>
      <c r="AH1197" s="82"/>
      <c r="AI1197" s="82"/>
      <c r="AJ1197" s="166"/>
      <c r="AK1197" s="82"/>
      <c r="AL1197" s="162"/>
      <c r="AM1197" s="162"/>
      <c r="AN1197" s="162"/>
      <c r="AO1197" s="162"/>
      <c r="AP1197" s="162"/>
      <c r="AQ1197" s="162"/>
      <c r="AR1197" s="710"/>
      <c r="AV1197" s="82"/>
      <c r="AW1197" s="947"/>
      <c r="AX1197" s="947"/>
      <c r="AY1197" s="947"/>
    </row>
    <row r="1198" spans="31:51" x14ac:dyDescent="0.25">
      <c r="AE1198" s="75"/>
      <c r="AF1198" s="82"/>
      <c r="AG1198" s="82"/>
      <c r="AH1198" s="82"/>
      <c r="AI1198" s="82"/>
      <c r="AJ1198" s="166"/>
      <c r="AK1198" s="82"/>
      <c r="AL1198" s="162"/>
      <c r="AM1198" s="162"/>
      <c r="AN1198" s="162"/>
      <c r="AO1198" s="162"/>
      <c r="AP1198" s="162"/>
      <c r="AQ1198" s="162"/>
      <c r="AR1198" s="710"/>
      <c r="AV1198" s="82"/>
      <c r="AW1198" s="947"/>
      <c r="AX1198" s="947"/>
      <c r="AY1198" s="947"/>
    </row>
    <row r="1199" spans="31:51" x14ac:dyDescent="0.25">
      <c r="AE1199" s="75"/>
      <c r="AF1199" s="82"/>
      <c r="AG1199" s="82"/>
      <c r="AH1199" s="82"/>
      <c r="AI1199" s="82"/>
      <c r="AJ1199" s="166"/>
      <c r="AK1199" s="82"/>
      <c r="AL1199" s="162"/>
      <c r="AM1199" s="162"/>
      <c r="AN1199" s="162"/>
      <c r="AO1199" s="162"/>
      <c r="AP1199" s="162"/>
      <c r="AQ1199" s="162"/>
      <c r="AR1199" s="710"/>
      <c r="AV1199" s="82"/>
      <c r="AW1199" s="947"/>
      <c r="AX1199" s="947"/>
      <c r="AY1199" s="947"/>
    </row>
    <row r="1200" spans="31:51" x14ac:dyDescent="0.25">
      <c r="AE1200" s="75"/>
      <c r="AF1200" s="82"/>
      <c r="AG1200" s="82"/>
      <c r="AH1200" s="82"/>
      <c r="AI1200" s="82"/>
      <c r="AJ1200" s="166"/>
      <c r="AK1200" s="82"/>
      <c r="AL1200" s="162"/>
      <c r="AM1200" s="162"/>
      <c r="AN1200" s="162"/>
      <c r="AO1200" s="162"/>
      <c r="AP1200" s="162"/>
      <c r="AQ1200" s="162"/>
      <c r="AR1200" s="710"/>
      <c r="AV1200" s="82"/>
      <c r="AW1200" s="947"/>
      <c r="AX1200" s="947"/>
      <c r="AY1200" s="947"/>
    </row>
    <row r="1201" spans="31:51" x14ac:dyDescent="0.25">
      <c r="AE1201" s="75"/>
      <c r="AF1201" s="82"/>
      <c r="AG1201" s="82"/>
      <c r="AH1201" s="82"/>
      <c r="AI1201" s="82"/>
      <c r="AJ1201" s="166"/>
      <c r="AK1201" s="82"/>
      <c r="AL1201" s="162"/>
      <c r="AM1201" s="162"/>
      <c r="AN1201" s="162"/>
      <c r="AO1201" s="162"/>
      <c r="AP1201" s="162"/>
      <c r="AQ1201" s="162"/>
      <c r="AR1201" s="710"/>
      <c r="AV1201" s="82"/>
      <c r="AW1201" s="947"/>
      <c r="AX1201" s="947"/>
      <c r="AY1201" s="947"/>
    </row>
    <row r="1202" spans="31:51" x14ac:dyDescent="0.25">
      <c r="AE1202" s="75"/>
      <c r="AF1202" s="82"/>
      <c r="AG1202" s="82"/>
      <c r="AH1202" s="82"/>
      <c r="AI1202" s="82"/>
      <c r="AJ1202" s="166"/>
      <c r="AK1202" s="82"/>
      <c r="AL1202" s="162"/>
      <c r="AM1202" s="162"/>
      <c r="AN1202" s="162"/>
      <c r="AO1202" s="162"/>
      <c r="AP1202" s="162"/>
      <c r="AQ1202" s="162"/>
      <c r="AR1202" s="710"/>
      <c r="AV1202" s="82"/>
      <c r="AW1202" s="947"/>
      <c r="AX1202" s="947"/>
      <c r="AY1202" s="947"/>
    </row>
    <row r="1203" spans="31:51" x14ac:dyDescent="0.25">
      <c r="AE1203" s="75"/>
      <c r="AF1203" s="82"/>
      <c r="AG1203" s="82"/>
      <c r="AH1203" s="82"/>
      <c r="AI1203" s="82"/>
      <c r="AJ1203" s="166"/>
      <c r="AK1203" s="82"/>
      <c r="AL1203" s="162"/>
      <c r="AM1203" s="162"/>
      <c r="AN1203" s="162"/>
      <c r="AO1203" s="162"/>
      <c r="AP1203" s="162"/>
      <c r="AQ1203" s="162"/>
      <c r="AR1203" s="710"/>
      <c r="AV1203" s="82"/>
      <c r="AW1203" s="947"/>
      <c r="AX1203" s="947"/>
      <c r="AY1203" s="947"/>
    </row>
    <row r="1204" spans="31:51" x14ac:dyDescent="0.25">
      <c r="AE1204" s="75"/>
      <c r="AF1204" s="82"/>
      <c r="AG1204" s="82"/>
      <c r="AH1204" s="82"/>
      <c r="AI1204" s="82"/>
      <c r="AJ1204" s="166"/>
      <c r="AK1204" s="82"/>
      <c r="AL1204" s="162"/>
      <c r="AM1204" s="162"/>
      <c r="AN1204" s="162"/>
      <c r="AO1204" s="162"/>
      <c r="AP1204" s="162"/>
      <c r="AQ1204" s="162"/>
      <c r="AR1204" s="710"/>
      <c r="AV1204" s="82"/>
      <c r="AW1204" s="947"/>
      <c r="AX1204" s="947"/>
      <c r="AY1204" s="947"/>
    </row>
    <row r="1205" spans="31:51" x14ac:dyDescent="0.25">
      <c r="AE1205" s="75"/>
      <c r="AF1205" s="82"/>
      <c r="AG1205" s="82"/>
      <c r="AH1205" s="82"/>
      <c r="AI1205" s="82"/>
      <c r="AJ1205" s="166"/>
      <c r="AK1205" s="82"/>
      <c r="AL1205" s="162"/>
      <c r="AM1205" s="162"/>
      <c r="AN1205" s="162"/>
      <c r="AO1205" s="162"/>
      <c r="AP1205" s="162"/>
      <c r="AQ1205" s="162"/>
      <c r="AR1205" s="710"/>
      <c r="AV1205" s="82"/>
      <c r="AW1205" s="947"/>
      <c r="AX1205" s="947"/>
      <c r="AY1205" s="947"/>
    </row>
    <row r="1206" spans="31:51" x14ac:dyDescent="0.25">
      <c r="AE1206" s="75"/>
      <c r="AF1206" s="82"/>
      <c r="AG1206" s="82"/>
      <c r="AH1206" s="82"/>
      <c r="AI1206" s="82"/>
      <c r="AJ1206" s="166"/>
      <c r="AK1206" s="82"/>
      <c r="AL1206" s="162"/>
      <c r="AM1206" s="162"/>
      <c r="AN1206" s="162"/>
      <c r="AO1206" s="162"/>
      <c r="AP1206" s="162"/>
      <c r="AQ1206" s="162"/>
      <c r="AR1206" s="710"/>
      <c r="AV1206" s="82"/>
      <c r="AW1206" s="947"/>
      <c r="AX1206" s="947"/>
      <c r="AY1206" s="947"/>
    </row>
    <row r="1207" spans="31:51" x14ac:dyDescent="0.25">
      <c r="AE1207" s="75"/>
      <c r="AF1207" s="82"/>
      <c r="AG1207" s="82"/>
      <c r="AH1207" s="82"/>
      <c r="AI1207" s="82"/>
      <c r="AJ1207" s="166"/>
      <c r="AK1207" s="82"/>
      <c r="AL1207" s="162"/>
      <c r="AM1207" s="162"/>
      <c r="AN1207" s="162"/>
      <c r="AO1207" s="162"/>
      <c r="AP1207" s="162"/>
      <c r="AQ1207" s="162"/>
      <c r="AR1207" s="710"/>
      <c r="AV1207" s="82"/>
      <c r="AW1207" s="947"/>
      <c r="AX1207" s="947"/>
      <c r="AY1207" s="947"/>
    </row>
    <row r="1208" spans="31:51" x14ac:dyDescent="0.25">
      <c r="AE1208" s="75"/>
      <c r="AF1208" s="82"/>
      <c r="AG1208" s="82"/>
      <c r="AH1208" s="82"/>
      <c r="AI1208" s="82"/>
      <c r="AJ1208" s="166"/>
      <c r="AK1208" s="82"/>
      <c r="AL1208" s="162"/>
      <c r="AM1208" s="162"/>
      <c r="AN1208" s="162"/>
      <c r="AO1208" s="162"/>
      <c r="AP1208" s="162"/>
      <c r="AQ1208" s="162"/>
      <c r="AR1208" s="710"/>
      <c r="AV1208" s="82"/>
      <c r="AW1208" s="947"/>
      <c r="AX1208" s="947"/>
      <c r="AY1208" s="947"/>
    </row>
    <row r="1209" spans="31:51" x14ac:dyDescent="0.25">
      <c r="AE1209" s="75"/>
      <c r="AF1209" s="82"/>
      <c r="AG1209" s="82"/>
      <c r="AH1209" s="82"/>
      <c r="AI1209" s="82"/>
      <c r="AJ1209" s="166"/>
      <c r="AK1209" s="82"/>
      <c r="AL1209" s="162"/>
      <c r="AM1209" s="162"/>
      <c r="AN1209" s="162"/>
      <c r="AO1209" s="162"/>
      <c r="AP1209" s="162"/>
      <c r="AQ1209" s="162"/>
      <c r="AR1209" s="710"/>
      <c r="AV1209" s="82"/>
      <c r="AW1209" s="947"/>
      <c r="AX1209" s="947"/>
      <c r="AY1209" s="947"/>
    </row>
    <row r="1210" spans="31:51" x14ac:dyDescent="0.25">
      <c r="AE1210" s="75"/>
      <c r="AF1210" s="82"/>
      <c r="AG1210" s="82"/>
      <c r="AH1210" s="82"/>
      <c r="AI1210" s="82"/>
      <c r="AJ1210" s="166"/>
      <c r="AK1210" s="82"/>
      <c r="AL1210" s="162"/>
      <c r="AM1210" s="162"/>
      <c r="AN1210" s="162"/>
      <c r="AO1210" s="162"/>
      <c r="AP1210" s="162"/>
      <c r="AQ1210" s="162"/>
      <c r="AR1210" s="710"/>
      <c r="AV1210" s="82"/>
      <c r="AW1210" s="947"/>
      <c r="AX1210" s="947"/>
      <c r="AY1210" s="947"/>
    </row>
    <row r="1211" spans="31:51" x14ac:dyDescent="0.25">
      <c r="AE1211" s="75"/>
      <c r="AF1211" s="82"/>
      <c r="AG1211" s="82"/>
      <c r="AH1211" s="82"/>
      <c r="AI1211" s="82"/>
      <c r="AJ1211" s="166"/>
      <c r="AK1211" s="82"/>
      <c r="AL1211" s="162"/>
      <c r="AM1211" s="162"/>
      <c r="AN1211" s="162"/>
      <c r="AO1211" s="162"/>
      <c r="AP1211" s="162"/>
      <c r="AQ1211" s="162"/>
      <c r="AR1211" s="710"/>
      <c r="AV1211" s="82"/>
      <c r="AW1211" s="947"/>
      <c r="AX1211" s="947"/>
      <c r="AY1211" s="947"/>
    </row>
    <row r="1212" spans="31:51" x14ac:dyDescent="0.25">
      <c r="AE1212" s="75"/>
      <c r="AF1212" s="82"/>
      <c r="AG1212" s="82"/>
      <c r="AH1212" s="82"/>
      <c r="AI1212" s="82"/>
      <c r="AJ1212" s="166"/>
      <c r="AK1212" s="82"/>
      <c r="AL1212" s="162"/>
      <c r="AM1212" s="162"/>
      <c r="AN1212" s="162"/>
      <c r="AO1212" s="162"/>
      <c r="AP1212" s="162"/>
      <c r="AQ1212" s="162"/>
      <c r="AR1212" s="710"/>
      <c r="AV1212" s="82"/>
      <c r="AW1212" s="947"/>
      <c r="AX1212" s="947"/>
      <c r="AY1212" s="947"/>
    </row>
    <row r="1213" spans="31:51" x14ac:dyDescent="0.25">
      <c r="AE1213" s="75"/>
      <c r="AF1213" s="82"/>
      <c r="AG1213" s="82"/>
      <c r="AH1213" s="82"/>
      <c r="AI1213" s="82"/>
      <c r="AJ1213" s="166"/>
      <c r="AK1213" s="82"/>
      <c r="AL1213" s="162"/>
      <c r="AM1213" s="162"/>
      <c r="AN1213" s="162"/>
      <c r="AO1213" s="162"/>
      <c r="AP1213" s="162"/>
      <c r="AQ1213" s="162"/>
      <c r="AR1213" s="710"/>
      <c r="AV1213" s="82"/>
      <c r="AW1213" s="947"/>
      <c r="AX1213" s="947"/>
      <c r="AY1213" s="947"/>
    </row>
    <row r="1214" spans="31:51" x14ac:dyDescent="0.25">
      <c r="AE1214" s="75"/>
      <c r="AF1214" s="82"/>
      <c r="AG1214" s="82"/>
      <c r="AH1214" s="82"/>
      <c r="AI1214" s="82"/>
      <c r="AJ1214" s="166"/>
      <c r="AK1214" s="82"/>
      <c r="AL1214" s="162"/>
      <c r="AM1214" s="162"/>
      <c r="AN1214" s="162"/>
      <c r="AO1214" s="162"/>
      <c r="AP1214" s="162"/>
      <c r="AQ1214" s="162"/>
      <c r="AR1214" s="710"/>
      <c r="AV1214" s="82"/>
      <c r="AW1214" s="947"/>
      <c r="AX1214" s="947"/>
      <c r="AY1214" s="947"/>
    </row>
    <row r="1215" spans="31:51" x14ac:dyDescent="0.25">
      <c r="AE1215" s="75"/>
      <c r="AF1215" s="82"/>
      <c r="AG1215" s="82"/>
      <c r="AH1215" s="82"/>
      <c r="AI1215" s="82"/>
      <c r="AJ1215" s="166"/>
      <c r="AK1215" s="82"/>
      <c r="AL1215" s="162"/>
      <c r="AM1215" s="162"/>
      <c r="AN1215" s="162"/>
      <c r="AO1215" s="162"/>
      <c r="AP1215" s="162"/>
      <c r="AQ1215" s="162"/>
      <c r="AR1215" s="710"/>
      <c r="AV1215" s="82"/>
      <c r="AW1215" s="947"/>
      <c r="AX1215" s="947"/>
      <c r="AY1215" s="947"/>
    </row>
    <row r="1216" spans="31:51" x14ac:dyDescent="0.25">
      <c r="AE1216" s="75"/>
      <c r="AF1216" s="82"/>
      <c r="AG1216" s="82"/>
      <c r="AH1216" s="82"/>
      <c r="AI1216" s="82"/>
      <c r="AJ1216" s="166"/>
      <c r="AK1216" s="82"/>
      <c r="AL1216" s="162"/>
      <c r="AM1216" s="162"/>
      <c r="AN1216" s="162"/>
      <c r="AO1216" s="162"/>
      <c r="AP1216" s="162"/>
      <c r="AQ1216" s="162"/>
      <c r="AR1216" s="710"/>
      <c r="AV1216" s="82"/>
      <c r="AW1216" s="947"/>
      <c r="AX1216" s="947"/>
      <c r="AY1216" s="947"/>
    </row>
    <row r="1217" spans="31:51" x14ac:dyDescent="0.25">
      <c r="AE1217" s="75"/>
      <c r="AF1217" s="82"/>
      <c r="AG1217" s="82"/>
      <c r="AH1217" s="82"/>
      <c r="AI1217" s="82"/>
      <c r="AJ1217" s="166"/>
      <c r="AK1217" s="82"/>
      <c r="AL1217" s="162"/>
      <c r="AM1217" s="162"/>
      <c r="AN1217" s="162"/>
      <c r="AO1217" s="162"/>
      <c r="AP1217" s="162"/>
      <c r="AQ1217" s="162"/>
      <c r="AR1217" s="710"/>
      <c r="AV1217" s="82"/>
      <c r="AW1217" s="947"/>
      <c r="AX1217" s="947"/>
      <c r="AY1217" s="947"/>
    </row>
    <row r="1218" spans="31:51" x14ac:dyDescent="0.25">
      <c r="AE1218" s="75"/>
      <c r="AF1218" s="82"/>
      <c r="AG1218" s="82"/>
      <c r="AH1218" s="82"/>
      <c r="AI1218" s="82"/>
      <c r="AJ1218" s="166"/>
      <c r="AK1218" s="82"/>
      <c r="AL1218" s="162"/>
      <c r="AM1218" s="162"/>
      <c r="AN1218" s="162"/>
      <c r="AO1218" s="162"/>
      <c r="AP1218" s="162"/>
      <c r="AQ1218" s="162"/>
      <c r="AR1218" s="710"/>
      <c r="AV1218" s="82"/>
      <c r="AW1218" s="947"/>
      <c r="AX1218" s="947"/>
      <c r="AY1218" s="947"/>
    </row>
    <row r="1219" spans="31:51" x14ac:dyDescent="0.25">
      <c r="AE1219" s="75"/>
      <c r="AF1219" s="82"/>
      <c r="AG1219" s="82"/>
      <c r="AH1219" s="82"/>
      <c r="AI1219" s="82"/>
      <c r="AJ1219" s="166"/>
      <c r="AK1219" s="82"/>
      <c r="AL1219" s="162"/>
      <c r="AM1219" s="162"/>
      <c r="AN1219" s="162"/>
      <c r="AO1219" s="162"/>
      <c r="AP1219" s="162"/>
      <c r="AQ1219" s="162"/>
      <c r="AR1219" s="710"/>
      <c r="AV1219" s="82"/>
      <c r="AW1219" s="947"/>
      <c r="AX1219" s="947"/>
      <c r="AY1219" s="947"/>
    </row>
    <row r="1220" spans="31:51" x14ac:dyDescent="0.25">
      <c r="AE1220" s="75"/>
      <c r="AF1220" s="82"/>
      <c r="AG1220" s="82"/>
      <c r="AH1220" s="82"/>
      <c r="AI1220" s="82"/>
      <c r="AJ1220" s="166"/>
      <c r="AK1220" s="82"/>
      <c r="AL1220" s="162"/>
      <c r="AM1220" s="162"/>
      <c r="AN1220" s="162"/>
      <c r="AO1220" s="162"/>
      <c r="AP1220" s="162"/>
      <c r="AQ1220" s="162"/>
      <c r="AR1220" s="710"/>
      <c r="AV1220" s="82"/>
      <c r="AW1220" s="947"/>
      <c r="AX1220" s="947"/>
      <c r="AY1220" s="947"/>
    </row>
    <row r="1221" spans="31:51" x14ac:dyDescent="0.25">
      <c r="AE1221" s="75"/>
      <c r="AF1221" s="82"/>
      <c r="AG1221" s="82"/>
      <c r="AH1221" s="82"/>
      <c r="AI1221" s="82"/>
      <c r="AJ1221" s="166"/>
      <c r="AK1221" s="82"/>
      <c r="AL1221" s="162"/>
      <c r="AM1221" s="162"/>
      <c r="AN1221" s="162"/>
      <c r="AO1221" s="162"/>
      <c r="AP1221" s="162"/>
      <c r="AQ1221" s="162"/>
      <c r="AR1221" s="710"/>
      <c r="AV1221" s="82"/>
      <c r="AW1221" s="947"/>
      <c r="AX1221" s="947"/>
      <c r="AY1221" s="947"/>
    </row>
    <row r="1222" spans="31:51" x14ac:dyDescent="0.25">
      <c r="AE1222" s="75"/>
      <c r="AF1222" s="82"/>
      <c r="AG1222" s="82"/>
      <c r="AH1222" s="82"/>
      <c r="AI1222" s="82"/>
      <c r="AJ1222" s="166"/>
      <c r="AK1222" s="82"/>
      <c r="AL1222" s="162"/>
      <c r="AM1222" s="162"/>
      <c r="AN1222" s="162"/>
      <c r="AO1222" s="162"/>
      <c r="AP1222" s="162"/>
      <c r="AQ1222" s="162"/>
      <c r="AR1222" s="710"/>
      <c r="AV1222" s="82"/>
      <c r="AW1222" s="947"/>
      <c r="AX1222" s="947"/>
      <c r="AY1222" s="947"/>
    </row>
    <row r="1223" spans="31:51" x14ac:dyDescent="0.25">
      <c r="AE1223" s="75"/>
      <c r="AF1223" s="82"/>
      <c r="AG1223" s="82"/>
      <c r="AH1223" s="82"/>
      <c r="AI1223" s="82"/>
      <c r="AJ1223" s="166"/>
      <c r="AK1223" s="82"/>
      <c r="AL1223" s="162"/>
      <c r="AM1223" s="162"/>
      <c r="AN1223" s="162"/>
      <c r="AO1223" s="162"/>
      <c r="AP1223" s="162"/>
      <c r="AQ1223" s="162"/>
      <c r="AR1223" s="710"/>
      <c r="AV1223" s="82"/>
      <c r="AW1223" s="947"/>
      <c r="AX1223" s="947"/>
      <c r="AY1223" s="947"/>
    </row>
    <row r="1224" spans="31:51" x14ac:dyDescent="0.25">
      <c r="AE1224" s="75"/>
      <c r="AF1224" s="82"/>
      <c r="AG1224" s="82"/>
      <c r="AH1224" s="82"/>
      <c r="AI1224" s="82"/>
      <c r="AJ1224" s="166"/>
      <c r="AK1224" s="82"/>
      <c r="AL1224" s="162"/>
      <c r="AM1224" s="162"/>
      <c r="AN1224" s="162"/>
      <c r="AO1224" s="162"/>
      <c r="AP1224" s="162"/>
      <c r="AQ1224" s="162"/>
      <c r="AR1224" s="710"/>
      <c r="AV1224" s="82"/>
      <c r="AW1224" s="947"/>
      <c r="AX1224" s="947"/>
      <c r="AY1224" s="947"/>
    </row>
    <row r="1225" spans="31:51" x14ac:dyDescent="0.25">
      <c r="AE1225" s="75"/>
      <c r="AF1225" s="82"/>
      <c r="AG1225" s="82"/>
      <c r="AH1225" s="82"/>
      <c r="AI1225" s="82"/>
      <c r="AJ1225" s="166"/>
      <c r="AK1225" s="82"/>
      <c r="AL1225" s="162"/>
      <c r="AM1225" s="162"/>
      <c r="AN1225" s="162"/>
      <c r="AO1225" s="162"/>
      <c r="AP1225" s="162"/>
      <c r="AQ1225" s="162"/>
      <c r="AR1225" s="710"/>
      <c r="AV1225" s="82"/>
      <c r="AW1225" s="947"/>
      <c r="AX1225" s="947"/>
      <c r="AY1225" s="947"/>
    </row>
    <row r="1226" spans="31:51" x14ac:dyDescent="0.25">
      <c r="AE1226" s="75"/>
      <c r="AF1226" s="82"/>
      <c r="AG1226" s="82"/>
      <c r="AH1226" s="82"/>
      <c r="AI1226" s="82"/>
      <c r="AJ1226" s="166"/>
      <c r="AK1226" s="82"/>
      <c r="AL1226" s="162"/>
      <c r="AM1226" s="162"/>
      <c r="AN1226" s="162"/>
      <c r="AO1226" s="162"/>
      <c r="AP1226" s="162"/>
      <c r="AQ1226" s="162"/>
      <c r="AR1226" s="710"/>
      <c r="AV1226" s="82"/>
      <c r="AW1226" s="947"/>
      <c r="AX1226" s="947"/>
      <c r="AY1226" s="947"/>
    </row>
    <row r="1227" spans="31:51" x14ac:dyDescent="0.25">
      <c r="AE1227" s="75"/>
      <c r="AF1227" s="82"/>
      <c r="AG1227" s="82"/>
      <c r="AH1227" s="82"/>
      <c r="AI1227" s="82"/>
      <c r="AJ1227" s="166"/>
      <c r="AK1227" s="82"/>
      <c r="AL1227" s="162"/>
      <c r="AM1227" s="162"/>
      <c r="AN1227" s="162"/>
      <c r="AO1227" s="162"/>
      <c r="AP1227" s="162"/>
      <c r="AQ1227" s="162"/>
      <c r="AR1227" s="710"/>
      <c r="AV1227" s="82"/>
      <c r="AW1227" s="947"/>
      <c r="AX1227" s="947"/>
      <c r="AY1227" s="947"/>
    </row>
    <row r="1228" spans="31:51" x14ac:dyDescent="0.25">
      <c r="AE1228" s="75"/>
      <c r="AF1228" s="82"/>
      <c r="AG1228" s="82"/>
      <c r="AH1228" s="82"/>
      <c r="AI1228" s="82"/>
      <c r="AJ1228" s="166"/>
      <c r="AK1228" s="82"/>
      <c r="AL1228" s="162"/>
      <c r="AM1228" s="162"/>
      <c r="AN1228" s="162"/>
      <c r="AO1228" s="162"/>
      <c r="AP1228" s="162"/>
      <c r="AQ1228" s="162"/>
      <c r="AR1228" s="710"/>
      <c r="AV1228" s="82"/>
      <c r="AW1228" s="947"/>
      <c r="AX1228" s="947"/>
      <c r="AY1228" s="947"/>
    </row>
    <row r="1229" spans="31:51" x14ac:dyDescent="0.25">
      <c r="AE1229" s="75"/>
      <c r="AF1229" s="82"/>
      <c r="AG1229" s="82"/>
      <c r="AH1229" s="82"/>
      <c r="AI1229" s="82"/>
      <c r="AJ1229" s="166"/>
      <c r="AK1229" s="82"/>
      <c r="AL1229" s="162"/>
      <c r="AM1229" s="162"/>
      <c r="AN1229" s="162"/>
      <c r="AO1229" s="162"/>
      <c r="AP1229" s="162"/>
      <c r="AQ1229" s="162"/>
      <c r="AR1229" s="710"/>
      <c r="AV1229" s="82"/>
      <c r="AW1229" s="947"/>
      <c r="AX1229" s="947"/>
      <c r="AY1229" s="947"/>
    </row>
    <row r="1230" spans="31:51" x14ac:dyDescent="0.25">
      <c r="AE1230" s="75"/>
      <c r="AF1230" s="82"/>
      <c r="AG1230" s="82"/>
      <c r="AH1230" s="82"/>
      <c r="AI1230" s="82"/>
      <c r="AJ1230" s="166"/>
      <c r="AK1230" s="82"/>
      <c r="AL1230" s="162"/>
      <c r="AM1230" s="162"/>
      <c r="AN1230" s="162"/>
      <c r="AO1230" s="162"/>
      <c r="AP1230" s="162"/>
      <c r="AQ1230" s="162"/>
      <c r="AR1230" s="710"/>
      <c r="AV1230" s="82"/>
      <c r="AW1230" s="947"/>
      <c r="AX1230" s="947"/>
      <c r="AY1230" s="947"/>
    </row>
    <row r="1231" spans="31:51" x14ac:dyDescent="0.25">
      <c r="AE1231" s="75"/>
      <c r="AF1231" s="82"/>
      <c r="AG1231" s="82"/>
      <c r="AH1231" s="82"/>
      <c r="AI1231" s="82"/>
      <c r="AJ1231" s="166"/>
      <c r="AK1231" s="82"/>
      <c r="AL1231" s="162"/>
      <c r="AM1231" s="162"/>
      <c r="AN1231" s="162"/>
      <c r="AO1231" s="162"/>
      <c r="AP1231" s="162"/>
      <c r="AQ1231" s="162"/>
      <c r="AR1231" s="710"/>
      <c r="AV1231" s="82"/>
      <c r="AW1231" s="947"/>
      <c r="AX1231" s="947"/>
      <c r="AY1231" s="947"/>
    </row>
    <row r="1232" spans="31:51" x14ac:dyDescent="0.25">
      <c r="AE1232" s="75"/>
      <c r="AF1232" s="82"/>
      <c r="AG1232" s="82"/>
      <c r="AH1232" s="82"/>
      <c r="AI1232" s="82"/>
      <c r="AJ1232" s="166"/>
      <c r="AK1232" s="82"/>
      <c r="AL1232" s="162"/>
      <c r="AM1232" s="162"/>
      <c r="AN1232" s="162"/>
      <c r="AO1232" s="162"/>
      <c r="AP1232" s="162"/>
      <c r="AQ1232" s="162"/>
      <c r="AR1232" s="710"/>
      <c r="AV1232" s="82"/>
      <c r="AW1232" s="947"/>
      <c r="AX1232" s="947"/>
      <c r="AY1232" s="947"/>
    </row>
    <row r="1233" spans="31:51" x14ac:dyDescent="0.25">
      <c r="AE1233" s="75"/>
      <c r="AF1233" s="82"/>
      <c r="AG1233" s="82"/>
      <c r="AH1233" s="82"/>
      <c r="AI1233" s="82"/>
      <c r="AJ1233" s="166"/>
      <c r="AK1233" s="82"/>
      <c r="AL1233" s="162"/>
      <c r="AM1233" s="162"/>
      <c r="AN1233" s="162"/>
      <c r="AO1233" s="162"/>
      <c r="AP1233" s="162"/>
      <c r="AQ1233" s="162"/>
      <c r="AR1233" s="710"/>
      <c r="AV1233" s="82"/>
      <c r="AW1233" s="947"/>
      <c r="AX1233" s="947"/>
      <c r="AY1233" s="947"/>
    </row>
    <row r="1234" spans="31:51" x14ac:dyDescent="0.25">
      <c r="AE1234" s="75"/>
      <c r="AF1234" s="82"/>
      <c r="AG1234" s="82"/>
      <c r="AH1234" s="82"/>
      <c r="AI1234" s="82"/>
      <c r="AJ1234" s="166"/>
      <c r="AK1234" s="82"/>
      <c r="AL1234" s="162"/>
      <c r="AM1234" s="162"/>
      <c r="AN1234" s="162"/>
      <c r="AO1234" s="162"/>
      <c r="AP1234" s="162"/>
      <c r="AQ1234" s="162"/>
      <c r="AR1234" s="710"/>
      <c r="AV1234" s="82"/>
      <c r="AW1234" s="947"/>
      <c r="AX1234" s="947"/>
      <c r="AY1234" s="947"/>
    </row>
    <row r="1235" spans="31:51" x14ac:dyDescent="0.25">
      <c r="AE1235" s="75"/>
      <c r="AF1235" s="82"/>
      <c r="AG1235" s="82"/>
      <c r="AH1235" s="82"/>
      <c r="AI1235" s="82"/>
      <c r="AJ1235" s="166"/>
      <c r="AK1235" s="82"/>
      <c r="AL1235" s="162"/>
      <c r="AM1235" s="162"/>
      <c r="AN1235" s="162"/>
      <c r="AO1235" s="162"/>
      <c r="AP1235" s="162"/>
      <c r="AQ1235" s="162"/>
      <c r="AR1235" s="710"/>
      <c r="AV1235" s="82"/>
      <c r="AW1235" s="947"/>
      <c r="AX1235" s="947"/>
      <c r="AY1235" s="947"/>
    </row>
    <row r="1236" spans="31:51" x14ac:dyDescent="0.25">
      <c r="AE1236" s="75"/>
      <c r="AF1236" s="82"/>
      <c r="AG1236" s="82"/>
      <c r="AH1236" s="82"/>
      <c r="AI1236" s="82"/>
      <c r="AJ1236" s="166"/>
      <c r="AK1236" s="82"/>
      <c r="AL1236" s="162"/>
      <c r="AM1236" s="162"/>
      <c r="AN1236" s="162"/>
      <c r="AO1236" s="162"/>
      <c r="AP1236" s="162"/>
      <c r="AQ1236" s="162"/>
      <c r="AR1236" s="710"/>
      <c r="AV1236" s="82"/>
      <c r="AW1236" s="947"/>
      <c r="AX1236" s="947"/>
      <c r="AY1236" s="947"/>
    </row>
    <row r="1237" spans="31:51" x14ac:dyDescent="0.25">
      <c r="AE1237" s="75"/>
      <c r="AF1237" s="82"/>
      <c r="AG1237" s="82"/>
      <c r="AH1237" s="82"/>
      <c r="AI1237" s="82"/>
      <c r="AJ1237" s="166"/>
      <c r="AK1237" s="82"/>
      <c r="AL1237" s="162"/>
      <c r="AM1237" s="162"/>
      <c r="AN1237" s="162"/>
      <c r="AO1237" s="162"/>
      <c r="AP1237" s="162"/>
      <c r="AQ1237" s="162"/>
      <c r="AR1237" s="710"/>
      <c r="AV1237" s="82"/>
      <c r="AW1237" s="947"/>
      <c r="AX1237" s="947"/>
      <c r="AY1237" s="947"/>
    </row>
    <row r="1238" spans="31:51" x14ac:dyDescent="0.25">
      <c r="AE1238" s="75"/>
      <c r="AF1238" s="82"/>
      <c r="AG1238" s="82"/>
      <c r="AH1238" s="82"/>
      <c r="AI1238" s="82"/>
      <c r="AJ1238" s="166"/>
      <c r="AK1238" s="82"/>
      <c r="AL1238" s="162"/>
      <c r="AM1238" s="162"/>
      <c r="AN1238" s="162"/>
      <c r="AO1238" s="162"/>
      <c r="AP1238" s="162"/>
      <c r="AQ1238" s="162"/>
      <c r="AR1238" s="710"/>
      <c r="AV1238" s="82"/>
      <c r="AW1238" s="947"/>
      <c r="AX1238" s="947"/>
      <c r="AY1238" s="947"/>
    </row>
    <row r="1239" spans="31:51" x14ac:dyDescent="0.25">
      <c r="AE1239" s="75"/>
      <c r="AF1239" s="82"/>
      <c r="AG1239" s="82"/>
      <c r="AH1239" s="82"/>
      <c r="AI1239" s="82"/>
      <c r="AJ1239" s="166"/>
      <c r="AK1239" s="82"/>
      <c r="AL1239" s="162"/>
      <c r="AM1239" s="162"/>
      <c r="AN1239" s="162"/>
      <c r="AO1239" s="162"/>
      <c r="AP1239" s="162"/>
      <c r="AQ1239" s="162"/>
      <c r="AR1239" s="710"/>
      <c r="AV1239" s="82"/>
      <c r="AW1239" s="947"/>
      <c r="AX1239" s="947"/>
      <c r="AY1239" s="947"/>
    </row>
    <row r="1240" spans="31:51" x14ac:dyDescent="0.25">
      <c r="AE1240" s="75"/>
      <c r="AF1240" s="82"/>
      <c r="AG1240" s="82"/>
      <c r="AH1240" s="82"/>
      <c r="AI1240" s="82"/>
      <c r="AJ1240" s="166"/>
      <c r="AK1240" s="82"/>
      <c r="AL1240" s="162"/>
      <c r="AM1240" s="162"/>
      <c r="AN1240" s="162"/>
      <c r="AO1240" s="162"/>
      <c r="AP1240" s="162"/>
      <c r="AQ1240" s="162"/>
      <c r="AR1240" s="710"/>
      <c r="AV1240" s="82"/>
      <c r="AW1240" s="947"/>
      <c r="AX1240" s="947"/>
      <c r="AY1240" s="947"/>
    </row>
    <row r="1241" spans="31:51" x14ac:dyDescent="0.25">
      <c r="AE1241" s="75"/>
      <c r="AF1241" s="82"/>
      <c r="AG1241" s="82"/>
      <c r="AH1241" s="82"/>
      <c r="AI1241" s="82"/>
      <c r="AJ1241" s="166"/>
      <c r="AK1241" s="82"/>
      <c r="AL1241" s="162"/>
      <c r="AM1241" s="162"/>
      <c r="AN1241" s="162"/>
      <c r="AO1241" s="162"/>
      <c r="AP1241" s="162"/>
      <c r="AQ1241" s="162"/>
      <c r="AR1241" s="710"/>
      <c r="AV1241" s="82"/>
      <c r="AW1241" s="947"/>
      <c r="AX1241" s="947"/>
      <c r="AY1241" s="947"/>
    </row>
    <row r="1242" spans="31:51" x14ac:dyDescent="0.25">
      <c r="AE1242" s="75"/>
      <c r="AF1242" s="82"/>
      <c r="AG1242" s="82"/>
      <c r="AH1242" s="82"/>
      <c r="AI1242" s="82"/>
      <c r="AJ1242" s="166"/>
      <c r="AK1242" s="82"/>
      <c r="AL1242" s="162"/>
      <c r="AM1242" s="162"/>
      <c r="AN1242" s="162"/>
      <c r="AO1242" s="162"/>
      <c r="AP1242" s="162"/>
      <c r="AQ1242" s="162"/>
      <c r="AR1242" s="710"/>
      <c r="AV1242" s="82"/>
      <c r="AW1242" s="947"/>
      <c r="AX1242" s="947"/>
      <c r="AY1242" s="947"/>
    </row>
    <row r="1243" spans="31:51" x14ac:dyDescent="0.25">
      <c r="AE1243" s="75"/>
      <c r="AF1243" s="82"/>
      <c r="AG1243" s="82"/>
      <c r="AH1243" s="82"/>
      <c r="AI1243" s="82"/>
      <c r="AJ1243" s="166"/>
      <c r="AK1243" s="82"/>
      <c r="AL1243" s="162"/>
      <c r="AM1243" s="162"/>
      <c r="AN1243" s="162"/>
      <c r="AO1243" s="162"/>
      <c r="AP1243" s="162"/>
      <c r="AQ1243" s="162"/>
      <c r="AR1243" s="710"/>
      <c r="AV1243" s="82"/>
      <c r="AW1243" s="947"/>
      <c r="AX1243" s="947"/>
      <c r="AY1243" s="947"/>
    </row>
    <row r="1244" spans="31:51" x14ac:dyDescent="0.25">
      <c r="AE1244" s="75"/>
      <c r="AF1244" s="82"/>
      <c r="AG1244" s="82"/>
      <c r="AH1244" s="82"/>
      <c r="AI1244" s="82"/>
      <c r="AJ1244" s="166"/>
      <c r="AK1244" s="82"/>
      <c r="AL1244" s="162"/>
      <c r="AM1244" s="162"/>
      <c r="AN1244" s="162"/>
      <c r="AO1244" s="162"/>
      <c r="AP1244" s="162"/>
      <c r="AQ1244" s="162"/>
      <c r="AR1244" s="710"/>
      <c r="AV1244" s="82"/>
      <c r="AW1244" s="947"/>
      <c r="AX1244" s="947"/>
      <c r="AY1244" s="947"/>
    </row>
    <row r="1245" spans="31:51" x14ac:dyDescent="0.25">
      <c r="AE1245" s="75"/>
      <c r="AF1245" s="82"/>
      <c r="AG1245" s="82"/>
      <c r="AH1245" s="82"/>
      <c r="AI1245" s="82"/>
      <c r="AJ1245" s="166"/>
      <c r="AK1245" s="82"/>
      <c r="AL1245" s="162"/>
      <c r="AM1245" s="162"/>
      <c r="AN1245" s="162"/>
      <c r="AO1245" s="162"/>
      <c r="AP1245" s="162"/>
      <c r="AQ1245" s="162"/>
      <c r="AR1245" s="710"/>
      <c r="AV1245" s="82"/>
      <c r="AW1245" s="947"/>
      <c r="AX1245" s="947"/>
      <c r="AY1245" s="947"/>
    </row>
    <row r="1246" spans="31:51" x14ac:dyDescent="0.25">
      <c r="AE1246" s="75"/>
      <c r="AF1246" s="82"/>
      <c r="AG1246" s="82"/>
      <c r="AH1246" s="82"/>
      <c r="AI1246" s="82"/>
      <c r="AJ1246" s="166"/>
      <c r="AK1246" s="82"/>
      <c r="AL1246" s="162"/>
      <c r="AM1246" s="162"/>
      <c r="AN1246" s="162"/>
      <c r="AO1246" s="162"/>
      <c r="AP1246" s="162"/>
      <c r="AQ1246" s="162"/>
      <c r="AR1246" s="710"/>
      <c r="AV1246" s="82"/>
      <c r="AW1246" s="947"/>
      <c r="AX1246" s="947"/>
      <c r="AY1246" s="947"/>
    </row>
    <row r="1247" spans="31:51" x14ac:dyDescent="0.25">
      <c r="AE1247" s="75"/>
      <c r="AF1247" s="82"/>
      <c r="AG1247" s="82"/>
      <c r="AH1247" s="82"/>
      <c r="AI1247" s="82"/>
      <c r="AJ1247" s="166"/>
      <c r="AK1247" s="82"/>
      <c r="AL1247" s="162"/>
      <c r="AM1247" s="162"/>
      <c r="AN1247" s="162"/>
      <c r="AO1247" s="162"/>
      <c r="AP1247" s="162"/>
      <c r="AQ1247" s="162"/>
      <c r="AR1247" s="710"/>
      <c r="AV1247" s="82"/>
      <c r="AW1247" s="947"/>
      <c r="AX1247" s="947"/>
      <c r="AY1247" s="947"/>
    </row>
    <row r="1248" spans="31:51" x14ac:dyDescent="0.25">
      <c r="AE1248" s="75"/>
      <c r="AF1248" s="82"/>
      <c r="AG1248" s="82"/>
      <c r="AH1248" s="82"/>
      <c r="AI1248" s="82"/>
      <c r="AJ1248" s="166"/>
      <c r="AK1248" s="82"/>
      <c r="AL1248" s="162"/>
      <c r="AM1248" s="162"/>
      <c r="AN1248" s="162"/>
      <c r="AO1248" s="162"/>
      <c r="AP1248" s="162"/>
      <c r="AQ1248" s="162"/>
      <c r="AR1248" s="710"/>
      <c r="AV1248" s="82"/>
      <c r="AW1248" s="947"/>
      <c r="AX1248" s="947"/>
      <c r="AY1248" s="947"/>
    </row>
    <row r="1249" spans="31:51" x14ac:dyDescent="0.25">
      <c r="AE1249" s="75"/>
      <c r="AF1249" s="82"/>
      <c r="AG1249" s="82"/>
      <c r="AH1249" s="82"/>
      <c r="AI1249" s="82"/>
      <c r="AJ1249" s="166"/>
      <c r="AK1249" s="82"/>
      <c r="AL1249" s="162"/>
      <c r="AM1249" s="162"/>
      <c r="AN1249" s="162"/>
      <c r="AO1249" s="162"/>
      <c r="AP1249" s="162"/>
      <c r="AQ1249" s="162"/>
      <c r="AR1249" s="710"/>
      <c r="AV1249" s="82"/>
      <c r="AW1249" s="947"/>
      <c r="AX1249" s="947"/>
      <c r="AY1249" s="947"/>
    </row>
    <row r="1250" spans="31:51" x14ac:dyDescent="0.25">
      <c r="AE1250" s="75"/>
      <c r="AF1250" s="82"/>
      <c r="AG1250" s="82"/>
      <c r="AH1250" s="82"/>
      <c r="AI1250" s="82"/>
      <c r="AJ1250" s="166"/>
      <c r="AK1250" s="82"/>
      <c r="AL1250" s="162"/>
      <c r="AM1250" s="162"/>
      <c r="AN1250" s="162"/>
      <c r="AO1250" s="162"/>
      <c r="AP1250" s="162"/>
      <c r="AQ1250" s="162"/>
      <c r="AR1250" s="710"/>
      <c r="AV1250" s="82"/>
      <c r="AW1250" s="947"/>
      <c r="AX1250" s="947"/>
      <c r="AY1250" s="947"/>
    </row>
    <row r="1251" spans="31:51" x14ac:dyDescent="0.25">
      <c r="AE1251" s="75"/>
      <c r="AF1251" s="82"/>
      <c r="AG1251" s="82"/>
      <c r="AH1251" s="82"/>
      <c r="AI1251" s="82"/>
      <c r="AJ1251" s="166"/>
      <c r="AK1251" s="82"/>
      <c r="AL1251" s="162"/>
      <c r="AM1251" s="162"/>
      <c r="AN1251" s="162"/>
      <c r="AO1251" s="162"/>
      <c r="AP1251" s="162"/>
      <c r="AQ1251" s="162"/>
      <c r="AR1251" s="710"/>
      <c r="AV1251" s="82"/>
      <c r="AW1251" s="947"/>
      <c r="AX1251" s="947"/>
      <c r="AY1251" s="947"/>
    </row>
    <row r="1252" spans="31:51" x14ac:dyDescent="0.25">
      <c r="AE1252" s="75"/>
      <c r="AF1252" s="82"/>
      <c r="AG1252" s="82"/>
      <c r="AH1252" s="82"/>
      <c r="AI1252" s="82"/>
      <c r="AJ1252" s="166"/>
      <c r="AK1252" s="82"/>
      <c r="AL1252" s="162"/>
      <c r="AM1252" s="162"/>
      <c r="AN1252" s="162"/>
      <c r="AO1252" s="162"/>
      <c r="AP1252" s="162"/>
      <c r="AQ1252" s="162"/>
      <c r="AR1252" s="710"/>
      <c r="AV1252" s="82"/>
      <c r="AW1252" s="947"/>
      <c r="AX1252" s="947"/>
      <c r="AY1252" s="947"/>
    </row>
    <row r="1253" spans="31:51" x14ac:dyDescent="0.25">
      <c r="AE1253" s="75"/>
      <c r="AF1253" s="82"/>
      <c r="AG1253" s="82"/>
      <c r="AH1253" s="82"/>
      <c r="AI1253" s="82"/>
      <c r="AJ1253" s="166"/>
      <c r="AK1253" s="82"/>
      <c r="AL1253" s="162"/>
      <c r="AM1253" s="162"/>
      <c r="AN1253" s="162"/>
      <c r="AO1253" s="162"/>
      <c r="AP1253" s="162"/>
      <c r="AQ1253" s="162"/>
      <c r="AR1253" s="710"/>
      <c r="AV1253" s="82"/>
      <c r="AW1253" s="947"/>
      <c r="AX1253" s="947"/>
      <c r="AY1253" s="947"/>
    </row>
    <row r="1254" spans="31:51" x14ac:dyDescent="0.25">
      <c r="AE1254" s="75"/>
      <c r="AF1254" s="82"/>
      <c r="AG1254" s="82"/>
      <c r="AH1254" s="82"/>
      <c r="AI1254" s="82"/>
      <c r="AJ1254" s="166"/>
      <c r="AK1254" s="82"/>
      <c r="AL1254" s="162"/>
      <c r="AM1254" s="162"/>
      <c r="AN1254" s="162"/>
      <c r="AO1254" s="162"/>
      <c r="AP1254" s="162"/>
      <c r="AQ1254" s="162"/>
      <c r="AR1254" s="710"/>
      <c r="AV1254" s="82"/>
      <c r="AW1254" s="947"/>
      <c r="AX1254" s="947"/>
      <c r="AY1254" s="947"/>
    </row>
    <row r="1255" spans="31:51" x14ac:dyDescent="0.25">
      <c r="AE1255" s="75"/>
      <c r="AF1255" s="82"/>
      <c r="AG1255" s="82"/>
      <c r="AH1255" s="82"/>
      <c r="AI1255" s="82"/>
      <c r="AJ1255" s="166"/>
      <c r="AK1255" s="82"/>
      <c r="AL1255" s="162"/>
      <c r="AM1255" s="162"/>
      <c r="AN1255" s="162"/>
      <c r="AO1255" s="162"/>
      <c r="AP1255" s="162"/>
      <c r="AQ1255" s="162"/>
      <c r="AR1255" s="710"/>
      <c r="AV1255" s="82"/>
      <c r="AW1255" s="947"/>
      <c r="AX1255" s="947"/>
      <c r="AY1255" s="947"/>
    </row>
    <row r="1256" spans="31:51" x14ac:dyDescent="0.25">
      <c r="AE1256" s="75"/>
      <c r="AF1256" s="82"/>
      <c r="AG1256" s="82"/>
      <c r="AH1256" s="82"/>
      <c r="AI1256" s="82"/>
      <c r="AJ1256" s="166"/>
      <c r="AK1256" s="82"/>
      <c r="AL1256" s="162"/>
      <c r="AM1256" s="162"/>
      <c r="AN1256" s="162"/>
      <c r="AO1256" s="162"/>
      <c r="AP1256" s="162"/>
      <c r="AQ1256" s="162"/>
      <c r="AR1256" s="710"/>
      <c r="AV1256" s="82"/>
      <c r="AW1256" s="947"/>
      <c r="AX1256" s="947"/>
      <c r="AY1256" s="947"/>
    </row>
    <row r="1257" spans="31:51" x14ac:dyDescent="0.25">
      <c r="AE1257" s="75"/>
      <c r="AF1257" s="82"/>
      <c r="AG1257" s="82"/>
      <c r="AH1257" s="82"/>
      <c r="AI1257" s="82"/>
      <c r="AJ1257" s="166"/>
      <c r="AK1257" s="82"/>
      <c r="AL1257" s="162"/>
      <c r="AM1257" s="162"/>
      <c r="AN1257" s="162"/>
      <c r="AO1257" s="162"/>
      <c r="AP1257" s="162"/>
      <c r="AQ1257" s="162"/>
      <c r="AR1257" s="710"/>
      <c r="AV1257" s="82"/>
      <c r="AW1257" s="947"/>
      <c r="AX1257" s="947"/>
      <c r="AY1257" s="947"/>
    </row>
    <row r="1258" spans="31:51" x14ac:dyDescent="0.25">
      <c r="AE1258" s="75"/>
      <c r="AF1258" s="82"/>
      <c r="AG1258" s="82"/>
      <c r="AH1258" s="82"/>
      <c r="AI1258" s="82"/>
      <c r="AJ1258" s="166"/>
      <c r="AK1258" s="82"/>
      <c r="AL1258" s="162"/>
      <c r="AM1258" s="162"/>
      <c r="AN1258" s="162"/>
      <c r="AO1258" s="162"/>
      <c r="AP1258" s="162"/>
      <c r="AQ1258" s="162"/>
      <c r="AR1258" s="710"/>
      <c r="AV1258" s="82"/>
      <c r="AW1258" s="947"/>
      <c r="AX1258" s="947"/>
      <c r="AY1258" s="947"/>
    </row>
    <row r="1259" spans="31:51" x14ac:dyDescent="0.25">
      <c r="AE1259" s="75"/>
      <c r="AF1259" s="82"/>
      <c r="AG1259" s="82"/>
      <c r="AH1259" s="82"/>
      <c r="AI1259" s="82"/>
      <c r="AJ1259" s="166"/>
      <c r="AK1259" s="82"/>
      <c r="AL1259" s="162"/>
      <c r="AM1259" s="162"/>
      <c r="AN1259" s="162"/>
      <c r="AO1259" s="162"/>
      <c r="AP1259" s="162"/>
      <c r="AQ1259" s="162"/>
      <c r="AR1259" s="710"/>
      <c r="AV1259" s="82"/>
      <c r="AW1259" s="947"/>
      <c r="AX1259" s="947"/>
      <c r="AY1259" s="947"/>
    </row>
    <row r="1260" spans="31:51" x14ac:dyDescent="0.25">
      <c r="AE1260" s="75"/>
      <c r="AF1260" s="82"/>
      <c r="AG1260" s="82"/>
      <c r="AH1260" s="82"/>
      <c r="AI1260" s="82"/>
      <c r="AJ1260" s="166"/>
      <c r="AK1260" s="82"/>
      <c r="AL1260" s="162"/>
      <c r="AM1260" s="162"/>
      <c r="AN1260" s="162"/>
      <c r="AO1260" s="162"/>
      <c r="AP1260" s="162"/>
      <c r="AQ1260" s="162"/>
      <c r="AR1260" s="710"/>
      <c r="AV1260" s="82"/>
      <c r="AW1260" s="947"/>
      <c r="AX1260" s="947"/>
      <c r="AY1260" s="947"/>
    </row>
    <row r="1261" spans="31:51" x14ac:dyDescent="0.25">
      <c r="AE1261" s="75"/>
      <c r="AF1261" s="82"/>
      <c r="AG1261" s="82"/>
      <c r="AH1261" s="82"/>
      <c r="AI1261" s="82"/>
      <c r="AJ1261" s="166"/>
      <c r="AK1261" s="82"/>
      <c r="AL1261" s="162"/>
      <c r="AM1261" s="162"/>
      <c r="AN1261" s="162"/>
      <c r="AO1261" s="162"/>
      <c r="AP1261" s="162"/>
      <c r="AQ1261" s="162"/>
      <c r="AR1261" s="710"/>
      <c r="AV1261" s="82"/>
      <c r="AW1261" s="947"/>
      <c r="AX1261" s="947"/>
      <c r="AY1261" s="947"/>
    </row>
    <row r="1262" spans="31:51" x14ac:dyDescent="0.25">
      <c r="AE1262" s="75"/>
      <c r="AF1262" s="82"/>
      <c r="AG1262" s="82"/>
      <c r="AH1262" s="82"/>
      <c r="AI1262" s="82"/>
      <c r="AJ1262" s="166"/>
      <c r="AK1262" s="82"/>
      <c r="AL1262" s="162"/>
      <c r="AM1262" s="162"/>
      <c r="AN1262" s="162"/>
      <c r="AO1262" s="162"/>
      <c r="AP1262" s="162"/>
      <c r="AQ1262" s="162"/>
      <c r="AR1262" s="710"/>
      <c r="AV1262" s="82"/>
      <c r="AW1262" s="947"/>
      <c r="AX1262" s="947"/>
      <c r="AY1262" s="947"/>
    </row>
    <row r="1263" spans="31:51" x14ac:dyDescent="0.25">
      <c r="AE1263" s="75"/>
      <c r="AF1263" s="82"/>
      <c r="AG1263" s="82"/>
      <c r="AH1263" s="82"/>
      <c r="AI1263" s="82"/>
      <c r="AJ1263" s="166"/>
      <c r="AK1263" s="82"/>
      <c r="AL1263" s="162"/>
      <c r="AM1263" s="162"/>
      <c r="AN1263" s="162"/>
      <c r="AO1263" s="162"/>
      <c r="AP1263" s="162"/>
      <c r="AQ1263" s="162"/>
      <c r="AR1263" s="710"/>
      <c r="AV1263" s="82"/>
      <c r="AW1263" s="947"/>
      <c r="AX1263" s="947"/>
      <c r="AY1263" s="947"/>
    </row>
    <row r="1264" spans="31:51" x14ac:dyDescent="0.25">
      <c r="AE1264" s="75"/>
      <c r="AF1264" s="82"/>
      <c r="AG1264" s="82"/>
      <c r="AH1264" s="82"/>
      <c r="AI1264" s="82"/>
      <c r="AJ1264" s="166"/>
      <c r="AK1264" s="82"/>
      <c r="AL1264" s="162"/>
      <c r="AM1264" s="162"/>
      <c r="AN1264" s="162"/>
      <c r="AO1264" s="162"/>
      <c r="AP1264" s="162"/>
      <c r="AQ1264" s="162"/>
      <c r="AR1264" s="710"/>
      <c r="AV1264" s="82"/>
      <c r="AW1264" s="947"/>
      <c r="AX1264" s="947"/>
      <c r="AY1264" s="947"/>
    </row>
    <row r="1265" spans="31:51" x14ac:dyDescent="0.25">
      <c r="AE1265" s="75"/>
      <c r="AF1265" s="82"/>
      <c r="AG1265" s="82"/>
      <c r="AH1265" s="82"/>
      <c r="AI1265" s="82"/>
      <c r="AJ1265" s="166"/>
      <c r="AK1265" s="82"/>
      <c r="AL1265" s="162"/>
      <c r="AM1265" s="162"/>
      <c r="AN1265" s="162"/>
      <c r="AO1265" s="162"/>
      <c r="AP1265" s="162"/>
      <c r="AQ1265" s="162"/>
      <c r="AR1265" s="710"/>
      <c r="AV1265" s="82"/>
      <c r="AW1265" s="947"/>
      <c r="AX1265" s="947"/>
      <c r="AY1265" s="947"/>
    </row>
    <row r="1266" spans="31:51" x14ac:dyDescent="0.25">
      <c r="AE1266" s="75"/>
      <c r="AF1266" s="82"/>
      <c r="AG1266" s="82"/>
      <c r="AH1266" s="82"/>
      <c r="AI1266" s="82"/>
      <c r="AJ1266" s="166"/>
      <c r="AK1266" s="82"/>
      <c r="AL1266" s="162"/>
      <c r="AM1266" s="162"/>
      <c r="AN1266" s="162"/>
      <c r="AO1266" s="162"/>
      <c r="AP1266" s="162"/>
      <c r="AQ1266" s="162"/>
      <c r="AR1266" s="710"/>
      <c r="AV1266" s="82"/>
      <c r="AW1266" s="947"/>
      <c r="AX1266" s="947"/>
      <c r="AY1266" s="947"/>
    </row>
    <row r="1267" spans="31:51" x14ac:dyDescent="0.25">
      <c r="AE1267" s="75"/>
      <c r="AF1267" s="82"/>
      <c r="AG1267" s="82"/>
      <c r="AH1267" s="82"/>
      <c r="AI1267" s="82"/>
      <c r="AJ1267" s="166"/>
      <c r="AK1267" s="82"/>
      <c r="AL1267" s="162"/>
      <c r="AM1267" s="162"/>
      <c r="AN1267" s="162"/>
      <c r="AO1267" s="162"/>
      <c r="AP1267" s="162"/>
      <c r="AQ1267" s="162"/>
      <c r="AR1267" s="710"/>
      <c r="AV1267" s="82"/>
      <c r="AW1267" s="947"/>
      <c r="AX1267" s="947"/>
      <c r="AY1267" s="947"/>
    </row>
    <row r="1268" spans="31:51" x14ac:dyDescent="0.25">
      <c r="AE1268" s="75"/>
      <c r="AF1268" s="82"/>
      <c r="AG1268" s="82"/>
      <c r="AH1268" s="82"/>
      <c r="AI1268" s="82"/>
      <c r="AJ1268" s="166"/>
      <c r="AK1268" s="82"/>
      <c r="AL1268" s="162"/>
      <c r="AM1268" s="162"/>
      <c r="AN1268" s="162"/>
      <c r="AO1268" s="162"/>
      <c r="AP1268" s="162"/>
      <c r="AQ1268" s="162"/>
      <c r="AR1268" s="710"/>
      <c r="AV1268" s="82"/>
      <c r="AW1268" s="947"/>
      <c r="AX1268" s="947"/>
      <c r="AY1268" s="947"/>
    </row>
    <row r="1269" spans="31:51" x14ac:dyDescent="0.25">
      <c r="AE1269" s="75"/>
      <c r="AF1269" s="82"/>
      <c r="AG1269" s="82"/>
      <c r="AH1269" s="82"/>
      <c r="AI1269" s="82"/>
      <c r="AJ1269" s="166"/>
      <c r="AK1269" s="82"/>
      <c r="AL1269" s="162"/>
      <c r="AM1269" s="162"/>
      <c r="AN1269" s="162"/>
      <c r="AO1269" s="162"/>
      <c r="AP1269" s="162"/>
      <c r="AQ1269" s="162"/>
      <c r="AR1269" s="710"/>
      <c r="AV1269" s="82"/>
      <c r="AW1269" s="947"/>
      <c r="AX1269" s="947"/>
      <c r="AY1269" s="947"/>
    </row>
    <row r="1270" spans="31:51" x14ac:dyDescent="0.25">
      <c r="AE1270" s="75"/>
      <c r="AF1270" s="82"/>
      <c r="AG1270" s="82"/>
      <c r="AH1270" s="82"/>
      <c r="AI1270" s="82"/>
      <c r="AJ1270" s="166"/>
      <c r="AK1270" s="82"/>
      <c r="AL1270" s="162"/>
      <c r="AM1270" s="162"/>
      <c r="AN1270" s="162"/>
      <c r="AO1270" s="162"/>
      <c r="AP1270" s="162"/>
      <c r="AQ1270" s="162"/>
      <c r="AR1270" s="710"/>
      <c r="AV1270" s="82"/>
      <c r="AW1270" s="947"/>
      <c r="AX1270" s="947"/>
      <c r="AY1270" s="947"/>
    </row>
    <row r="1271" spans="31:51" x14ac:dyDescent="0.25">
      <c r="AE1271" s="75"/>
      <c r="AF1271" s="82"/>
      <c r="AG1271" s="82"/>
      <c r="AH1271" s="82"/>
      <c r="AI1271" s="82"/>
      <c r="AJ1271" s="166"/>
      <c r="AK1271" s="82"/>
      <c r="AL1271" s="162"/>
      <c r="AM1271" s="162"/>
      <c r="AN1271" s="162"/>
      <c r="AO1271" s="162"/>
      <c r="AP1271" s="162"/>
      <c r="AQ1271" s="162"/>
      <c r="AR1271" s="710"/>
      <c r="AV1271" s="82"/>
      <c r="AW1271" s="947"/>
      <c r="AX1271" s="947"/>
      <c r="AY1271" s="947"/>
    </row>
    <row r="1272" spans="31:51" x14ac:dyDescent="0.25">
      <c r="AE1272" s="75"/>
      <c r="AF1272" s="82"/>
      <c r="AG1272" s="82"/>
      <c r="AH1272" s="82"/>
      <c r="AI1272" s="82"/>
      <c r="AJ1272" s="166"/>
      <c r="AK1272" s="82"/>
      <c r="AL1272" s="162"/>
      <c r="AM1272" s="162"/>
      <c r="AN1272" s="162"/>
      <c r="AO1272" s="162"/>
      <c r="AP1272" s="162"/>
      <c r="AQ1272" s="162"/>
      <c r="AR1272" s="710"/>
      <c r="AV1272" s="82"/>
      <c r="AW1272" s="947"/>
      <c r="AX1272" s="947"/>
      <c r="AY1272" s="947"/>
    </row>
    <row r="1273" spans="31:51" x14ac:dyDescent="0.25">
      <c r="AE1273" s="75"/>
      <c r="AF1273" s="82"/>
      <c r="AG1273" s="82"/>
      <c r="AH1273" s="82"/>
      <c r="AI1273" s="82"/>
      <c r="AJ1273" s="166"/>
      <c r="AK1273" s="82"/>
      <c r="AL1273" s="162"/>
      <c r="AM1273" s="162"/>
      <c r="AN1273" s="162"/>
      <c r="AO1273" s="162"/>
      <c r="AP1273" s="162"/>
      <c r="AQ1273" s="162"/>
      <c r="AR1273" s="710"/>
      <c r="AV1273" s="82"/>
      <c r="AW1273" s="947"/>
      <c r="AX1273" s="947"/>
      <c r="AY1273" s="947"/>
    </row>
    <row r="1274" spans="31:51" x14ac:dyDescent="0.25">
      <c r="AE1274" s="75"/>
      <c r="AF1274" s="82"/>
      <c r="AG1274" s="82"/>
      <c r="AH1274" s="82"/>
      <c r="AI1274" s="82"/>
      <c r="AJ1274" s="166"/>
      <c r="AK1274" s="82"/>
      <c r="AL1274" s="162"/>
      <c r="AM1274" s="162"/>
      <c r="AN1274" s="162"/>
      <c r="AO1274" s="162"/>
      <c r="AP1274" s="162"/>
      <c r="AQ1274" s="162"/>
      <c r="AR1274" s="710"/>
      <c r="AV1274" s="82"/>
      <c r="AW1274" s="947"/>
      <c r="AX1274" s="947"/>
      <c r="AY1274" s="947"/>
    </row>
    <row r="1275" spans="31:51" x14ac:dyDescent="0.25">
      <c r="AE1275" s="75"/>
      <c r="AF1275" s="82"/>
      <c r="AG1275" s="82"/>
      <c r="AH1275" s="82"/>
      <c r="AI1275" s="82"/>
      <c r="AJ1275" s="166"/>
      <c r="AK1275" s="82"/>
      <c r="AL1275" s="162"/>
      <c r="AM1275" s="162"/>
      <c r="AN1275" s="162"/>
      <c r="AO1275" s="162"/>
      <c r="AP1275" s="162"/>
      <c r="AQ1275" s="162"/>
      <c r="AR1275" s="710"/>
      <c r="AV1275" s="82"/>
      <c r="AW1275" s="947"/>
      <c r="AX1275" s="947"/>
      <c r="AY1275" s="947"/>
    </row>
    <row r="1276" spans="31:51" x14ac:dyDescent="0.25">
      <c r="AE1276" s="75"/>
      <c r="AF1276" s="82"/>
      <c r="AG1276" s="82"/>
      <c r="AH1276" s="82"/>
      <c r="AI1276" s="82"/>
      <c r="AJ1276" s="166"/>
      <c r="AK1276" s="82"/>
      <c r="AL1276" s="162"/>
      <c r="AM1276" s="162"/>
      <c r="AN1276" s="162"/>
      <c r="AO1276" s="162"/>
      <c r="AP1276" s="162"/>
      <c r="AQ1276" s="162"/>
      <c r="AR1276" s="710"/>
      <c r="AV1276" s="82"/>
      <c r="AW1276" s="947"/>
      <c r="AX1276" s="947"/>
      <c r="AY1276" s="947"/>
    </row>
    <row r="1277" spans="31:51" x14ac:dyDescent="0.25">
      <c r="AE1277" s="75"/>
      <c r="AF1277" s="82"/>
      <c r="AG1277" s="82"/>
      <c r="AH1277" s="82"/>
      <c r="AI1277" s="82"/>
      <c r="AJ1277" s="166"/>
      <c r="AK1277" s="82"/>
      <c r="AL1277" s="162"/>
      <c r="AM1277" s="162"/>
      <c r="AN1277" s="162"/>
      <c r="AO1277" s="162"/>
      <c r="AP1277" s="162"/>
      <c r="AQ1277" s="162"/>
      <c r="AR1277" s="710"/>
      <c r="AV1277" s="82"/>
      <c r="AW1277" s="947"/>
      <c r="AX1277" s="947"/>
      <c r="AY1277" s="947"/>
    </row>
    <row r="1278" spans="31:51" x14ac:dyDescent="0.25">
      <c r="AE1278" s="75"/>
      <c r="AF1278" s="82"/>
      <c r="AG1278" s="82"/>
      <c r="AH1278" s="82"/>
      <c r="AI1278" s="82"/>
      <c r="AJ1278" s="166"/>
      <c r="AK1278" s="82"/>
      <c r="AL1278" s="162"/>
      <c r="AM1278" s="162"/>
      <c r="AN1278" s="162"/>
      <c r="AO1278" s="162"/>
      <c r="AP1278" s="162"/>
      <c r="AQ1278" s="162"/>
      <c r="AR1278" s="710"/>
      <c r="AV1278" s="82"/>
      <c r="AW1278" s="947"/>
      <c r="AX1278" s="947"/>
      <c r="AY1278" s="947"/>
    </row>
    <row r="1279" spans="31:51" x14ac:dyDescent="0.25">
      <c r="AE1279" s="75"/>
      <c r="AF1279" s="82"/>
      <c r="AG1279" s="82"/>
      <c r="AH1279" s="82"/>
      <c r="AI1279" s="82"/>
      <c r="AJ1279" s="166"/>
      <c r="AK1279" s="82"/>
      <c r="AL1279" s="162"/>
      <c r="AM1279" s="162"/>
      <c r="AN1279" s="162"/>
      <c r="AO1279" s="162"/>
      <c r="AP1279" s="162"/>
      <c r="AQ1279" s="162"/>
      <c r="AR1279" s="710"/>
      <c r="AV1279" s="82"/>
      <c r="AW1279" s="947"/>
      <c r="AX1279" s="947"/>
      <c r="AY1279" s="947"/>
    </row>
    <row r="1280" spans="31:51" x14ac:dyDescent="0.25">
      <c r="AE1280" s="75"/>
      <c r="AF1280" s="82"/>
      <c r="AG1280" s="82"/>
      <c r="AH1280" s="82"/>
      <c r="AI1280" s="82"/>
      <c r="AJ1280" s="166"/>
      <c r="AK1280" s="82"/>
      <c r="AL1280" s="162"/>
      <c r="AM1280" s="162"/>
      <c r="AN1280" s="162"/>
      <c r="AO1280" s="162"/>
      <c r="AP1280" s="162"/>
      <c r="AQ1280" s="162"/>
      <c r="AR1280" s="710"/>
      <c r="AV1280" s="82"/>
      <c r="AW1280" s="947"/>
      <c r="AX1280" s="947"/>
      <c r="AY1280" s="947"/>
    </row>
    <row r="1281" spans="31:51" x14ac:dyDescent="0.25">
      <c r="AE1281" s="75"/>
      <c r="AF1281" s="82"/>
      <c r="AG1281" s="82"/>
      <c r="AH1281" s="82"/>
      <c r="AI1281" s="82"/>
      <c r="AJ1281" s="166"/>
      <c r="AK1281" s="82"/>
      <c r="AL1281" s="162"/>
      <c r="AM1281" s="162"/>
      <c r="AN1281" s="162"/>
      <c r="AO1281" s="162"/>
      <c r="AP1281" s="162"/>
      <c r="AQ1281" s="162"/>
      <c r="AR1281" s="710"/>
      <c r="AV1281" s="82"/>
      <c r="AW1281" s="947"/>
      <c r="AX1281" s="947"/>
      <c r="AY1281" s="947"/>
    </row>
    <row r="1282" spans="31:51" x14ac:dyDescent="0.25">
      <c r="AE1282" s="75"/>
      <c r="AF1282" s="82"/>
      <c r="AG1282" s="82"/>
      <c r="AH1282" s="82"/>
      <c r="AI1282" s="82"/>
      <c r="AJ1282" s="166"/>
      <c r="AK1282" s="82"/>
      <c r="AL1282" s="162"/>
      <c r="AM1282" s="162"/>
      <c r="AN1282" s="162"/>
      <c r="AO1282" s="162"/>
      <c r="AP1282" s="162"/>
      <c r="AQ1282" s="162"/>
      <c r="AR1282" s="710"/>
      <c r="AV1282" s="82"/>
      <c r="AW1282" s="947"/>
      <c r="AX1282" s="947"/>
      <c r="AY1282" s="947"/>
    </row>
    <row r="1283" spans="31:51" x14ac:dyDescent="0.25">
      <c r="AE1283" s="75"/>
      <c r="AF1283" s="82"/>
      <c r="AG1283" s="82"/>
      <c r="AH1283" s="82"/>
      <c r="AI1283" s="82"/>
      <c r="AJ1283" s="166"/>
      <c r="AK1283" s="82"/>
      <c r="AL1283" s="162"/>
      <c r="AM1283" s="162"/>
      <c r="AN1283" s="162"/>
      <c r="AO1283" s="162"/>
      <c r="AP1283" s="162"/>
      <c r="AQ1283" s="162"/>
      <c r="AR1283" s="710"/>
      <c r="AV1283" s="82"/>
      <c r="AW1283" s="947"/>
      <c r="AX1283" s="947"/>
      <c r="AY1283" s="947"/>
    </row>
    <row r="1284" spans="31:51" x14ac:dyDescent="0.25">
      <c r="AE1284" s="75"/>
      <c r="AF1284" s="82"/>
      <c r="AG1284" s="82"/>
      <c r="AH1284" s="82"/>
      <c r="AI1284" s="82"/>
      <c r="AJ1284" s="166"/>
      <c r="AK1284" s="82"/>
      <c r="AL1284" s="162"/>
      <c r="AM1284" s="162"/>
      <c r="AN1284" s="162"/>
      <c r="AO1284" s="162"/>
      <c r="AP1284" s="162"/>
      <c r="AQ1284" s="162"/>
      <c r="AR1284" s="710"/>
      <c r="AV1284" s="82"/>
      <c r="AW1284" s="947"/>
      <c r="AX1284" s="947"/>
      <c r="AY1284" s="947"/>
    </row>
    <row r="1285" spans="31:51" x14ac:dyDescent="0.25">
      <c r="AE1285" s="75"/>
      <c r="AF1285" s="82"/>
      <c r="AG1285" s="82"/>
      <c r="AH1285" s="82"/>
      <c r="AI1285" s="82"/>
      <c r="AJ1285" s="166"/>
      <c r="AK1285" s="82"/>
      <c r="AL1285" s="162"/>
      <c r="AM1285" s="162"/>
      <c r="AN1285" s="162"/>
      <c r="AO1285" s="162"/>
      <c r="AP1285" s="162"/>
      <c r="AQ1285" s="162"/>
      <c r="AR1285" s="710"/>
      <c r="AV1285" s="82"/>
      <c r="AW1285" s="947"/>
      <c r="AX1285" s="947"/>
      <c r="AY1285" s="947"/>
    </row>
    <row r="1286" spans="31:51" x14ac:dyDescent="0.25">
      <c r="AE1286" s="75"/>
      <c r="AF1286" s="82"/>
      <c r="AG1286" s="82"/>
      <c r="AH1286" s="82"/>
      <c r="AI1286" s="82"/>
      <c r="AJ1286" s="166"/>
      <c r="AK1286" s="82"/>
      <c r="AL1286" s="162"/>
      <c r="AM1286" s="162"/>
      <c r="AN1286" s="162"/>
      <c r="AO1286" s="162"/>
      <c r="AP1286" s="162"/>
      <c r="AQ1286" s="162"/>
      <c r="AR1286" s="710"/>
      <c r="AV1286" s="82"/>
      <c r="AW1286" s="947"/>
      <c r="AX1286" s="947"/>
      <c r="AY1286" s="947"/>
    </row>
    <row r="1287" spans="31:51" x14ac:dyDescent="0.25">
      <c r="AE1287" s="75"/>
      <c r="AF1287" s="82"/>
      <c r="AG1287" s="82"/>
      <c r="AH1287" s="82"/>
      <c r="AI1287" s="82"/>
      <c r="AJ1287" s="166"/>
      <c r="AK1287" s="82"/>
      <c r="AL1287" s="162"/>
      <c r="AM1287" s="162"/>
      <c r="AN1287" s="162"/>
      <c r="AO1287" s="162"/>
      <c r="AP1287" s="162"/>
      <c r="AQ1287" s="162"/>
      <c r="AR1287" s="710"/>
      <c r="AV1287" s="82"/>
      <c r="AW1287" s="947"/>
      <c r="AX1287" s="947"/>
      <c r="AY1287" s="947"/>
    </row>
    <row r="1288" spans="31:51" x14ac:dyDescent="0.25">
      <c r="AE1288" s="75"/>
      <c r="AF1288" s="82"/>
      <c r="AG1288" s="82"/>
      <c r="AH1288" s="82"/>
      <c r="AI1288" s="82"/>
      <c r="AJ1288" s="166"/>
      <c r="AK1288" s="82"/>
      <c r="AL1288" s="162"/>
      <c r="AM1288" s="162"/>
      <c r="AN1288" s="162"/>
      <c r="AO1288" s="162"/>
      <c r="AP1288" s="162"/>
      <c r="AQ1288" s="162"/>
      <c r="AR1288" s="710"/>
      <c r="AV1288" s="82"/>
      <c r="AW1288" s="947"/>
      <c r="AX1288" s="947"/>
      <c r="AY1288" s="947"/>
    </row>
    <row r="1289" spans="31:51" x14ac:dyDescent="0.25">
      <c r="AE1289" s="75"/>
      <c r="AF1289" s="82"/>
      <c r="AG1289" s="82"/>
      <c r="AH1289" s="82"/>
      <c r="AI1289" s="82"/>
      <c r="AJ1289" s="166"/>
      <c r="AK1289" s="82"/>
      <c r="AL1289" s="162"/>
      <c r="AM1289" s="162"/>
      <c r="AN1289" s="162"/>
      <c r="AO1289" s="162"/>
      <c r="AP1289" s="162"/>
      <c r="AQ1289" s="162"/>
      <c r="AR1289" s="710"/>
      <c r="AV1289" s="82"/>
      <c r="AW1289" s="947"/>
      <c r="AX1289" s="947"/>
      <c r="AY1289" s="947"/>
    </row>
    <row r="1290" spans="31:51" x14ac:dyDescent="0.25">
      <c r="AE1290" s="75"/>
      <c r="AF1290" s="82"/>
      <c r="AG1290" s="82"/>
      <c r="AH1290" s="82"/>
      <c r="AI1290" s="82"/>
      <c r="AJ1290" s="166"/>
      <c r="AK1290" s="82"/>
      <c r="AL1290" s="162"/>
      <c r="AM1290" s="162"/>
      <c r="AN1290" s="162"/>
      <c r="AO1290" s="162"/>
      <c r="AP1290" s="162"/>
      <c r="AQ1290" s="162"/>
      <c r="AR1290" s="710"/>
      <c r="AV1290" s="82"/>
      <c r="AW1290" s="947"/>
      <c r="AX1290" s="947"/>
      <c r="AY1290" s="947"/>
    </row>
    <row r="1291" spans="31:51" x14ac:dyDescent="0.25">
      <c r="AE1291" s="75"/>
      <c r="AF1291" s="82"/>
      <c r="AG1291" s="82"/>
      <c r="AH1291" s="82"/>
      <c r="AI1291" s="82"/>
      <c r="AJ1291" s="166"/>
      <c r="AK1291" s="82"/>
      <c r="AL1291" s="162"/>
      <c r="AM1291" s="162"/>
      <c r="AN1291" s="162"/>
      <c r="AO1291" s="162"/>
      <c r="AP1291" s="162"/>
      <c r="AQ1291" s="162"/>
      <c r="AR1291" s="710"/>
      <c r="AV1291" s="82"/>
      <c r="AW1291" s="947"/>
      <c r="AX1291" s="947"/>
      <c r="AY1291" s="947"/>
    </row>
    <row r="1292" spans="31:51" x14ac:dyDescent="0.25">
      <c r="AE1292" s="75"/>
      <c r="AF1292" s="82"/>
      <c r="AG1292" s="82"/>
      <c r="AH1292" s="82"/>
      <c r="AI1292" s="82"/>
      <c r="AJ1292" s="166"/>
      <c r="AK1292" s="82"/>
      <c r="AL1292" s="162"/>
      <c r="AM1292" s="162"/>
      <c r="AN1292" s="162"/>
      <c r="AO1292" s="162"/>
      <c r="AP1292" s="162"/>
      <c r="AQ1292" s="162"/>
      <c r="AR1292" s="710"/>
      <c r="AV1292" s="82"/>
      <c r="AW1292" s="947"/>
      <c r="AX1292" s="947"/>
      <c r="AY1292" s="947"/>
    </row>
    <row r="1293" spans="31:51" x14ac:dyDescent="0.25">
      <c r="AE1293" s="75"/>
      <c r="AF1293" s="82"/>
      <c r="AG1293" s="82"/>
      <c r="AH1293" s="82"/>
      <c r="AI1293" s="82"/>
      <c r="AJ1293" s="166"/>
      <c r="AK1293" s="82"/>
      <c r="AL1293" s="162"/>
      <c r="AM1293" s="162"/>
      <c r="AN1293" s="162"/>
      <c r="AO1293" s="162"/>
      <c r="AP1293" s="162"/>
      <c r="AQ1293" s="162"/>
      <c r="AR1293" s="710"/>
      <c r="AV1293" s="82"/>
      <c r="AW1293" s="947"/>
      <c r="AX1293" s="947"/>
      <c r="AY1293" s="947"/>
    </row>
    <row r="1294" spans="31:51" x14ac:dyDescent="0.25">
      <c r="AE1294" s="75"/>
      <c r="AF1294" s="82"/>
      <c r="AG1294" s="82"/>
      <c r="AH1294" s="82"/>
      <c r="AI1294" s="82"/>
      <c r="AJ1294" s="166"/>
      <c r="AK1294" s="82"/>
      <c r="AL1294" s="162"/>
      <c r="AM1294" s="162"/>
      <c r="AN1294" s="162"/>
      <c r="AO1294" s="162"/>
      <c r="AP1294" s="162"/>
      <c r="AQ1294" s="162"/>
      <c r="AR1294" s="710"/>
      <c r="AV1294" s="82"/>
      <c r="AW1294" s="947"/>
      <c r="AX1294" s="947"/>
      <c r="AY1294" s="947"/>
    </row>
    <row r="1295" spans="31:51" x14ac:dyDescent="0.25">
      <c r="AE1295" s="75"/>
      <c r="AF1295" s="82"/>
      <c r="AG1295" s="82"/>
      <c r="AH1295" s="82"/>
      <c r="AI1295" s="82"/>
      <c r="AJ1295" s="166"/>
      <c r="AK1295" s="82"/>
      <c r="AL1295" s="162"/>
      <c r="AM1295" s="162"/>
      <c r="AN1295" s="162"/>
      <c r="AO1295" s="162"/>
      <c r="AP1295" s="162"/>
      <c r="AQ1295" s="162"/>
      <c r="AR1295" s="710"/>
      <c r="AV1295" s="82"/>
      <c r="AW1295" s="947"/>
      <c r="AX1295" s="947"/>
      <c r="AY1295" s="947"/>
    </row>
    <row r="1296" spans="31:51" x14ac:dyDescent="0.25">
      <c r="AE1296" s="75"/>
      <c r="AF1296" s="82"/>
      <c r="AG1296" s="82"/>
      <c r="AH1296" s="82"/>
      <c r="AI1296" s="82"/>
      <c r="AJ1296" s="166"/>
      <c r="AK1296" s="82"/>
      <c r="AL1296" s="162"/>
      <c r="AM1296" s="162"/>
      <c r="AN1296" s="162"/>
      <c r="AO1296" s="162"/>
      <c r="AP1296" s="162"/>
      <c r="AQ1296" s="162"/>
      <c r="AR1296" s="710"/>
      <c r="AV1296" s="82"/>
      <c r="AW1296" s="947"/>
      <c r="AX1296" s="947"/>
      <c r="AY1296" s="947"/>
    </row>
    <row r="1297" spans="31:51" x14ac:dyDescent="0.25">
      <c r="AE1297" s="75"/>
      <c r="AF1297" s="82"/>
      <c r="AG1297" s="82"/>
      <c r="AH1297" s="82"/>
      <c r="AI1297" s="82"/>
      <c r="AJ1297" s="166"/>
      <c r="AK1297" s="82"/>
      <c r="AL1297" s="162"/>
      <c r="AM1297" s="162"/>
      <c r="AN1297" s="162"/>
      <c r="AO1297" s="162"/>
      <c r="AP1297" s="162"/>
      <c r="AQ1297" s="162"/>
      <c r="AR1297" s="710"/>
      <c r="AV1297" s="82"/>
      <c r="AW1297" s="947"/>
      <c r="AX1297" s="947"/>
      <c r="AY1297" s="947"/>
    </row>
    <row r="1298" spans="31:51" x14ac:dyDescent="0.25">
      <c r="AE1298" s="75"/>
      <c r="AF1298" s="82"/>
      <c r="AG1298" s="82"/>
      <c r="AH1298" s="82"/>
      <c r="AI1298" s="82"/>
      <c r="AJ1298" s="166"/>
      <c r="AK1298" s="82"/>
      <c r="AL1298" s="162"/>
      <c r="AM1298" s="162"/>
      <c r="AN1298" s="162"/>
      <c r="AO1298" s="162"/>
      <c r="AP1298" s="162"/>
      <c r="AQ1298" s="162"/>
      <c r="AR1298" s="710"/>
      <c r="AV1298" s="82"/>
      <c r="AW1298" s="947"/>
      <c r="AX1298" s="947"/>
      <c r="AY1298" s="947"/>
    </row>
    <row r="1299" spans="31:51" x14ac:dyDescent="0.25">
      <c r="AE1299" s="75"/>
      <c r="AF1299" s="82"/>
      <c r="AG1299" s="82"/>
      <c r="AH1299" s="82"/>
      <c r="AI1299" s="82"/>
      <c r="AJ1299" s="166"/>
      <c r="AK1299" s="82"/>
      <c r="AL1299" s="162"/>
      <c r="AM1299" s="162"/>
      <c r="AN1299" s="162"/>
      <c r="AO1299" s="162"/>
      <c r="AP1299" s="162"/>
      <c r="AQ1299" s="162"/>
      <c r="AR1299" s="710"/>
      <c r="AV1299" s="82"/>
      <c r="AW1299" s="947"/>
      <c r="AX1299" s="947"/>
      <c r="AY1299" s="947"/>
    </row>
    <row r="1300" spans="31:51" x14ac:dyDescent="0.25">
      <c r="AE1300" s="75"/>
      <c r="AF1300" s="82"/>
      <c r="AG1300" s="82"/>
      <c r="AH1300" s="82"/>
      <c r="AI1300" s="82"/>
      <c r="AJ1300" s="166"/>
      <c r="AK1300" s="82"/>
      <c r="AL1300" s="162"/>
      <c r="AM1300" s="162"/>
      <c r="AN1300" s="162"/>
      <c r="AO1300" s="162"/>
      <c r="AP1300" s="162"/>
      <c r="AQ1300" s="162"/>
      <c r="AR1300" s="710"/>
      <c r="AV1300" s="82"/>
      <c r="AW1300" s="947"/>
      <c r="AX1300" s="947"/>
      <c r="AY1300" s="947"/>
    </row>
    <row r="1301" spans="31:51" x14ac:dyDescent="0.25">
      <c r="AE1301" s="75"/>
      <c r="AF1301" s="82"/>
      <c r="AG1301" s="82"/>
      <c r="AH1301" s="82"/>
      <c r="AI1301" s="82"/>
      <c r="AJ1301" s="166"/>
      <c r="AK1301" s="82"/>
      <c r="AL1301" s="162"/>
      <c r="AM1301" s="162"/>
      <c r="AN1301" s="162"/>
      <c r="AO1301" s="162"/>
      <c r="AP1301" s="162"/>
      <c r="AQ1301" s="162"/>
      <c r="AR1301" s="710"/>
      <c r="AV1301" s="82"/>
      <c r="AW1301" s="947"/>
      <c r="AX1301" s="947"/>
      <c r="AY1301" s="947"/>
    </row>
    <row r="1302" spans="31:51" x14ac:dyDescent="0.25">
      <c r="AE1302" s="75"/>
      <c r="AF1302" s="82"/>
      <c r="AG1302" s="82"/>
      <c r="AH1302" s="82"/>
      <c r="AI1302" s="82"/>
      <c r="AJ1302" s="166"/>
      <c r="AK1302" s="82"/>
      <c r="AL1302" s="162"/>
      <c r="AM1302" s="162"/>
      <c r="AN1302" s="162"/>
      <c r="AO1302" s="162"/>
      <c r="AP1302" s="162"/>
      <c r="AQ1302" s="162"/>
      <c r="AR1302" s="710"/>
      <c r="AV1302" s="82"/>
      <c r="AW1302" s="947"/>
      <c r="AX1302" s="947"/>
      <c r="AY1302" s="947"/>
    </row>
    <row r="1303" spans="31:51" x14ac:dyDescent="0.25">
      <c r="AE1303" s="75"/>
      <c r="AF1303" s="82"/>
      <c r="AG1303" s="82"/>
      <c r="AH1303" s="82"/>
      <c r="AI1303" s="82"/>
      <c r="AJ1303" s="166"/>
      <c r="AK1303" s="82"/>
      <c r="AL1303" s="162"/>
      <c r="AM1303" s="162"/>
      <c r="AN1303" s="162"/>
      <c r="AO1303" s="162"/>
      <c r="AP1303" s="162"/>
      <c r="AQ1303" s="162"/>
      <c r="AR1303" s="710"/>
      <c r="AV1303" s="82"/>
      <c r="AW1303" s="947"/>
      <c r="AX1303" s="947"/>
      <c r="AY1303" s="947"/>
    </row>
    <row r="1304" spans="31:51" x14ac:dyDescent="0.25">
      <c r="AE1304" s="75"/>
      <c r="AF1304" s="82"/>
      <c r="AG1304" s="82"/>
      <c r="AH1304" s="82"/>
      <c r="AI1304" s="82"/>
      <c r="AJ1304" s="166"/>
      <c r="AK1304" s="82"/>
      <c r="AL1304" s="162"/>
      <c r="AM1304" s="162"/>
      <c r="AN1304" s="162"/>
      <c r="AO1304" s="162"/>
      <c r="AP1304" s="162"/>
      <c r="AQ1304" s="162"/>
      <c r="AR1304" s="710"/>
      <c r="AV1304" s="82"/>
      <c r="AW1304" s="947"/>
      <c r="AX1304" s="947"/>
      <c r="AY1304" s="947"/>
    </row>
    <row r="1305" spans="31:51" x14ac:dyDescent="0.25">
      <c r="AE1305" s="75"/>
      <c r="AF1305" s="82"/>
      <c r="AG1305" s="82"/>
      <c r="AH1305" s="82"/>
      <c r="AI1305" s="82"/>
      <c r="AJ1305" s="166"/>
      <c r="AK1305" s="82"/>
      <c r="AL1305" s="162"/>
      <c r="AM1305" s="162"/>
      <c r="AN1305" s="162"/>
      <c r="AO1305" s="162"/>
      <c r="AP1305" s="162"/>
      <c r="AQ1305" s="162"/>
      <c r="AR1305" s="710"/>
      <c r="AV1305" s="82"/>
      <c r="AW1305" s="947"/>
      <c r="AX1305" s="947"/>
      <c r="AY1305" s="947"/>
    </row>
    <row r="1306" spans="31:51" x14ac:dyDescent="0.25">
      <c r="AE1306" s="75"/>
      <c r="AF1306" s="82"/>
      <c r="AG1306" s="82"/>
      <c r="AH1306" s="82"/>
      <c r="AI1306" s="82"/>
      <c r="AJ1306" s="166"/>
      <c r="AK1306" s="82"/>
      <c r="AL1306" s="162"/>
      <c r="AM1306" s="162"/>
      <c r="AN1306" s="162"/>
      <c r="AO1306" s="162"/>
      <c r="AP1306" s="162"/>
      <c r="AQ1306" s="162"/>
      <c r="AR1306" s="710"/>
      <c r="AV1306" s="82"/>
      <c r="AW1306" s="947"/>
      <c r="AX1306" s="947"/>
      <c r="AY1306" s="947"/>
    </row>
    <row r="1307" spans="31:51" x14ac:dyDescent="0.25">
      <c r="AE1307" s="75"/>
      <c r="AF1307" s="82"/>
      <c r="AG1307" s="82"/>
      <c r="AH1307" s="82"/>
      <c r="AI1307" s="82"/>
      <c r="AJ1307" s="166"/>
      <c r="AK1307" s="82"/>
      <c r="AL1307" s="162"/>
      <c r="AM1307" s="162"/>
      <c r="AN1307" s="162"/>
      <c r="AO1307" s="162"/>
      <c r="AP1307" s="162"/>
      <c r="AQ1307" s="162"/>
      <c r="AR1307" s="710"/>
      <c r="AV1307" s="82"/>
      <c r="AW1307" s="947"/>
      <c r="AX1307" s="947"/>
      <c r="AY1307" s="947"/>
    </row>
    <row r="1308" spans="31:51" x14ac:dyDescent="0.25">
      <c r="AE1308" s="75"/>
      <c r="AF1308" s="82"/>
      <c r="AG1308" s="82"/>
      <c r="AH1308" s="82"/>
      <c r="AI1308" s="82"/>
      <c r="AJ1308" s="166"/>
      <c r="AK1308" s="82"/>
      <c r="AL1308" s="162"/>
      <c r="AM1308" s="162"/>
      <c r="AN1308" s="162"/>
      <c r="AO1308" s="162"/>
      <c r="AP1308" s="162"/>
      <c r="AQ1308" s="162"/>
      <c r="AR1308" s="710"/>
      <c r="AV1308" s="82"/>
      <c r="AW1308" s="947"/>
      <c r="AX1308" s="947"/>
      <c r="AY1308" s="947"/>
    </row>
    <row r="1309" spans="31:51" x14ac:dyDescent="0.25">
      <c r="AE1309" s="75"/>
      <c r="AF1309" s="82"/>
      <c r="AG1309" s="82"/>
      <c r="AH1309" s="82"/>
      <c r="AI1309" s="82"/>
      <c r="AJ1309" s="166"/>
      <c r="AK1309" s="82"/>
      <c r="AL1309" s="162"/>
      <c r="AM1309" s="162"/>
      <c r="AN1309" s="162"/>
      <c r="AO1309" s="162"/>
      <c r="AP1309" s="162"/>
      <c r="AQ1309" s="162"/>
      <c r="AR1309" s="710"/>
      <c r="AV1309" s="82"/>
      <c r="AW1309" s="947"/>
      <c r="AX1309" s="947"/>
      <c r="AY1309" s="947"/>
    </row>
    <row r="1310" spans="31:51" x14ac:dyDescent="0.25">
      <c r="AE1310" s="75"/>
      <c r="AF1310" s="82"/>
      <c r="AG1310" s="82"/>
      <c r="AH1310" s="82"/>
      <c r="AI1310" s="82"/>
      <c r="AJ1310" s="166"/>
      <c r="AK1310" s="82"/>
      <c r="AL1310" s="162"/>
      <c r="AM1310" s="162"/>
      <c r="AN1310" s="162"/>
      <c r="AO1310" s="162"/>
      <c r="AP1310" s="162"/>
      <c r="AQ1310" s="162"/>
      <c r="AR1310" s="710"/>
      <c r="AV1310" s="82"/>
      <c r="AW1310" s="947"/>
      <c r="AX1310" s="947"/>
      <c r="AY1310" s="947"/>
    </row>
    <row r="1311" spans="31:51" x14ac:dyDescent="0.25">
      <c r="AE1311" s="75"/>
      <c r="AF1311" s="82"/>
      <c r="AG1311" s="82"/>
      <c r="AH1311" s="82"/>
      <c r="AI1311" s="82"/>
      <c r="AJ1311" s="166"/>
      <c r="AK1311" s="82"/>
      <c r="AL1311" s="162"/>
      <c r="AM1311" s="162"/>
      <c r="AN1311" s="162"/>
      <c r="AO1311" s="162"/>
      <c r="AP1311" s="162"/>
      <c r="AQ1311" s="162"/>
      <c r="AR1311" s="710"/>
      <c r="AV1311" s="82"/>
      <c r="AW1311" s="947"/>
      <c r="AX1311" s="947"/>
      <c r="AY1311" s="947"/>
    </row>
    <row r="1312" spans="31:51" x14ac:dyDescent="0.25">
      <c r="AE1312" s="75"/>
      <c r="AF1312" s="82"/>
      <c r="AG1312" s="82"/>
      <c r="AH1312" s="82"/>
      <c r="AI1312" s="82"/>
      <c r="AJ1312" s="166"/>
      <c r="AK1312" s="82"/>
      <c r="AL1312" s="162"/>
      <c r="AM1312" s="162"/>
      <c r="AN1312" s="162"/>
      <c r="AO1312" s="162"/>
      <c r="AP1312" s="162"/>
      <c r="AQ1312" s="162"/>
      <c r="AR1312" s="710"/>
      <c r="AV1312" s="82"/>
      <c r="AW1312" s="947"/>
      <c r="AX1312" s="947"/>
      <c r="AY1312" s="947"/>
    </row>
    <row r="1313" spans="31:51" x14ac:dyDescent="0.25">
      <c r="AE1313" s="75"/>
      <c r="AF1313" s="82"/>
      <c r="AG1313" s="82"/>
      <c r="AH1313" s="82"/>
      <c r="AI1313" s="82"/>
      <c r="AJ1313" s="166"/>
      <c r="AK1313" s="82"/>
      <c r="AL1313" s="162"/>
      <c r="AM1313" s="162"/>
      <c r="AN1313" s="162"/>
      <c r="AO1313" s="162"/>
      <c r="AP1313" s="162"/>
      <c r="AQ1313" s="162"/>
      <c r="AR1313" s="710"/>
      <c r="AV1313" s="82"/>
      <c r="AW1313" s="947"/>
      <c r="AX1313" s="947"/>
      <c r="AY1313" s="947"/>
    </row>
    <row r="1314" spans="31:51" x14ac:dyDescent="0.25">
      <c r="AE1314" s="75"/>
      <c r="AF1314" s="82"/>
      <c r="AG1314" s="82"/>
      <c r="AH1314" s="82"/>
      <c r="AI1314" s="82"/>
      <c r="AJ1314" s="166"/>
      <c r="AK1314" s="82"/>
      <c r="AL1314" s="162"/>
      <c r="AM1314" s="162"/>
      <c r="AN1314" s="162"/>
      <c r="AO1314" s="162"/>
      <c r="AP1314" s="162"/>
      <c r="AQ1314" s="162"/>
      <c r="AR1314" s="710"/>
      <c r="AV1314" s="82"/>
      <c r="AW1314" s="947"/>
      <c r="AX1314" s="947"/>
      <c r="AY1314" s="947"/>
    </row>
    <row r="1315" spans="31:51" x14ac:dyDescent="0.25">
      <c r="AE1315" s="75"/>
      <c r="AF1315" s="82"/>
      <c r="AG1315" s="82"/>
      <c r="AH1315" s="82"/>
      <c r="AI1315" s="82"/>
      <c r="AJ1315" s="166"/>
      <c r="AK1315" s="82"/>
      <c r="AL1315" s="162"/>
      <c r="AM1315" s="162"/>
      <c r="AN1315" s="162"/>
      <c r="AO1315" s="162"/>
      <c r="AP1315" s="162"/>
      <c r="AQ1315" s="162"/>
      <c r="AR1315" s="710"/>
      <c r="AV1315" s="82"/>
      <c r="AW1315" s="947"/>
      <c r="AX1315" s="947"/>
      <c r="AY1315" s="947"/>
    </row>
    <row r="1316" spans="31:51" x14ac:dyDescent="0.25">
      <c r="AE1316" s="75"/>
      <c r="AF1316" s="82"/>
      <c r="AG1316" s="82"/>
      <c r="AH1316" s="82"/>
      <c r="AI1316" s="82"/>
      <c r="AJ1316" s="166"/>
      <c r="AK1316" s="82"/>
      <c r="AL1316" s="162"/>
      <c r="AM1316" s="162"/>
      <c r="AN1316" s="162"/>
      <c r="AO1316" s="162"/>
      <c r="AP1316" s="162"/>
      <c r="AQ1316" s="162"/>
      <c r="AR1316" s="710"/>
      <c r="AV1316" s="82"/>
      <c r="AW1316" s="947"/>
      <c r="AX1316" s="947"/>
      <c r="AY1316" s="947"/>
    </row>
    <row r="1317" spans="31:51" x14ac:dyDescent="0.25">
      <c r="AE1317" s="75"/>
      <c r="AF1317" s="82"/>
      <c r="AG1317" s="82"/>
      <c r="AH1317" s="82"/>
      <c r="AI1317" s="82"/>
      <c r="AJ1317" s="166"/>
      <c r="AK1317" s="82"/>
      <c r="AL1317" s="162"/>
      <c r="AM1317" s="162"/>
      <c r="AN1317" s="162"/>
      <c r="AO1317" s="162"/>
      <c r="AP1317" s="162"/>
      <c r="AQ1317" s="162"/>
      <c r="AR1317" s="710"/>
      <c r="AV1317" s="82"/>
      <c r="AW1317" s="947"/>
      <c r="AX1317" s="947"/>
      <c r="AY1317" s="947"/>
    </row>
    <row r="1318" spans="31:51" x14ac:dyDescent="0.25">
      <c r="AE1318" s="75"/>
      <c r="AF1318" s="82"/>
      <c r="AG1318" s="82"/>
      <c r="AH1318" s="82"/>
      <c r="AI1318" s="82"/>
      <c r="AJ1318" s="166"/>
      <c r="AK1318" s="82"/>
      <c r="AL1318" s="162"/>
      <c r="AM1318" s="162"/>
      <c r="AN1318" s="162"/>
      <c r="AO1318" s="162"/>
      <c r="AP1318" s="162"/>
      <c r="AQ1318" s="162"/>
      <c r="AR1318" s="710"/>
      <c r="AV1318" s="82"/>
      <c r="AW1318" s="947"/>
      <c r="AX1318" s="947"/>
      <c r="AY1318" s="947"/>
    </row>
    <row r="1319" spans="31:51" x14ac:dyDescent="0.25">
      <c r="AE1319" s="75"/>
      <c r="AF1319" s="82"/>
      <c r="AG1319" s="82"/>
      <c r="AH1319" s="82"/>
      <c r="AI1319" s="82"/>
      <c r="AJ1319" s="166"/>
      <c r="AK1319" s="82"/>
      <c r="AL1319" s="162"/>
      <c r="AM1319" s="162"/>
      <c r="AN1319" s="162"/>
      <c r="AO1319" s="162"/>
      <c r="AP1319" s="162"/>
      <c r="AQ1319" s="162"/>
      <c r="AR1319" s="710"/>
      <c r="AV1319" s="82"/>
      <c r="AW1319" s="947"/>
      <c r="AX1319" s="947"/>
      <c r="AY1319" s="947"/>
    </row>
    <row r="1320" spans="31:51" x14ac:dyDescent="0.25">
      <c r="AE1320" s="75"/>
      <c r="AF1320" s="82"/>
      <c r="AG1320" s="82"/>
      <c r="AH1320" s="82"/>
      <c r="AI1320" s="82"/>
      <c r="AJ1320" s="166"/>
      <c r="AK1320" s="82"/>
      <c r="AL1320" s="162"/>
      <c r="AM1320" s="162"/>
      <c r="AN1320" s="162"/>
      <c r="AO1320" s="162"/>
      <c r="AP1320" s="162"/>
      <c r="AQ1320" s="162"/>
      <c r="AR1320" s="710"/>
      <c r="AV1320" s="82"/>
      <c r="AW1320" s="947"/>
      <c r="AX1320" s="947"/>
      <c r="AY1320" s="947"/>
    </row>
    <row r="1321" spans="31:51" x14ac:dyDescent="0.25">
      <c r="AE1321" s="75"/>
      <c r="AF1321" s="82"/>
      <c r="AG1321" s="82"/>
      <c r="AH1321" s="82"/>
      <c r="AI1321" s="82"/>
      <c r="AJ1321" s="166"/>
      <c r="AK1321" s="82"/>
      <c r="AL1321" s="162"/>
      <c r="AM1321" s="162"/>
      <c r="AN1321" s="162"/>
      <c r="AO1321" s="162"/>
      <c r="AP1321" s="162"/>
      <c r="AQ1321" s="162"/>
      <c r="AR1321" s="710"/>
      <c r="AV1321" s="82"/>
      <c r="AW1321" s="947"/>
      <c r="AX1321" s="947"/>
      <c r="AY1321" s="947"/>
    </row>
    <row r="1322" spans="31:51" x14ac:dyDescent="0.25">
      <c r="AE1322" s="75"/>
      <c r="AF1322" s="82"/>
      <c r="AG1322" s="82"/>
      <c r="AH1322" s="82"/>
      <c r="AI1322" s="82"/>
      <c r="AJ1322" s="166"/>
      <c r="AK1322" s="82"/>
      <c r="AL1322" s="162"/>
      <c r="AM1322" s="162"/>
      <c r="AN1322" s="162"/>
      <c r="AO1322" s="162"/>
      <c r="AP1322" s="162"/>
      <c r="AQ1322" s="162"/>
      <c r="AR1322" s="710"/>
      <c r="AV1322" s="82"/>
      <c r="AW1322" s="947"/>
      <c r="AX1322" s="947"/>
      <c r="AY1322" s="947"/>
    </row>
    <row r="1323" spans="31:51" x14ac:dyDescent="0.25">
      <c r="AE1323" s="75"/>
      <c r="AF1323" s="82"/>
      <c r="AG1323" s="82"/>
      <c r="AH1323" s="82"/>
      <c r="AI1323" s="82"/>
      <c r="AJ1323" s="166"/>
      <c r="AK1323" s="82"/>
      <c r="AL1323" s="162"/>
      <c r="AM1323" s="162"/>
      <c r="AN1323" s="162"/>
      <c r="AO1323" s="162"/>
      <c r="AP1323" s="162"/>
      <c r="AQ1323" s="162"/>
      <c r="AR1323" s="710"/>
      <c r="AV1323" s="82"/>
      <c r="AW1323" s="947"/>
      <c r="AX1323" s="947"/>
      <c r="AY1323" s="947"/>
    </row>
    <row r="1324" spans="31:51" x14ac:dyDescent="0.25">
      <c r="AE1324" s="75"/>
      <c r="AF1324" s="82"/>
      <c r="AG1324" s="82"/>
      <c r="AH1324" s="82"/>
      <c r="AI1324" s="82"/>
      <c r="AJ1324" s="166"/>
      <c r="AK1324" s="82"/>
      <c r="AL1324" s="162"/>
      <c r="AM1324" s="162"/>
      <c r="AN1324" s="162"/>
      <c r="AO1324" s="162"/>
      <c r="AP1324" s="162"/>
      <c r="AQ1324" s="162"/>
      <c r="AR1324" s="710"/>
      <c r="AV1324" s="82"/>
      <c r="AW1324" s="947"/>
      <c r="AX1324" s="947"/>
      <c r="AY1324" s="947"/>
    </row>
    <row r="1325" spans="31:51" x14ac:dyDescent="0.25">
      <c r="AE1325" s="75"/>
      <c r="AF1325" s="82"/>
      <c r="AG1325" s="82"/>
      <c r="AH1325" s="82"/>
      <c r="AI1325" s="82"/>
      <c r="AJ1325" s="166"/>
      <c r="AK1325" s="82"/>
      <c r="AL1325" s="162"/>
      <c r="AM1325" s="162"/>
      <c r="AN1325" s="162"/>
      <c r="AO1325" s="162"/>
      <c r="AP1325" s="162"/>
      <c r="AQ1325" s="162"/>
      <c r="AR1325" s="710"/>
      <c r="AV1325" s="82"/>
      <c r="AW1325" s="947"/>
      <c r="AX1325" s="947"/>
      <c r="AY1325" s="947"/>
    </row>
    <row r="1326" spans="31:51" x14ac:dyDescent="0.25">
      <c r="AE1326" s="75"/>
      <c r="AF1326" s="82"/>
      <c r="AG1326" s="82"/>
      <c r="AH1326" s="82"/>
      <c r="AI1326" s="82"/>
      <c r="AJ1326" s="166"/>
      <c r="AK1326" s="82"/>
      <c r="AL1326" s="162"/>
      <c r="AM1326" s="162"/>
      <c r="AN1326" s="162"/>
      <c r="AO1326" s="162"/>
      <c r="AP1326" s="162"/>
      <c r="AQ1326" s="162"/>
      <c r="AR1326" s="710"/>
      <c r="AV1326" s="82"/>
      <c r="AW1326" s="947"/>
      <c r="AX1326" s="947"/>
      <c r="AY1326" s="947"/>
    </row>
    <row r="1327" spans="31:51" x14ac:dyDescent="0.25">
      <c r="AE1327" s="75"/>
      <c r="AF1327" s="82"/>
      <c r="AG1327" s="82"/>
      <c r="AH1327" s="82"/>
      <c r="AI1327" s="82"/>
      <c r="AJ1327" s="166"/>
      <c r="AK1327" s="82"/>
      <c r="AL1327" s="162"/>
      <c r="AM1327" s="162"/>
      <c r="AN1327" s="162"/>
      <c r="AO1327" s="162"/>
      <c r="AP1327" s="162"/>
      <c r="AQ1327" s="162"/>
      <c r="AR1327" s="710"/>
      <c r="AV1327" s="82"/>
      <c r="AW1327" s="947"/>
      <c r="AX1327" s="947"/>
      <c r="AY1327" s="947"/>
    </row>
    <row r="1328" spans="31:51" x14ac:dyDescent="0.25">
      <c r="AE1328" s="75"/>
      <c r="AF1328" s="82"/>
      <c r="AG1328" s="82"/>
      <c r="AH1328" s="82"/>
      <c r="AI1328" s="82"/>
      <c r="AJ1328" s="166"/>
      <c r="AK1328" s="82"/>
      <c r="AL1328" s="162"/>
      <c r="AM1328" s="162"/>
      <c r="AN1328" s="162"/>
      <c r="AO1328" s="162"/>
      <c r="AP1328" s="162"/>
      <c r="AQ1328" s="162"/>
      <c r="AR1328" s="710"/>
      <c r="AV1328" s="82"/>
      <c r="AW1328" s="947"/>
      <c r="AX1328" s="947"/>
      <c r="AY1328" s="947"/>
    </row>
    <row r="1329" spans="31:51" x14ac:dyDescent="0.25">
      <c r="AE1329" s="75"/>
      <c r="AF1329" s="82"/>
      <c r="AG1329" s="82"/>
      <c r="AH1329" s="82"/>
      <c r="AI1329" s="82"/>
      <c r="AJ1329" s="166"/>
      <c r="AK1329" s="82"/>
      <c r="AL1329" s="162"/>
      <c r="AM1329" s="162"/>
      <c r="AN1329" s="162"/>
      <c r="AO1329" s="162"/>
      <c r="AP1329" s="162"/>
      <c r="AQ1329" s="162"/>
      <c r="AR1329" s="710"/>
      <c r="AV1329" s="82"/>
      <c r="AW1329" s="947"/>
      <c r="AX1329" s="947"/>
      <c r="AY1329" s="947"/>
    </row>
    <row r="1330" spans="31:51" x14ac:dyDescent="0.25">
      <c r="AE1330" s="75"/>
      <c r="AF1330" s="82"/>
      <c r="AG1330" s="82"/>
      <c r="AH1330" s="82"/>
      <c r="AI1330" s="82"/>
      <c r="AJ1330" s="166"/>
      <c r="AK1330" s="82"/>
      <c r="AL1330" s="162"/>
      <c r="AM1330" s="162"/>
      <c r="AN1330" s="162"/>
      <c r="AO1330" s="162"/>
      <c r="AP1330" s="162"/>
      <c r="AQ1330" s="162"/>
      <c r="AR1330" s="710"/>
      <c r="AV1330" s="82"/>
      <c r="AW1330" s="947"/>
      <c r="AX1330" s="947"/>
      <c r="AY1330" s="947"/>
    </row>
    <row r="1331" spans="31:51" x14ac:dyDescent="0.25">
      <c r="AE1331" s="75"/>
      <c r="AF1331" s="82"/>
      <c r="AG1331" s="82"/>
      <c r="AH1331" s="82"/>
      <c r="AI1331" s="82"/>
      <c r="AJ1331" s="166"/>
      <c r="AK1331" s="82"/>
      <c r="AL1331" s="162"/>
      <c r="AM1331" s="162"/>
      <c r="AN1331" s="162"/>
      <c r="AO1331" s="162"/>
      <c r="AP1331" s="162"/>
      <c r="AQ1331" s="162"/>
      <c r="AR1331" s="710"/>
      <c r="AV1331" s="82"/>
      <c r="AW1331" s="947"/>
      <c r="AX1331" s="947"/>
      <c r="AY1331" s="947"/>
    </row>
    <row r="1332" spans="31:51" x14ac:dyDescent="0.25">
      <c r="AE1332" s="75"/>
      <c r="AF1332" s="82"/>
      <c r="AG1332" s="82"/>
      <c r="AH1332" s="82"/>
      <c r="AI1332" s="82"/>
      <c r="AJ1332" s="166"/>
      <c r="AK1332" s="82"/>
      <c r="AL1332" s="162"/>
      <c r="AM1332" s="162"/>
      <c r="AN1332" s="162"/>
      <c r="AO1332" s="162"/>
      <c r="AP1332" s="162"/>
      <c r="AQ1332" s="162"/>
      <c r="AR1332" s="710"/>
      <c r="AV1332" s="82"/>
      <c r="AW1332" s="947"/>
      <c r="AX1332" s="947"/>
      <c r="AY1332" s="947"/>
    </row>
    <row r="1333" spans="31:51" x14ac:dyDescent="0.25">
      <c r="AE1333" s="75"/>
      <c r="AF1333" s="82"/>
      <c r="AG1333" s="82"/>
      <c r="AH1333" s="82"/>
      <c r="AI1333" s="82"/>
      <c r="AJ1333" s="166"/>
      <c r="AK1333" s="82"/>
      <c r="AL1333" s="162"/>
      <c r="AM1333" s="162"/>
      <c r="AN1333" s="162"/>
      <c r="AO1333" s="162"/>
      <c r="AP1333" s="162"/>
      <c r="AQ1333" s="162"/>
      <c r="AR1333" s="710"/>
      <c r="AV1333" s="82"/>
      <c r="AW1333" s="947"/>
      <c r="AX1333" s="947"/>
      <c r="AY1333" s="947"/>
    </row>
    <row r="1334" spans="31:51" x14ac:dyDescent="0.25">
      <c r="AE1334" s="75"/>
      <c r="AF1334" s="82"/>
      <c r="AG1334" s="82"/>
      <c r="AH1334" s="82"/>
      <c r="AI1334" s="82"/>
      <c r="AJ1334" s="166"/>
      <c r="AK1334" s="82"/>
      <c r="AL1334" s="162"/>
      <c r="AM1334" s="162"/>
      <c r="AN1334" s="162"/>
      <c r="AO1334" s="162"/>
      <c r="AP1334" s="162"/>
      <c r="AQ1334" s="162"/>
      <c r="AR1334" s="710"/>
      <c r="AV1334" s="82"/>
      <c r="AW1334" s="947"/>
      <c r="AX1334" s="947"/>
      <c r="AY1334" s="947"/>
    </row>
    <row r="1335" spans="31:51" x14ac:dyDescent="0.25">
      <c r="AE1335" s="75"/>
      <c r="AF1335" s="82"/>
      <c r="AG1335" s="82"/>
      <c r="AH1335" s="82"/>
      <c r="AI1335" s="82"/>
      <c r="AJ1335" s="166"/>
      <c r="AK1335" s="82"/>
      <c r="AL1335" s="162"/>
      <c r="AM1335" s="162"/>
      <c r="AN1335" s="162"/>
      <c r="AO1335" s="162"/>
      <c r="AP1335" s="162"/>
      <c r="AQ1335" s="162"/>
      <c r="AR1335" s="710"/>
      <c r="AV1335" s="82"/>
      <c r="AW1335" s="947"/>
      <c r="AX1335" s="947"/>
      <c r="AY1335" s="947"/>
    </row>
    <row r="1336" spans="31:51" x14ac:dyDescent="0.25">
      <c r="AE1336" s="75"/>
      <c r="AF1336" s="82"/>
      <c r="AG1336" s="82"/>
      <c r="AH1336" s="82"/>
      <c r="AI1336" s="82"/>
      <c r="AJ1336" s="166"/>
      <c r="AK1336" s="82"/>
      <c r="AL1336" s="162"/>
      <c r="AM1336" s="162"/>
      <c r="AN1336" s="162"/>
      <c r="AO1336" s="162"/>
      <c r="AP1336" s="162"/>
      <c r="AQ1336" s="162"/>
      <c r="AR1336" s="710"/>
      <c r="AV1336" s="82"/>
      <c r="AW1336" s="947"/>
      <c r="AX1336" s="947"/>
      <c r="AY1336" s="947"/>
    </row>
    <row r="1337" spans="31:51" x14ac:dyDescent="0.25">
      <c r="AE1337" s="75"/>
      <c r="AF1337" s="82"/>
      <c r="AG1337" s="82"/>
      <c r="AH1337" s="82"/>
      <c r="AI1337" s="82"/>
      <c r="AJ1337" s="166"/>
      <c r="AK1337" s="82"/>
      <c r="AL1337" s="162"/>
      <c r="AM1337" s="162"/>
      <c r="AN1337" s="162"/>
      <c r="AO1337" s="162"/>
      <c r="AP1337" s="162"/>
      <c r="AQ1337" s="162"/>
      <c r="AR1337" s="710"/>
      <c r="AV1337" s="82"/>
      <c r="AW1337" s="947"/>
      <c r="AX1337" s="947"/>
      <c r="AY1337" s="947"/>
    </row>
    <row r="1338" spans="31:51" x14ac:dyDescent="0.25">
      <c r="AE1338" s="75"/>
      <c r="AF1338" s="82"/>
      <c r="AG1338" s="82"/>
      <c r="AH1338" s="82"/>
      <c r="AI1338" s="82"/>
      <c r="AJ1338" s="166"/>
      <c r="AK1338" s="82"/>
      <c r="AL1338" s="162"/>
      <c r="AM1338" s="162"/>
      <c r="AN1338" s="162"/>
      <c r="AO1338" s="162"/>
      <c r="AP1338" s="162"/>
      <c r="AQ1338" s="162"/>
      <c r="AR1338" s="710"/>
      <c r="AV1338" s="82"/>
      <c r="AW1338" s="947"/>
      <c r="AX1338" s="947"/>
      <c r="AY1338" s="947"/>
    </row>
    <row r="1339" spans="31:51" x14ac:dyDescent="0.25">
      <c r="AE1339" s="75"/>
      <c r="AF1339" s="82"/>
      <c r="AG1339" s="82"/>
      <c r="AH1339" s="82"/>
      <c r="AI1339" s="82"/>
      <c r="AJ1339" s="166"/>
      <c r="AK1339" s="82"/>
      <c r="AL1339" s="162"/>
      <c r="AM1339" s="162"/>
      <c r="AN1339" s="162"/>
      <c r="AO1339" s="162"/>
      <c r="AP1339" s="162"/>
      <c r="AQ1339" s="162"/>
      <c r="AR1339" s="710"/>
      <c r="AV1339" s="82"/>
      <c r="AW1339" s="947"/>
      <c r="AX1339" s="947"/>
      <c r="AY1339" s="947"/>
    </row>
    <row r="1340" spans="31:51" x14ac:dyDescent="0.25">
      <c r="AE1340" s="75"/>
      <c r="AF1340" s="82"/>
      <c r="AG1340" s="82"/>
      <c r="AH1340" s="82"/>
      <c r="AI1340" s="82"/>
      <c r="AJ1340" s="166"/>
      <c r="AK1340" s="82"/>
      <c r="AL1340" s="162"/>
      <c r="AM1340" s="162"/>
      <c r="AN1340" s="162"/>
      <c r="AO1340" s="162"/>
      <c r="AP1340" s="162"/>
      <c r="AQ1340" s="162"/>
      <c r="AR1340" s="710"/>
      <c r="AV1340" s="82"/>
      <c r="AW1340" s="947"/>
      <c r="AX1340" s="947"/>
      <c r="AY1340" s="947"/>
    </row>
    <row r="1341" spans="31:51" x14ac:dyDescent="0.25">
      <c r="AE1341" s="75"/>
      <c r="AF1341" s="82"/>
      <c r="AG1341" s="82"/>
      <c r="AH1341" s="82"/>
      <c r="AI1341" s="82"/>
      <c r="AJ1341" s="166"/>
      <c r="AK1341" s="82"/>
      <c r="AL1341" s="162"/>
      <c r="AM1341" s="162"/>
      <c r="AN1341" s="162"/>
      <c r="AO1341" s="162"/>
      <c r="AP1341" s="162"/>
      <c r="AQ1341" s="162"/>
      <c r="AR1341" s="710"/>
      <c r="AV1341" s="82"/>
      <c r="AW1341" s="947"/>
      <c r="AX1341" s="947"/>
      <c r="AY1341" s="947"/>
    </row>
    <row r="1342" spans="31:51" x14ac:dyDescent="0.25">
      <c r="AE1342" s="75"/>
      <c r="AF1342" s="82"/>
      <c r="AG1342" s="82"/>
      <c r="AH1342" s="82"/>
      <c r="AI1342" s="82"/>
      <c r="AJ1342" s="166"/>
      <c r="AK1342" s="82"/>
      <c r="AL1342" s="162"/>
      <c r="AM1342" s="162"/>
      <c r="AN1342" s="162"/>
      <c r="AO1342" s="162"/>
      <c r="AP1342" s="162"/>
      <c r="AQ1342" s="162"/>
      <c r="AR1342" s="710"/>
      <c r="AV1342" s="82"/>
      <c r="AW1342" s="947"/>
      <c r="AX1342" s="947"/>
      <c r="AY1342" s="947"/>
    </row>
    <row r="1343" spans="31:51" x14ac:dyDescent="0.25">
      <c r="AE1343" s="75"/>
      <c r="AF1343" s="82"/>
      <c r="AG1343" s="82"/>
      <c r="AH1343" s="82"/>
      <c r="AI1343" s="82"/>
      <c r="AJ1343" s="166"/>
      <c r="AK1343" s="82"/>
      <c r="AL1343" s="162"/>
      <c r="AM1343" s="162"/>
      <c r="AN1343" s="162"/>
      <c r="AO1343" s="162"/>
      <c r="AP1343" s="162"/>
      <c r="AQ1343" s="162"/>
      <c r="AR1343" s="710"/>
      <c r="AV1343" s="82"/>
      <c r="AW1343" s="947"/>
      <c r="AX1343" s="947"/>
      <c r="AY1343" s="947"/>
    </row>
    <row r="1344" spans="31:51" x14ac:dyDescent="0.25">
      <c r="AE1344" s="75"/>
      <c r="AF1344" s="82"/>
      <c r="AG1344" s="82"/>
      <c r="AH1344" s="82"/>
      <c r="AI1344" s="82"/>
      <c r="AJ1344" s="166"/>
      <c r="AK1344" s="82"/>
      <c r="AL1344" s="162"/>
      <c r="AM1344" s="162"/>
      <c r="AN1344" s="162"/>
      <c r="AO1344" s="162"/>
      <c r="AP1344" s="162"/>
      <c r="AQ1344" s="162"/>
      <c r="AR1344" s="710"/>
      <c r="AV1344" s="82"/>
      <c r="AW1344" s="947"/>
      <c r="AX1344" s="947"/>
      <c r="AY1344" s="947"/>
    </row>
    <row r="1345" spans="31:51" x14ac:dyDescent="0.25">
      <c r="AE1345" s="75"/>
      <c r="AF1345" s="82"/>
      <c r="AG1345" s="82"/>
      <c r="AH1345" s="82"/>
      <c r="AI1345" s="82"/>
      <c r="AJ1345" s="166"/>
      <c r="AK1345" s="82"/>
      <c r="AL1345" s="162"/>
      <c r="AM1345" s="162"/>
      <c r="AN1345" s="162"/>
      <c r="AO1345" s="162"/>
      <c r="AP1345" s="162"/>
      <c r="AQ1345" s="162"/>
      <c r="AR1345" s="710"/>
      <c r="AV1345" s="82"/>
      <c r="AW1345" s="947"/>
      <c r="AX1345" s="947"/>
      <c r="AY1345" s="947"/>
    </row>
    <row r="1346" spans="31:51" x14ac:dyDescent="0.25">
      <c r="AE1346" s="75"/>
      <c r="AF1346" s="82"/>
      <c r="AG1346" s="82"/>
      <c r="AH1346" s="82"/>
      <c r="AI1346" s="82"/>
      <c r="AJ1346" s="166"/>
      <c r="AK1346" s="82"/>
      <c r="AL1346" s="162"/>
      <c r="AM1346" s="162"/>
      <c r="AN1346" s="162"/>
      <c r="AO1346" s="162"/>
      <c r="AP1346" s="162"/>
      <c r="AQ1346" s="162"/>
      <c r="AR1346" s="710"/>
      <c r="AV1346" s="82"/>
      <c r="AW1346" s="947"/>
      <c r="AX1346" s="947"/>
      <c r="AY1346" s="947"/>
    </row>
    <row r="1347" spans="31:51" x14ac:dyDescent="0.25">
      <c r="AE1347" s="75"/>
      <c r="AF1347" s="82"/>
      <c r="AG1347" s="82"/>
      <c r="AH1347" s="82"/>
      <c r="AI1347" s="82"/>
      <c r="AJ1347" s="166"/>
      <c r="AK1347" s="82"/>
      <c r="AL1347" s="162"/>
      <c r="AM1347" s="162"/>
      <c r="AN1347" s="162"/>
      <c r="AO1347" s="162"/>
      <c r="AP1347" s="162"/>
      <c r="AQ1347" s="162"/>
      <c r="AR1347" s="710"/>
      <c r="AV1347" s="82"/>
      <c r="AW1347" s="947"/>
      <c r="AX1347" s="947"/>
      <c r="AY1347" s="947"/>
    </row>
    <row r="1348" spans="31:51" x14ac:dyDescent="0.25">
      <c r="AE1348" s="75"/>
      <c r="AF1348" s="82"/>
      <c r="AG1348" s="82"/>
      <c r="AH1348" s="82"/>
      <c r="AI1348" s="82"/>
      <c r="AJ1348" s="166"/>
      <c r="AK1348" s="82"/>
      <c r="AL1348" s="162"/>
      <c r="AM1348" s="162"/>
      <c r="AN1348" s="162"/>
      <c r="AO1348" s="162"/>
      <c r="AP1348" s="162"/>
      <c r="AQ1348" s="162"/>
      <c r="AR1348" s="710"/>
      <c r="AV1348" s="82"/>
      <c r="AW1348" s="947"/>
      <c r="AX1348" s="947"/>
      <c r="AY1348" s="947"/>
    </row>
    <row r="1349" spans="31:51" x14ac:dyDescent="0.25">
      <c r="AE1349" s="75"/>
      <c r="AF1349" s="82"/>
      <c r="AG1349" s="82"/>
      <c r="AH1349" s="82"/>
      <c r="AI1349" s="82"/>
      <c r="AJ1349" s="166"/>
      <c r="AK1349" s="82"/>
      <c r="AL1349" s="162"/>
      <c r="AM1349" s="162"/>
      <c r="AN1349" s="162"/>
      <c r="AO1349" s="162"/>
      <c r="AP1349" s="162"/>
      <c r="AQ1349" s="162"/>
      <c r="AR1349" s="710"/>
      <c r="AV1349" s="82"/>
      <c r="AW1349" s="947"/>
      <c r="AX1349" s="947"/>
      <c r="AY1349" s="947"/>
    </row>
    <row r="1350" spans="31:51" x14ac:dyDescent="0.25">
      <c r="AE1350" s="75"/>
      <c r="AF1350" s="82"/>
      <c r="AG1350" s="82"/>
      <c r="AH1350" s="82"/>
      <c r="AI1350" s="82"/>
      <c r="AJ1350" s="166"/>
      <c r="AK1350" s="82"/>
      <c r="AL1350" s="162"/>
      <c r="AM1350" s="162"/>
      <c r="AN1350" s="162"/>
      <c r="AO1350" s="162"/>
      <c r="AP1350" s="162"/>
      <c r="AQ1350" s="162"/>
      <c r="AR1350" s="710"/>
      <c r="AV1350" s="82"/>
      <c r="AW1350" s="947"/>
      <c r="AX1350" s="947"/>
      <c r="AY1350" s="947"/>
    </row>
    <row r="1351" spans="31:51" x14ac:dyDescent="0.25">
      <c r="AE1351" s="75"/>
      <c r="AF1351" s="82"/>
      <c r="AG1351" s="82"/>
      <c r="AH1351" s="82"/>
      <c r="AI1351" s="82"/>
      <c r="AJ1351" s="166"/>
      <c r="AK1351" s="82"/>
      <c r="AL1351" s="162"/>
      <c r="AM1351" s="162"/>
      <c r="AN1351" s="162"/>
      <c r="AO1351" s="162"/>
      <c r="AP1351" s="162"/>
      <c r="AQ1351" s="162"/>
      <c r="AR1351" s="710"/>
      <c r="AV1351" s="82"/>
      <c r="AW1351" s="947"/>
      <c r="AX1351" s="947"/>
      <c r="AY1351" s="947"/>
    </row>
    <row r="1352" spans="31:51" x14ac:dyDescent="0.25">
      <c r="AE1352" s="75"/>
      <c r="AF1352" s="82"/>
      <c r="AG1352" s="82"/>
      <c r="AH1352" s="82"/>
      <c r="AI1352" s="82"/>
      <c r="AJ1352" s="166"/>
      <c r="AK1352" s="82"/>
      <c r="AL1352" s="162"/>
      <c r="AM1352" s="162"/>
      <c r="AN1352" s="162"/>
      <c r="AO1352" s="162"/>
      <c r="AP1352" s="162"/>
      <c r="AQ1352" s="162"/>
      <c r="AR1352" s="710"/>
      <c r="AV1352" s="82"/>
      <c r="AW1352" s="947"/>
      <c r="AX1352" s="947"/>
      <c r="AY1352" s="947"/>
    </row>
    <row r="1353" spans="31:51" x14ac:dyDescent="0.25">
      <c r="AE1353" s="75"/>
      <c r="AF1353" s="82"/>
      <c r="AG1353" s="82"/>
      <c r="AH1353" s="82"/>
      <c r="AI1353" s="82"/>
      <c r="AJ1353" s="166"/>
      <c r="AK1353" s="82"/>
      <c r="AL1353" s="162"/>
      <c r="AM1353" s="162"/>
      <c r="AN1353" s="162"/>
      <c r="AO1353" s="162"/>
      <c r="AP1353" s="162"/>
      <c r="AQ1353" s="162"/>
      <c r="AR1353" s="710"/>
      <c r="AV1353" s="82"/>
      <c r="AW1353" s="947"/>
      <c r="AX1353" s="947"/>
      <c r="AY1353" s="947"/>
    </row>
    <row r="1354" spans="31:51" x14ac:dyDescent="0.25">
      <c r="AE1354" s="75"/>
      <c r="AF1354" s="82"/>
      <c r="AG1354" s="82"/>
      <c r="AH1354" s="82"/>
      <c r="AI1354" s="82"/>
      <c r="AJ1354" s="166"/>
      <c r="AK1354" s="82"/>
      <c r="AL1354" s="162"/>
      <c r="AM1354" s="162"/>
      <c r="AN1354" s="162"/>
      <c r="AO1354" s="162"/>
      <c r="AP1354" s="162"/>
      <c r="AQ1354" s="162"/>
      <c r="AR1354" s="710"/>
      <c r="AV1354" s="82"/>
      <c r="AW1354" s="947"/>
      <c r="AX1354" s="947"/>
      <c r="AY1354" s="947"/>
    </row>
    <row r="1355" spans="31:51" x14ac:dyDescent="0.25">
      <c r="AE1355" s="75"/>
      <c r="AF1355" s="82"/>
      <c r="AG1355" s="82"/>
      <c r="AH1355" s="82"/>
      <c r="AI1355" s="82"/>
      <c r="AJ1355" s="166"/>
      <c r="AK1355" s="82"/>
      <c r="AL1355" s="162"/>
      <c r="AM1355" s="162"/>
      <c r="AN1355" s="162"/>
      <c r="AO1355" s="162"/>
      <c r="AP1355" s="162"/>
      <c r="AQ1355" s="162"/>
      <c r="AR1355" s="710"/>
      <c r="AV1355" s="82"/>
      <c r="AW1355" s="947"/>
      <c r="AX1355" s="947"/>
      <c r="AY1355" s="947"/>
    </row>
    <row r="1356" spans="31:51" x14ac:dyDescent="0.25">
      <c r="AE1356" s="75"/>
      <c r="AF1356" s="82"/>
      <c r="AG1356" s="82"/>
      <c r="AH1356" s="82"/>
      <c r="AI1356" s="82"/>
      <c r="AJ1356" s="166"/>
      <c r="AK1356" s="82"/>
      <c r="AL1356" s="162"/>
      <c r="AM1356" s="162"/>
      <c r="AN1356" s="162"/>
      <c r="AO1356" s="162"/>
      <c r="AP1356" s="162"/>
      <c r="AQ1356" s="162"/>
      <c r="AR1356" s="710"/>
      <c r="AV1356" s="82"/>
      <c r="AW1356" s="947"/>
      <c r="AX1356" s="947"/>
      <c r="AY1356" s="947"/>
    </row>
    <row r="1357" spans="31:51" x14ac:dyDescent="0.25">
      <c r="AE1357" s="75"/>
      <c r="AF1357" s="82"/>
      <c r="AG1357" s="82"/>
      <c r="AH1357" s="82"/>
      <c r="AI1357" s="82"/>
      <c r="AJ1357" s="166"/>
      <c r="AK1357" s="82"/>
      <c r="AL1357" s="162"/>
      <c r="AM1357" s="162"/>
      <c r="AN1357" s="162"/>
      <c r="AO1357" s="162"/>
      <c r="AP1357" s="162"/>
      <c r="AQ1357" s="162"/>
      <c r="AR1357" s="710"/>
      <c r="AV1357" s="82"/>
      <c r="AW1357" s="947"/>
      <c r="AX1357" s="947"/>
      <c r="AY1357" s="947"/>
    </row>
    <row r="1358" spans="31:51" x14ac:dyDescent="0.25">
      <c r="AE1358" s="75"/>
      <c r="AF1358" s="82"/>
      <c r="AG1358" s="82"/>
      <c r="AH1358" s="82"/>
      <c r="AI1358" s="82"/>
      <c r="AJ1358" s="166"/>
      <c r="AK1358" s="82"/>
      <c r="AL1358" s="162"/>
      <c r="AM1358" s="162"/>
      <c r="AN1358" s="162"/>
      <c r="AO1358" s="162"/>
      <c r="AP1358" s="162"/>
      <c r="AQ1358" s="162"/>
      <c r="AR1358" s="710"/>
      <c r="AV1358" s="82"/>
      <c r="AW1358" s="947"/>
      <c r="AX1358" s="947"/>
      <c r="AY1358" s="947"/>
    </row>
    <row r="1359" spans="31:51" x14ac:dyDescent="0.25">
      <c r="AE1359" s="75"/>
      <c r="AF1359" s="82"/>
      <c r="AG1359" s="82"/>
      <c r="AH1359" s="82"/>
      <c r="AI1359" s="82"/>
      <c r="AJ1359" s="166"/>
      <c r="AK1359" s="82"/>
      <c r="AL1359" s="162"/>
      <c r="AM1359" s="162"/>
      <c r="AN1359" s="162"/>
      <c r="AO1359" s="162"/>
      <c r="AP1359" s="162"/>
      <c r="AQ1359" s="162"/>
      <c r="AR1359" s="710"/>
      <c r="AV1359" s="82"/>
      <c r="AW1359" s="947"/>
      <c r="AX1359" s="947"/>
      <c r="AY1359" s="947"/>
    </row>
    <row r="1360" spans="31:51" x14ac:dyDescent="0.25">
      <c r="AE1360" s="75"/>
      <c r="AF1360" s="82"/>
      <c r="AG1360" s="82"/>
      <c r="AH1360" s="82"/>
      <c r="AI1360" s="82"/>
      <c r="AJ1360" s="166"/>
      <c r="AK1360" s="82"/>
      <c r="AL1360" s="162"/>
      <c r="AM1360" s="162"/>
      <c r="AN1360" s="162"/>
      <c r="AO1360" s="162"/>
      <c r="AP1360" s="162"/>
      <c r="AQ1360" s="162"/>
      <c r="AR1360" s="710"/>
      <c r="AV1360" s="82"/>
      <c r="AW1360" s="947"/>
      <c r="AX1360" s="947"/>
      <c r="AY1360" s="947"/>
    </row>
    <row r="1361" spans="31:51" x14ac:dyDescent="0.25">
      <c r="AE1361" s="75"/>
      <c r="AF1361" s="82"/>
      <c r="AG1361" s="82"/>
      <c r="AH1361" s="82"/>
      <c r="AI1361" s="82"/>
      <c r="AJ1361" s="166"/>
      <c r="AK1361" s="82"/>
      <c r="AL1361" s="162"/>
      <c r="AM1361" s="162"/>
      <c r="AN1361" s="162"/>
      <c r="AO1361" s="162"/>
      <c r="AP1361" s="162"/>
      <c r="AQ1361" s="162"/>
      <c r="AR1361" s="710"/>
      <c r="AV1361" s="82"/>
      <c r="AW1361" s="947"/>
      <c r="AX1361" s="947"/>
      <c r="AY1361" s="947"/>
    </row>
    <row r="1362" spans="31:51" x14ac:dyDescent="0.25">
      <c r="AE1362" s="75"/>
      <c r="AF1362" s="82"/>
      <c r="AG1362" s="82"/>
      <c r="AH1362" s="82"/>
      <c r="AI1362" s="82"/>
      <c r="AJ1362" s="166"/>
      <c r="AK1362" s="82"/>
      <c r="AL1362" s="162"/>
      <c r="AM1362" s="162"/>
      <c r="AN1362" s="162"/>
      <c r="AO1362" s="162"/>
      <c r="AP1362" s="162"/>
      <c r="AQ1362" s="162"/>
      <c r="AR1362" s="710"/>
      <c r="AV1362" s="82"/>
      <c r="AW1362" s="947"/>
      <c r="AX1362" s="947"/>
      <c r="AY1362" s="947"/>
    </row>
    <row r="1363" spans="31:51" x14ac:dyDescent="0.25">
      <c r="AE1363" s="75"/>
      <c r="AF1363" s="82"/>
      <c r="AG1363" s="82"/>
      <c r="AH1363" s="82"/>
      <c r="AI1363" s="82"/>
      <c r="AJ1363" s="166"/>
      <c r="AK1363" s="82"/>
      <c r="AL1363" s="162"/>
      <c r="AM1363" s="162"/>
      <c r="AN1363" s="162"/>
      <c r="AO1363" s="162"/>
      <c r="AP1363" s="162"/>
      <c r="AQ1363" s="162"/>
      <c r="AR1363" s="710"/>
      <c r="AV1363" s="82"/>
      <c r="AW1363" s="947"/>
      <c r="AX1363" s="947"/>
      <c r="AY1363" s="947"/>
    </row>
    <row r="1364" spans="31:51" x14ac:dyDescent="0.25">
      <c r="AE1364" s="75"/>
      <c r="AF1364" s="82"/>
      <c r="AG1364" s="82"/>
      <c r="AH1364" s="82"/>
      <c r="AI1364" s="82"/>
      <c r="AJ1364" s="166"/>
      <c r="AK1364" s="82"/>
      <c r="AL1364" s="162"/>
      <c r="AM1364" s="162"/>
      <c r="AN1364" s="162"/>
      <c r="AO1364" s="162"/>
      <c r="AP1364" s="162"/>
      <c r="AQ1364" s="162"/>
      <c r="AR1364" s="710"/>
      <c r="AV1364" s="82"/>
      <c r="AW1364" s="947"/>
      <c r="AX1364" s="947"/>
      <c r="AY1364" s="947"/>
    </row>
    <row r="1365" spans="31:51" x14ac:dyDescent="0.25">
      <c r="AE1365" s="75"/>
      <c r="AF1365" s="82"/>
      <c r="AG1365" s="82"/>
      <c r="AH1365" s="82"/>
      <c r="AI1365" s="82"/>
      <c r="AJ1365" s="166"/>
      <c r="AK1365" s="82"/>
      <c r="AL1365" s="162"/>
      <c r="AM1365" s="162"/>
      <c r="AN1365" s="162"/>
      <c r="AO1365" s="162"/>
      <c r="AP1365" s="162"/>
      <c r="AQ1365" s="162"/>
      <c r="AR1365" s="710"/>
      <c r="AV1365" s="82"/>
      <c r="AW1365" s="947"/>
      <c r="AX1365" s="947"/>
      <c r="AY1365" s="947"/>
    </row>
    <row r="1366" spans="31:51" x14ac:dyDescent="0.25">
      <c r="AE1366" s="75"/>
      <c r="AF1366" s="82"/>
      <c r="AG1366" s="82"/>
      <c r="AH1366" s="82"/>
      <c r="AI1366" s="82"/>
      <c r="AJ1366" s="166"/>
      <c r="AK1366" s="82"/>
      <c r="AL1366" s="162"/>
      <c r="AM1366" s="162"/>
      <c r="AN1366" s="162"/>
      <c r="AO1366" s="162"/>
      <c r="AP1366" s="162"/>
      <c r="AQ1366" s="162"/>
      <c r="AR1366" s="710"/>
      <c r="AV1366" s="82"/>
      <c r="AW1366" s="947"/>
      <c r="AX1366" s="947"/>
      <c r="AY1366" s="947"/>
    </row>
    <row r="1367" spans="31:51" x14ac:dyDescent="0.25">
      <c r="AE1367" s="75"/>
      <c r="AF1367" s="82"/>
      <c r="AG1367" s="82"/>
      <c r="AH1367" s="82"/>
      <c r="AI1367" s="82"/>
      <c r="AJ1367" s="166"/>
      <c r="AK1367" s="82"/>
      <c r="AL1367" s="162"/>
      <c r="AM1367" s="162"/>
      <c r="AN1367" s="162"/>
      <c r="AO1367" s="162"/>
      <c r="AP1367" s="162"/>
      <c r="AQ1367" s="162"/>
      <c r="AR1367" s="710"/>
      <c r="AV1367" s="82"/>
      <c r="AW1367" s="947"/>
      <c r="AX1367" s="947"/>
      <c r="AY1367" s="947"/>
    </row>
    <row r="1368" spans="31:51" x14ac:dyDescent="0.25">
      <c r="AE1368" s="75"/>
      <c r="AF1368" s="82"/>
      <c r="AG1368" s="82"/>
      <c r="AH1368" s="82"/>
      <c r="AI1368" s="82"/>
      <c r="AJ1368" s="166"/>
      <c r="AK1368" s="82"/>
      <c r="AL1368" s="162"/>
      <c r="AM1368" s="162"/>
      <c r="AN1368" s="162"/>
      <c r="AO1368" s="162"/>
      <c r="AP1368" s="162"/>
      <c r="AQ1368" s="162"/>
      <c r="AR1368" s="710"/>
      <c r="AV1368" s="82"/>
      <c r="AW1368" s="947"/>
      <c r="AX1368" s="947"/>
      <c r="AY1368" s="947"/>
    </row>
    <row r="1369" spans="31:51" x14ac:dyDescent="0.25">
      <c r="AE1369" s="75"/>
      <c r="AF1369" s="82"/>
      <c r="AG1369" s="82"/>
      <c r="AH1369" s="82"/>
      <c r="AI1369" s="82"/>
      <c r="AJ1369" s="166"/>
      <c r="AK1369" s="82"/>
      <c r="AL1369" s="162"/>
      <c r="AM1369" s="162"/>
      <c r="AN1369" s="162"/>
      <c r="AO1369" s="162"/>
      <c r="AP1369" s="162"/>
      <c r="AQ1369" s="162"/>
      <c r="AR1369" s="710"/>
      <c r="AV1369" s="82"/>
      <c r="AW1369" s="947"/>
      <c r="AX1369" s="947"/>
      <c r="AY1369" s="947"/>
    </row>
    <row r="1370" spans="31:51" x14ac:dyDescent="0.25">
      <c r="AE1370" s="75"/>
      <c r="AF1370" s="82"/>
      <c r="AG1370" s="82"/>
      <c r="AH1370" s="82"/>
      <c r="AI1370" s="82"/>
      <c r="AJ1370" s="166"/>
      <c r="AK1370" s="82"/>
      <c r="AL1370" s="162"/>
      <c r="AM1370" s="162"/>
      <c r="AN1370" s="162"/>
      <c r="AO1370" s="162"/>
      <c r="AP1370" s="162"/>
      <c r="AQ1370" s="162"/>
      <c r="AR1370" s="710"/>
      <c r="AV1370" s="82"/>
      <c r="AW1370" s="947"/>
      <c r="AX1370" s="947"/>
      <c r="AY1370" s="947"/>
    </row>
    <row r="1371" spans="31:51" x14ac:dyDescent="0.25">
      <c r="AE1371" s="75"/>
      <c r="AF1371" s="82"/>
      <c r="AG1371" s="82"/>
      <c r="AH1371" s="82"/>
      <c r="AI1371" s="82"/>
      <c r="AJ1371" s="166"/>
      <c r="AK1371" s="82"/>
      <c r="AL1371" s="162"/>
      <c r="AM1371" s="162"/>
      <c r="AN1371" s="162"/>
      <c r="AO1371" s="162"/>
      <c r="AP1371" s="162"/>
      <c r="AQ1371" s="162"/>
      <c r="AR1371" s="710"/>
      <c r="AV1371" s="82"/>
      <c r="AW1371" s="947"/>
      <c r="AX1371" s="947"/>
      <c r="AY1371" s="947"/>
    </row>
    <row r="1372" spans="31:51" x14ac:dyDescent="0.25">
      <c r="AE1372" s="75"/>
      <c r="AF1372" s="82"/>
      <c r="AG1372" s="82"/>
      <c r="AH1372" s="82"/>
      <c r="AI1372" s="82"/>
      <c r="AJ1372" s="166"/>
      <c r="AK1372" s="82"/>
      <c r="AL1372" s="162"/>
      <c r="AM1372" s="162"/>
      <c r="AN1372" s="162"/>
      <c r="AO1372" s="162"/>
      <c r="AP1372" s="162"/>
      <c r="AQ1372" s="162"/>
      <c r="AR1372" s="710"/>
      <c r="AV1372" s="82"/>
      <c r="AW1372" s="947"/>
      <c r="AX1372" s="947"/>
      <c r="AY1372" s="947"/>
    </row>
    <row r="1373" spans="31:51" x14ac:dyDescent="0.25">
      <c r="AE1373" s="75"/>
      <c r="AF1373" s="82"/>
      <c r="AG1373" s="82"/>
      <c r="AH1373" s="82"/>
      <c r="AI1373" s="82"/>
      <c r="AJ1373" s="166"/>
      <c r="AK1373" s="82"/>
      <c r="AL1373" s="162"/>
      <c r="AM1373" s="162"/>
      <c r="AN1373" s="162"/>
      <c r="AO1373" s="162"/>
      <c r="AP1373" s="162"/>
      <c r="AQ1373" s="162"/>
      <c r="AR1373" s="710"/>
      <c r="AV1373" s="82"/>
      <c r="AW1373" s="947"/>
      <c r="AX1373" s="947"/>
      <c r="AY1373" s="947"/>
    </row>
    <row r="1374" spans="31:51" x14ac:dyDescent="0.25">
      <c r="AE1374" s="75"/>
      <c r="AF1374" s="82"/>
      <c r="AG1374" s="82"/>
      <c r="AH1374" s="82"/>
      <c r="AI1374" s="82"/>
      <c r="AJ1374" s="166"/>
      <c r="AK1374" s="82"/>
      <c r="AL1374" s="162"/>
      <c r="AM1374" s="162"/>
      <c r="AN1374" s="162"/>
      <c r="AO1374" s="162"/>
      <c r="AP1374" s="162"/>
      <c r="AQ1374" s="162"/>
      <c r="AR1374" s="710"/>
      <c r="AV1374" s="82"/>
      <c r="AW1374" s="947"/>
      <c r="AX1374" s="947"/>
      <c r="AY1374" s="947"/>
    </row>
    <row r="1375" spans="31:51" x14ac:dyDescent="0.25">
      <c r="AE1375" s="75"/>
      <c r="AF1375" s="82"/>
      <c r="AG1375" s="82"/>
      <c r="AH1375" s="82"/>
      <c r="AI1375" s="82"/>
      <c r="AJ1375" s="166"/>
      <c r="AK1375" s="82"/>
      <c r="AL1375" s="162"/>
      <c r="AM1375" s="162"/>
      <c r="AN1375" s="162"/>
      <c r="AO1375" s="162"/>
      <c r="AP1375" s="162"/>
      <c r="AQ1375" s="162"/>
      <c r="AR1375" s="710"/>
      <c r="AV1375" s="82"/>
      <c r="AW1375" s="947"/>
      <c r="AX1375" s="947"/>
      <c r="AY1375" s="947"/>
    </row>
    <row r="1376" spans="31:51" x14ac:dyDescent="0.25">
      <c r="AE1376" s="75"/>
      <c r="AF1376" s="82"/>
      <c r="AG1376" s="82"/>
      <c r="AH1376" s="82"/>
      <c r="AI1376" s="82"/>
      <c r="AJ1376" s="166"/>
      <c r="AK1376" s="82"/>
      <c r="AL1376" s="162"/>
      <c r="AM1376" s="162"/>
      <c r="AN1376" s="162"/>
      <c r="AO1376" s="162"/>
      <c r="AP1376" s="162"/>
      <c r="AQ1376" s="162"/>
      <c r="AR1376" s="710"/>
      <c r="AV1376" s="82"/>
      <c r="AW1376" s="947"/>
      <c r="AX1376" s="947"/>
      <c r="AY1376" s="947"/>
    </row>
    <row r="1377" spans="31:51" x14ac:dyDescent="0.25">
      <c r="AE1377" s="75"/>
      <c r="AF1377" s="82"/>
      <c r="AG1377" s="82"/>
      <c r="AH1377" s="82"/>
      <c r="AI1377" s="82"/>
      <c r="AJ1377" s="166"/>
      <c r="AK1377" s="82"/>
      <c r="AL1377" s="162"/>
      <c r="AM1377" s="162"/>
      <c r="AN1377" s="162"/>
      <c r="AO1377" s="162"/>
      <c r="AP1377" s="162"/>
      <c r="AQ1377" s="162"/>
      <c r="AR1377" s="710"/>
      <c r="AV1377" s="82"/>
      <c r="AW1377" s="947"/>
      <c r="AX1377" s="947"/>
      <c r="AY1377" s="947"/>
    </row>
    <row r="1378" spans="31:51" x14ac:dyDescent="0.25">
      <c r="AE1378" s="75"/>
      <c r="AF1378" s="82"/>
      <c r="AG1378" s="82"/>
      <c r="AH1378" s="82"/>
      <c r="AI1378" s="82"/>
      <c r="AJ1378" s="166"/>
      <c r="AK1378" s="82"/>
      <c r="AL1378" s="162"/>
      <c r="AM1378" s="162"/>
      <c r="AN1378" s="162"/>
      <c r="AO1378" s="162"/>
      <c r="AP1378" s="162"/>
      <c r="AQ1378" s="162"/>
      <c r="AR1378" s="710"/>
      <c r="AV1378" s="82"/>
      <c r="AW1378" s="947"/>
      <c r="AX1378" s="947"/>
      <c r="AY1378" s="947"/>
    </row>
    <row r="1379" spans="31:51" x14ac:dyDescent="0.25">
      <c r="AE1379" s="75"/>
      <c r="AF1379" s="82"/>
      <c r="AG1379" s="82"/>
      <c r="AH1379" s="82"/>
      <c r="AI1379" s="82"/>
      <c r="AJ1379" s="166"/>
      <c r="AK1379" s="82"/>
      <c r="AL1379" s="162"/>
      <c r="AM1379" s="162"/>
      <c r="AN1379" s="162"/>
      <c r="AO1379" s="162"/>
      <c r="AP1379" s="162"/>
      <c r="AQ1379" s="162"/>
      <c r="AR1379" s="710"/>
      <c r="AV1379" s="82"/>
      <c r="AW1379" s="947"/>
      <c r="AX1379" s="947"/>
      <c r="AY1379" s="947"/>
    </row>
    <row r="1380" spans="31:51" x14ac:dyDescent="0.25">
      <c r="AE1380" s="75"/>
      <c r="AF1380" s="82"/>
      <c r="AG1380" s="82"/>
      <c r="AH1380" s="82"/>
      <c r="AI1380" s="82"/>
      <c r="AJ1380" s="166"/>
      <c r="AK1380" s="82"/>
      <c r="AL1380" s="162"/>
      <c r="AM1380" s="162"/>
      <c r="AN1380" s="162"/>
      <c r="AO1380" s="162"/>
      <c r="AP1380" s="162"/>
      <c r="AQ1380" s="162"/>
      <c r="AR1380" s="710"/>
      <c r="AV1380" s="82"/>
      <c r="AW1380" s="947"/>
      <c r="AX1380" s="947"/>
      <c r="AY1380" s="947"/>
    </row>
    <row r="1381" spans="31:51" x14ac:dyDescent="0.25">
      <c r="AE1381" s="75"/>
      <c r="AF1381" s="82"/>
      <c r="AG1381" s="82"/>
      <c r="AH1381" s="82"/>
      <c r="AI1381" s="82"/>
      <c r="AJ1381" s="166"/>
      <c r="AK1381" s="82"/>
      <c r="AL1381" s="162"/>
      <c r="AM1381" s="162"/>
      <c r="AN1381" s="162"/>
      <c r="AO1381" s="162"/>
      <c r="AP1381" s="162"/>
      <c r="AQ1381" s="162"/>
      <c r="AR1381" s="710"/>
      <c r="AV1381" s="82"/>
      <c r="AW1381" s="947"/>
      <c r="AX1381" s="947"/>
      <c r="AY1381" s="947"/>
    </row>
    <row r="1382" spans="31:51" x14ac:dyDescent="0.25">
      <c r="AE1382" s="75"/>
      <c r="AF1382" s="82"/>
      <c r="AG1382" s="82"/>
      <c r="AH1382" s="82"/>
      <c r="AI1382" s="82"/>
      <c r="AJ1382" s="166"/>
      <c r="AK1382" s="82"/>
      <c r="AL1382" s="162"/>
      <c r="AM1382" s="162"/>
      <c r="AN1382" s="162"/>
      <c r="AO1382" s="162"/>
      <c r="AP1382" s="162"/>
      <c r="AQ1382" s="162"/>
      <c r="AR1382" s="710"/>
      <c r="AV1382" s="82"/>
      <c r="AW1382" s="947"/>
      <c r="AX1382" s="947"/>
      <c r="AY1382" s="947"/>
    </row>
    <row r="1383" spans="31:51" x14ac:dyDescent="0.25">
      <c r="AE1383" s="75"/>
      <c r="AF1383" s="82"/>
      <c r="AG1383" s="82"/>
      <c r="AH1383" s="82"/>
      <c r="AI1383" s="82"/>
      <c r="AJ1383" s="166"/>
      <c r="AK1383" s="82"/>
      <c r="AL1383" s="162"/>
      <c r="AM1383" s="162"/>
      <c r="AN1383" s="162"/>
      <c r="AO1383" s="162"/>
      <c r="AP1383" s="162"/>
      <c r="AQ1383" s="162"/>
      <c r="AR1383" s="710"/>
      <c r="AV1383" s="82"/>
      <c r="AW1383" s="947"/>
      <c r="AX1383" s="947"/>
      <c r="AY1383" s="947"/>
    </row>
    <row r="1384" spans="31:51" x14ac:dyDescent="0.25">
      <c r="AE1384" s="75"/>
      <c r="AF1384" s="82"/>
      <c r="AG1384" s="82"/>
      <c r="AH1384" s="82"/>
      <c r="AI1384" s="82"/>
      <c r="AJ1384" s="166"/>
      <c r="AK1384" s="82"/>
      <c r="AL1384" s="162"/>
      <c r="AM1384" s="162"/>
      <c r="AN1384" s="162"/>
      <c r="AO1384" s="162"/>
      <c r="AP1384" s="162"/>
      <c r="AQ1384" s="162"/>
      <c r="AR1384" s="710"/>
      <c r="AV1384" s="82"/>
      <c r="AW1384" s="947"/>
      <c r="AX1384" s="947"/>
      <c r="AY1384" s="947"/>
    </row>
    <row r="1385" spans="31:51" x14ac:dyDescent="0.25">
      <c r="AE1385" s="75"/>
      <c r="AF1385" s="82"/>
      <c r="AG1385" s="82"/>
      <c r="AH1385" s="82"/>
      <c r="AI1385" s="82"/>
      <c r="AJ1385" s="166"/>
      <c r="AK1385" s="82"/>
      <c r="AL1385" s="162"/>
      <c r="AM1385" s="162"/>
      <c r="AN1385" s="162"/>
      <c r="AO1385" s="162"/>
      <c r="AP1385" s="162"/>
      <c r="AQ1385" s="162"/>
      <c r="AR1385" s="710"/>
      <c r="AV1385" s="82"/>
      <c r="AW1385" s="947"/>
      <c r="AX1385" s="947"/>
      <c r="AY1385" s="947"/>
    </row>
    <row r="1386" spans="31:51" x14ac:dyDescent="0.25">
      <c r="AE1386" s="75"/>
      <c r="AF1386" s="82"/>
      <c r="AG1386" s="82"/>
      <c r="AH1386" s="82"/>
      <c r="AI1386" s="82"/>
      <c r="AJ1386" s="166"/>
      <c r="AK1386" s="82"/>
      <c r="AL1386" s="162"/>
      <c r="AM1386" s="162"/>
      <c r="AN1386" s="162"/>
      <c r="AO1386" s="162"/>
      <c r="AP1386" s="162"/>
      <c r="AQ1386" s="162"/>
      <c r="AR1386" s="710"/>
      <c r="AV1386" s="82"/>
      <c r="AW1386" s="947"/>
      <c r="AX1386" s="947"/>
      <c r="AY1386" s="947"/>
    </row>
    <row r="1387" spans="31:51" x14ac:dyDescent="0.25">
      <c r="AE1387" s="75"/>
      <c r="AF1387" s="82"/>
      <c r="AG1387" s="82"/>
      <c r="AH1387" s="82"/>
      <c r="AI1387" s="82"/>
      <c r="AJ1387" s="166"/>
      <c r="AK1387" s="82"/>
      <c r="AL1387" s="162"/>
      <c r="AM1387" s="162"/>
      <c r="AN1387" s="162"/>
      <c r="AO1387" s="162"/>
      <c r="AP1387" s="162"/>
      <c r="AQ1387" s="162"/>
      <c r="AR1387" s="710"/>
      <c r="AV1387" s="82"/>
      <c r="AW1387" s="947"/>
      <c r="AX1387" s="947"/>
      <c r="AY1387" s="947"/>
    </row>
    <row r="1388" spans="31:51" x14ac:dyDescent="0.25">
      <c r="AE1388" s="75"/>
      <c r="AF1388" s="82"/>
      <c r="AG1388" s="82"/>
      <c r="AH1388" s="82"/>
      <c r="AI1388" s="82"/>
      <c r="AJ1388" s="166"/>
      <c r="AK1388" s="82"/>
      <c r="AL1388" s="162"/>
      <c r="AM1388" s="162"/>
      <c r="AN1388" s="162"/>
      <c r="AO1388" s="162"/>
      <c r="AP1388" s="162"/>
      <c r="AQ1388" s="162"/>
      <c r="AR1388" s="710"/>
      <c r="AV1388" s="82"/>
      <c r="AW1388" s="947"/>
      <c r="AX1388" s="947"/>
      <c r="AY1388" s="947"/>
    </row>
    <row r="1389" spans="31:51" x14ac:dyDescent="0.25">
      <c r="AE1389" s="75"/>
      <c r="AF1389" s="82"/>
      <c r="AG1389" s="82"/>
      <c r="AH1389" s="82"/>
      <c r="AI1389" s="82"/>
      <c r="AJ1389" s="166"/>
      <c r="AK1389" s="82"/>
      <c r="AL1389" s="162"/>
      <c r="AM1389" s="162"/>
      <c r="AN1389" s="162"/>
      <c r="AO1389" s="162"/>
      <c r="AP1389" s="162"/>
      <c r="AQ1389" s="162"/>
      <c r="AR1389" s="710"/>
      <c r="AV1389" s="82"/>
      <c r="AW1389" s="947"/>
      <c r="AX1389" s="947"/>
      <c r="AY1389" s="947"/>
    </row>
    <row r="1390" spans="31:51" x14ac:dyDescent="0.25">
      <c r="AE1390" s="75"/>
      <c r="AF1390" s="82"/>
      <c r="AG1390" s="82"/>
      <c r="AH1390" s="82"/>
      <c r="AI1390" s="82"/>
      <c r="AJ1390" s="166"/>
      <c r="AK1390" s="82"/>
      <c r="AL1390" s="162"/>
      <c r="AM1390" s="162"/>
      <c r="AN1390" s="162"/>
      <c r="AO1390" s="162"/>
      <c r="AP1390" s="162"/>
      <c r="AQ1390" s="162"/>
      <c r="AR1390" s="710"/>
      <c r="AV1390" s="82"/>
      <c r="AW1390" s="947"/>
      <c r="AX1390" s="947"/>
      <c r="AY1390" s="947"/>
    </row>
    <row r="1391" spans="31:51" x14ac:dyDescent="0.25">
      <c r="AE1391" s="75"/>
      <c r="AF1391" s="82"/>
      <c r="AG1391" s="82"/>
      <c r="AH1391" s="82"/>
      <c r="AI1391" s="82"/>
      <c r="AJ1391" s="166"/>
      <c r="AK1391" s="82"/>
      <c r="AL1391" s="162"/>
      <c r="AM1391" s="162"/>
      <c r="AN1391" s="162"/>
      <c r="AO1391" s="162"/>
      <c r="AP1391" s="162"/>
      <c r="AQ1391" s="162"/>
      <c r="AR1391" s="710"/>
      <c r="AV1391" s="82"/>
      <c r="AW1391" s="947"/>
      <c r="AX1391" s="947"/>
      <c r="AY1391" s="947"/>
    </row>
    <row r="1392" spans="31:51" x14ac:dyDescent="0.25">
      <c r="AE1392" s="75"/>
      <c r="AF1392" s="82"/>
      <c r="AG1392" s="82"/>
      <c r="AH1392" s="82"/>
      <c r="AI1392" s="82"/>
      <c r="AJ1392" s="166"/>
      <c r="AK1392" s="82"/>
      <c r="AL1392" s="162"/>
      <c r="AM1392" s="162"/>
      <c r="AN1392" s="162"/>
      <c r="AO1392" s="162"/>
      <c r="AP1392" s="162"/>
      <c r="AQ1392" s="162"/>
      <c r="AR1392" s="710"/>
      <c r="AV1392" s="82"/>
      <c r="AW1392" s="947"/>
      <c r="AX1392" s="947"/>
      <c r="AY1392" s="947"/>
    </row>
    <row r="1393" spans="31:51" x14ac:dyDescent="0.25">
      <c r="AE1393" s="75"/>
      <c r="AF1393" s="82"/>
      <c r="AG1393" s="82"/>
      <c r="AH1393" s="82"/>
      <c r="AI1393" s="82"/>
      <c r="AJ1393" s="166"/>
      <c r="AK1393" s="82"/>
      <c r="AL1393" s="162"/>
      <c r="AM1393" s="162"/>
      <c r="AN1393" s="162"/>
      <c r="AO1393" s="162"/>
      <c r="AP1393" s="162"/>
      <c r="AQ1393" s="162"/>
      <c r="AR1393" s="710"/>
      <c r="AV1393" s="82"/>
      <c r="AW1393" s="947"/>
      <c r="AX1393" s="947"/>
      <c r="AY1393" s="947"/>
    </row>
    <row r="1394" spans="31:51" x14ac:dyDescent="0.25">
      <c r="AE1394" s="75"/>
      <c r="AF1394" s="82"/>
      <c r="AG1394" s="82"/>
      <c r="AH1394" s="82"/>
      <c r="AI1394" s="82"/>
      <c r="AJ1394" s="166"/>
      <c r="AK1394" s="82"/>
      <c r="AL1394" s="162"/>
      <c r="AM1394" s="162"/>
      <c r="AN1394" s="162"/>
      <c r="AO1394" s="162"/>
      <c r="AP1394" s="162"/>
      <c r="AQ1394" s="162"/>
      <c r="AR1394" s="710"/>
      <c r="AV1394" s="82"/>
      <c r="AW1394" s="947"/>
      <c r="AX1394" s="947"/>
      <c r="AY1394" s="947"/>
    </row>
    <row r="1395" spans="31:51" x14ac:dyDescent="0.25">
      <c r="AE1395" s="75"/>
      <c r="AF1395" s="82"/>
      <c r="AG1395" s="82"/>
      <c r="AH1395" s="82"/>
      <c r="AI1395" s="82"/>
      <c r="AJ1395" s="166"/>
      <c r="AK1395" s="82"/>
      <c r="AL1395" s="162"/>
      <c r="AM1395" s="162"/>
      <c r="AN1395" s="162"/>
      <c r="AO1395" s="162"/>
      <c r="AP1395" s="162"/>
      <c r="AQ1395" s="162"/>
      <c r="AR1395" s="710"/>
      <c r="AV1395" s="82"/>
      <c r="AW1395" s="947"/>
      <c r="AX1395" s="947"/>
      <c r="AY1395" s="947"/>
    </row>
    <row r="1396" spans="31:51" x14ac:dyDescent="0.25">
      <c r="AE1396" s="75"/>
      <c r="AF1396" s="82"/>
      <c r="AG1396" s="82"/>
      <c r="AH1396" s="82"/>
      <c r="AI1396" s="82"/>
      <c r="AJ1396" s="166"/>
      <c r="AK1396" s="82"/>
      <c r="AL1396" s="162"/>
      <c r="AM1396" s="162"/>
      <c r="AN1396" s="162"/>
      <c r="AO1396" s="162"/>
      <c r="AP1396" s="162"/>
      <c r="AQ1396" s="162"/>
      <c r="AR1396" s="710"/>
      <c r="AV1396" s="82"/>
      <c r="AW1396" s="947"/>
      <c r="AX1396" s="947"/>
      <c r="AY1396" s="947"/>
    </row>
    <row r="1397" spans="31:51" x14ac:dyDescent="0.25">
      <c r="AE1397" s="75"/>
      <c r="AF1397" s="82"/>
      <c r="AG1397" s="82"/>
      <c r="AH1397" s="82"/>
      <c r="AI1397" s="82"/>
      <c r="AJ1397" s="166"/>
      <c r="AK1397" s="82"/>
      <c r="AL1397" s="162"/>
      <c r="AM1397" s="162"/>
      <c r="AN1397" s="162"/>
      <c r="AO1397" s="162"/>
      <c r="AP1397" s="162"/>
      <c r="AQ1397" s="162"/>
      <c r="AR1397" s="710"/>
      <c r="AV1397" s="82"/>
      <c r="AW1397" s="947"/>
      <c r="AX1397" s="947"/>
      <c r="AY1397" s="947"/>
    </row>
    <row r="1398" spans="31:51" x14ac:dyDescent="0.25">
      <c r="AE1398" s="75"/>
      <c r="AF1398" s="82"/>
      <c r="AG1398" s="82"/>
      <c r="AH1398" s="82"/>
      <c r="AI1398" s="82"/>
      <c r="AJ1398" s="166"/>
      <c r="AK1398" s="82"/>
      <c r="AL1398" s="162"/>
      <c r="AM1398" s="162"/>
      <c r="AN1398" s="162"/>
      <c r="AO1398" s="162"/>
      <c r="AP1398" s="162"/>
      <c r="AQ1398" s="162"/>
      <c r="AR1398" s="710"/>
      <c r="AV1398" s="82"/>
      <c r="AW1398" s="947"/>
      <c r="AX1398" s="947"/>
      <c r="AY1398" s="947"/>
    </row>
    <row r="1399" spans="31:51" x14ac:dyDescent="0.25">
      <c r="AE1399" s="75"/>
      <c r="AF1399" s="82"/>
      <c r="AG1399" s="82"/>
      <c r="AH1399" s="82"/>
      <c r="AI1399" s="82"/>
      <c r="AJ1399" s="166"/>
      <c r="AK1399" s="82"/>
      <c r="AL1399" s="162"/>
      <c r="AM1399" s="162"/>
      <c r="AN1399" s="162"/>
      <c r="AO1399" s="162"/>
      <c r="AP1399" s="162"/>
      <c r="AQ1399" s="162"/>
      <c r="AR1399" s="710"/>
      <c r="AV1399" s="82"/>
      <c r="AW1399" s="947"/>
      <c r="AX1399" s="947"/>
      <c r="AY1399" s="947"/>
    </row>
    <row r="1400" spans="31:51" x14ac:dyDescent="0.25">
      <c r="AE1400" s="75"/>
      <c r="AF1400" s="82"/>
      <c r="AG1400" s="82"/>
      <c r="AH1400" s="82"/>
      <c r="AI1400" s="82"/>
      <c r="AJ1400" s="166"/>
      <c r="AK1400" s="82"/>
      <c r="AL1400" s="162"/>
      <c r="AM1400" s="162"/>
      <c r="AN1400" s="162"/>
      <c r="AO1400" s="162"/>
      <c r="AP1400" s="162"/>
      <c r="AQ1400" s="162"/>
      <c r="AR1400" s="710"/>
      <c r="AV1400" s="82"/>
      <c r="AW1400" s="947"/>
      <c r="AX1400" s="947"/>
      <c r="AY1400" s="947"/>
    </row>
    <row r="1401" spans="31:51" x14ac:dyDescent="0.25">
      <c r="AE1401" s="75"/>
      <c r="AF1401" s="82"/>
      <c r="AG1401" s="82"/>
      <c r="AH1401" s="82"/>
      <c r="AI1401" s="82"/>
      <c r="AJ1401" s="166"/>
      <c r="AK1401" s="82"/>
      <c r="AL1401" s="162"/>
      <c r="AM1401" s="162"/>
      <c r="AN1401" s="162"/>
      <c r="AO1401" s="162"/>
      <c r="AP1401" s="162"/>
      <c r="AQ1401" s="162"/>
      <c r="AR1401" s="710"/>
      <c r="AV1401" s="82"/>
      <c r="AW1401" s="947"/>
      <c r="AX1401" s="947"/>
      <c r="AY1401" s="947"/>
    </row>
    <row r="1402" spans="31:51" x14ac:dyDescent="0.25">
      <c r="AE1402" s="75"/>
      <c r="AF1402" s="82"/>
      <c r="AG1402" s="82"/>
      <c r="AH1402" s="82"/>
      <c r="AI1402" s="82"/>
      <c r="AJ1402" s="166"/>
      <c r="AK1402" s="82"/>
      <c r="AL1402" s="162"/>
      <c r="AM1402" s="162"/>
      <c r="AN1402" s="162"/>
      <c r="AO1402" s="162"/>
      <c r="AP1402" s="162"/>
      <c r="AQ1402" s="162"/>
      <c r="AR1402" s="710"/>
      <c r="AV1402" s="82"/>
      <c r="AW1402" s="947"/>
      <c r="AX1402" s="947"/>
      <c r="AY1402" s="947"/>
    </row>
    <row r="1403" spans="31:51" x14ac:dyDescent="0.25">
      <c r="AE1403" s="75"/>
      <c r="AF1403" s="82"/>
      <c r="AG1403" s="82"/>
      <c r="AH1403" s="82"/>
      <c r="AI1403" s="82"/>
      <c r="AJ1403" s="166"/>
      <c r="AK1403" s="82"/>
      <c r="AL1403" s="162"/>
      <c r="AM1403" s="162"/>
      <c r="AN1403" s="162"/>
      <c r="AO1403" s="162"/>
      <c r="AP1403" s="162"/>
      <c r="AQ1403" s="162"/>
      <c r="AR1403" s="710"/>
      <c r="AV1403" s="82"/>
      <c r="AW1403" s="947"/>
      <c r="AX1403" s="947"/>
      <c r="AY1403" s="947"/>
    </row>
    <row r="1404" spans="31:51" x14ac:dyDescent="0.25">
      <c r="AE1404" s="75"/>
      <c r="AF1404" s="82"/>
      <c r="AG1404" s="82"/>
      <c r="AH1404" s="82"/>
      <c r="AI1404" s="82"/>
      <c r="AJ1404" s="166"/>
      <c r="AK1404" s="82"/>
      <c r="AL1404" s="162"/>
      <c r="AM1404" s="162"/>
      <c r="AN1404" s="162"/>
      <c r="AO1404" s="162"/>
      <c r="AP1404" s="162"/>
      <c r="AQ1404" s="162"/>
      <c r="AR1404" s="710"/>
      <c r="AV1404" s="82"/>
      <c r="AW1404" s="947"/>
      <c r="AX1404" s="947"/>
      <c r="AY1404" s="947"/>
    </row>
    <row r="1405" spans="31:51" x14ac:dyDescent="0.25">
      <c r="AE1405" s="75"/>
      <c r="AF1405" s="82"/>
      <c r="AG1405" s="82"/>
      <c r="AH1405" s="82"/>
      <c r="AI1405" s="82"/>
      <c r="AJ1405" s="166"/>
      <c r="AK1405" s="82"/>
      <c r="AL1405" s="162"/>
      <c r="AM1405" s="162"/>
      <c r="AN1405" s="162"/>
      <c r="AO1405" s="162"/>
      <c r="AP1405" s="162"/>
      <c r="AQ1405" s="162"/>
      <c r="AR1405" s="710"/>
      <c r="AV1405" s="82"/>
      <c r="AW1405" s="947"/>
      <c r="AX1405" s="947"/>
      <c r="AY1405" s="947"/>
    </row>
    <row r="1406" spans="31:51" x14ac:dyDescent="0.25">
      <c r="AE1406" s="75"/>
      <c r="AF1406" s="82"/>
      <c r="AG1406" s="82"/>
      <c r="AH1406" s="82"/>
      <c r="AI1406" s="82"/>
      <c r="AJ1406" s="166"/>
      <c r="AK1406" s="82"/>
      <c r="AL1406" s="162"/>
      <c r="AM1406" s="162"/>
      <c r="AN1406" s="162"/>
      <c r="AO1406" s="162"/>
      <c r="AP1406" s="162"/>
      <c r="AQ1406" s="162"/>
      <c r="AR1406" s="710"/>
      <c r="AV1406" s="82"/>
      <c r="AW1406" s="947"/>
      <c r="AX1406" s="947"/>
      <c r="AY1406" s="947"/>
    </row>
    <row r="1407" spans="31:51" x14ac:dyDescent="0.25">
      <c r="AE1407" s="75"/>
      <c r="AF1407" s="82"/>
      <c r="AG1407" s="82"/>
      <c r="AH1407" s="82"/>
      <c r="AI1407" s="82"/>
      <c r="AJ1407" s="166"/>
      <c r="AK1407" s="82"/>
      <c r="AL1407" s="162"/>
      <c r="AM1407" s="162"/>
      <c r="AN1407" s="162"/>
      <c r="AO1407" s="162"/>
      <c r="AP1407" s="162"/>
      <c r="AQ1407" s="162"/>
      <c r="AR1407" s="710"/>
      <c r="AV1407" s="82"/>
      <c r="AW1407" s="947"/>
      <c r="AX1407" s="947"/>
      <c r="AY1407" s="947"/>
    </row>
    <row r="1408" spans="31:51" x14ac:dyDescent="0.25">
      <c r="AE1408" s="75"/>
      <c r="AF1408" s="82"/>
      <c r="AG1408" s="82"/>
      <c r="AH1408" s="82"/>
      <c r="AI1408" s="82"/>
      <c r="AJ1408" s="166"/>
      <c r="AK1408" s="82"/>
      <c r="AL1408" s="162"/>
      <c r="AM1408" s="162"/>
      <c r="AN1408" s="162"/>
      <c r="AO1408" s="162"/>
      <c r="AP1408" s="162"/>
      <c r="AQ1408" s="162"/>
      <c r="AR1408" s="710"/>
      <c r="AV1408" s="82"/>
      <c r="AW1408" s="947"/>
      <c r="AX1408" s="947"/>
      <c r="AY1408" s="947"/>
    </row>
    <row r="1409" spans="31:51" x14ac:dyDescent="0.25">
      <c r="AE1409" s="75"/>
      <c r="AF1409" s="82"/>
      <c r="AG1409" s="82"/>
      <c r="AH1409" s="82"/>
      <c r="AI1409" s="82"/>
      <c r="AJ1409" s="166"/>
      <c r="AK1409" s="82"/>
      <c r="AL1409" s="162"/>
      <c r="AM1409" s="162"/>
      <c r="AN1409" s="162"/>
      <c r="AO1409" s="162"/>
      <c r="AP1409" s="162"/>
      <c r="AQ1409" s="162"/>
      <c r="AR1409" s="710"/>
      <c r="AV1409" s="82"/>
      <c r="AW1409" s="947"/>
      <c r="AX1409" s="947"/>
      <c r="AY1409" s="947"/>
    </row>
    <row r="1410" spans="31:51" x14ac:dyDescent="0.25">
      <c r="AE1410" s="75"/>
      <c r="AF1410" s="82"/>
      <c r="AG1410" s="82"/>
      <c r="AH1410" s="82"/>
      <c r="AI1410" s="82"/>
      <c r="AJ1410" s="166"/>
      <c r="AK1410" s="82"/>
      <c r="AL1410" s="162"/>
      <c r="AM1410" s="162"/>
      <c r="AN1410" s="162"/>
      <c r="AO1410" s="162"/>
      <c r="AP1410" s="162"/>
      <c r="AQ1410" s="162"/>
      <c r="AR1410" s="710"/>
      <c r="AV1410" s="82"/>
      <c r="AW1410" s="947"/>
      <c r="AX1410" s="947"/>
      <c r="AY1410" s="947"/>
    </row>
    <row r="1411" spans="31:51" x14ac:dyDescent="0.25">
      <c r="AE1411" s="75"/>
      <c r="AF1411" s="82"/>
      <c r="AG1411" s="82"/>
      <c r="AH1411" s="82"/>
      <c r="AI1411" s="82"/>
      <c r="AJ1411" s="166"/>
      <c r="AK1411" s="82"/>
      <c r="AL1411" s="162"/>
      <c r="AM1411" s="162"/>
      <c r="AN1411" s="162"/>
      <c r="AO1411" s="162"/>
      <c r="AP1411" s="162"/>
      <c r="AQ1411" s="162"/>
      <c r="AR1411" s="710"/>
      <c r="AV1411" s="82"/>
      <c r="AW1411" s="947"/>
      <c r="AX1411" s="947"/>
      <c r="AY1411" s="947"/>
    </row>
    <row r="1412" spans="31:51" x14ac:dyDescent="0.25">
      <c r="AE1412" s="75"/>
      <c r="AF1412" s="82"/>
      <c r="AG1412" s="82"/>
      <c r="AH1412" s="82"/>
      <c r="AI1412" s="82"/>
      <c r="AJ1412" s="166"/>
      <c r="AK1412" s="82"/>
      <c r="AL1412" s="162"/>
      <c r="AM1412" s="162"/>
      <c r="AN1412" s="162"/>
      <c r="AO1412" s="162"/>
      <c r="AP1412" s="162"/>
      <c r="AQ1412" s="162"/>
      <c r="AR1412" s="710"/>
      <c r="AV1412" s="82"/>
      <c r="AW1412" s="947"/>
      <c r="AX1412" s="947"/>
      <c r="AY1412" s="947"/>
    </row>
    <row r="1413" spans="31:51" x14ac:dyDescent="0.25">
      <c r="AE1413" s="75"/>
      <c r="AF1413" s="82"/>
      <c r="AG1413" s="82"/>
      <c r="AH1413" s="82"/>
      <c r="AI1413" s="82"/>
      <c r="AJ1413" s="166"/>
      <c r="AK1413" s="82"/>
      <c r="AL1413" s="162"/>
      <c r="AM1413" s="162"/>
      <c r="AN1413" s="162"/>
      <c r="AO1413" s="162"/>
      <c r="AP1413" s="162"/>
      <c r="AQ1413" s="162"/>
      <c r="AR1413" s="710"/>
      <c r="AV1413" s="82"/>
      <c r="AW1413" s="947"/>
      <c r="AX1413" s="947"/>
      <c r="AY1413" s="947"/>
    </row>
    <row r="1414" spans="31:51" x14ac:dyDescent="0.25">
      <c r="AE1414" s="75"/>
      <c r="AF1414" s="82"/>
      <c r="AG1414" s="82"/>
      <c r="AH1414" s="82"/>
      <c r="AI1414" s="82"/>
      <c r="AJ1414" s="166"/>
      <c r="AK1414" s="82"/>
      <c r="AL1414" s="162"/>
      <c r="AM1414" s="162"/>
      <c r="AN1414" s="162"/>
      <c r="AO1414" s="162"/>
      <c r="AP1414" s="162"/>
      <c r="AQ1414" s="162"/>
      <c r="AR1414" s="710"/>
      <c r="AV1414" s="82"/>
      <c r="AW1414" s="947"/>
      <c r="AX1414" s="947"/>
      <c r="AY1414" s="947"/>
    </row>
    <row r="1415" spans="31:51" x14ac:dyDescent="0.25">
      <c r="AE1415" s="75"/>
      <c r="AF1415" s="82"/>
      <c r="AG1415" s="82"/>
      <c r="AH1415" s="82"/>
      <c r="AI1415" s="82"/>
      <c r="AJ1415" s="166"/>
      <c r="AK1415" s="82"/>
      <c r="AL1415" s="162"/>
      <c r="AM1415" s="162"/>
      <c r="AN1415" s="162"/>
      <c r="AO1415" s="162"/>
      <c r="AP1415" s="162"/>
      <c r="AQ1415" s="162"/>
      <c r="AR1415" s="710"/>
      <c r="AV1415" s="82"/>
      <c r="AW1415" s="947"/>
      <c r="AX1415" s="947"/>
      <c r="AY1415" s="947"/>
    </row>
    <row r="1416" spans="31:51" x14ac:dyDescent="0.25">
      <c r="AE1416" s="75"/>
      <c r="AF1416" s="82"/>
      <c r="AG1416" s="82"/>
      <c r="AH1416" s="82"/>
      <c r="AI1416" s="82"/>
      <c r="AJ1416" s="166"/>
      <c r="AK1416" s="82"/>
      <c r="AL1416" s="162"/>
      <c r="AM1416" s="162"/>
      <c r="AN1416" s="162"/>
      <c r="AO1416" s="162"/>
      <c r="AP1416" s="162"/>
      <c r="AQ1416" s="162"/>
      <c r="AR1416" s="710"/>
      <c r="AV1416" s="82"/>
      <c r="AW1416" s="947"/>
      <c r="AX1416" s="947"/>
      <c r="AY1416" s="947"/>
    </row>
    <row r="1417" spans="31:51" x14ac:dyDescent="0.25">
      <c r="AE1417" s="75"/>
      <c r="AF1417" s="82"/>
      <c r="AG1417" s="82"/>
      <c r="AH1417" s="82"/>
      <c r="AI1417" s="82"/>
      <c r="AJ1417" s="166"/>
      <c r="AK1417" s="82"/>
      <c r="AL1417" s="162"/>
      <c r="AM1417" s="162"/>
      <c r="AN1417" s="162"/>
      <c r="AO1417" s="162"/>
      <c r="AP1417" s="162"/>
      <c r="AQ1417" s="162"/>
      <c r="AR1417" s="710"/>
      <c r="AV1417" s="82"/>
      <c r="AW1417" s="947"/>
      <c r="AX1417" s="947"/>
      <c r="AY1417" s="947"/>
    </row>
    <row r="1418" spans="31:51" x14ac:dyDescent="0.25">
      <c r="AE1418" s="75"/>
      <c r="AF1418" s="82"/>
      <c r="AG1418" s="82"/>
      <c r="AH1418" s="82"/>
      <c r="AI1418" s="82"/>
      <c r="AJ1418" s="166"/>
      <c r="AK1418" s="82"/>
      <c r="AL1418" s="162"/>
      <c r="AM1418" s="162"/>
      <c r="AN1418" s="162"/>
      <c r="AO1418" s="162"/>
      <c r="AP1418" s="162"/>
      <c r="AQ1418" s="162"/>
      <c r="AR1418" s="710"/>
      <c r="AV1418" s="82"/>
      <c r="AW1418" s="947"/>
      <c r="AX1418" s="947"/>
      <c r="AY1418" s="947"/>
    </row>
    <row r="1419" spans="31:51" x14ac:dyDescent="0.25">
      <c r="AE1419" s="75"/>
      <c r="AF1419" s="82"/>
      <c r="AG1419" s="82"/>
      <c r="AH1419" s="82"/>
      <c r="AI1419" s="82"/>
      <c r="AJ1419" s="166"/>
      <c r="AK1419" s="82"/>
      <c r="AL1419" s="162"/>
      <c r="AM1419" s="162"/>
      <c r="AN1419" s="162"/>
      <c r="AO1419" s="162"/>
      <c r="AP1419" s="162"/>
      <c r="AQ1419" s="162"/>
      <c r="AR1419" s="710"/>
      <c r="AV1419" s="82"/>
      <c r="AW1419" s="947"/>
      <c r="AX1419" s="947"/>
      <c r="AY1419" s="947"/>
    </row>
    <row r="1420" spans="31:51" x14ac:dyDescent="0.25">
      <c r="AE1420" s="75"/>
      <c r="AF1420" s="82"/>
      <c r="AG1420" s="82"/>
      <c r="AH1420" s="82"/>
      <c r="AI1420" s="82"/>
      <c r="AJ1420" s="166"/>
      <c r="AK1420" s="82"/>
      <c r="AL1420" s="162"/>
      <c r="AM1420" s="162"/>
      <c r="AN1420" s="162"/>
      <c r="AO1420" s="162"/>
      <c r="AP1420" s="162"/>
      <c r="AQ1420" s="162"/>
      <c r="AR1420" s="710"/>
      <c r="AV1420" s="82"/>
      <c r="AW1420" s="947"/>
      <c r="AX1420" s="947"/>
      <c r="AY1420" s="947"/>
    </row>
    <row r="1421" spans="31:51" x14ac:dyDescent="0.25">
      <c r="AE1421" s="75"/>
      <c r="AF1421" s="82"/>
      <c r="AG1421" s="82"/>
      <c r="AH1421" s="82"/>
      <c r="AI1421" s="82"/>
      <c r="AJ1421" s="166"/>
      <c r="AK1421" s="82"/>
      <c r="AL1421" s="162"/>
      <c r="AM1421" s="162"/>
      <c r="AN1421" s="162"/>
      <c r="AO1421" s="162"/>
      <c r="AP1421" s="162"/>
      <c r="AQ1421" s="162"/>
      <c r="AR1421" s="710"/>
      <c r="AV1421" s="82"/>
      <c r="AW1421" s="947"/>
      <c r="AX1421" s="947"/>
      <c r="AY1421" s="947"/>
    </row>
    <row r="1422" spans="31:51" x14ac:dyDescent="0.25">
      <c r="AE1422" s="75"/>
      <c r="AF1422" s="82"/>
      <c r="AG1422" s="82"/>
      <c r="AH1422" s="82"/>
      <c r="AI1422" s="82"/>
      <c r="AJ1422" s="166"/>
      <c r="AK1422" s="82"/>
      <c r="AL1422" s="162"/>
      <c r="AM1422" s="162"/>
      <c r="AN1422" s="162"/>
      <c r="AO1422" s="162"/>
      <c r="AP1422" s="162"/>
      <c r="AQ1422" s="162"/>
      <c r="AR1422" s="710"/>
      <c r="AV1422" s="82"/>
      <c r="AW1422" s="947"/>
      <c r="AX1422" s="947"/>
      <c r="AY1422" s="947"/>
    </row>
    <row r="1423" spans="31:51" x14ac:dyDescent="0.25">
      <c r="AE1423" s="75"/>
      <c r="AF1423" s="82"/>
      <c r="AG1423" s="82"/>
      <c r="AH1423" s="82"/>
      <c r="AI1423" s="82"/>
      <c r="AJ1423" s="166"/>
      <c r="AK1423" s="82"/>
      <c r="AL1423" s="162"/>
      <c r="AM1423" s="162"/>
      <c r="AN1423" s="162"/>
      <c r="AO1423" s="162"/>
      <c r="AP1423" s="162"/>
      <c r="AQ1423" s="162"/>
      <c r="AR1423" s="710"/>
      <c r="AV1423" s="82"/>
      <c r="AW1423" s="947"/>
      <c r="AX1423" s="947"/>
      <c r="AY1423" s="947"/>
    </row>
    <row r="1424" spans="31:51" x14ac:dyDescent="0.25">
      <c r="AE1424" s="75"/>
      <c r="AF1424" s="82"/>
      <c r="AG1424" s="82"/>
      <c r="AH1424" s="82"/>
      <c r="AI1424" s="82"/>
      <c r="AJ1424" s="166"/>
      <c r="AK1424" s="82"/>
      <c r="AL1424" s="162"/>
      <c r="AM1424" s="162"/>
      <c r="AN1424" s="162"/>
      <c r="AO1424" s="162"/>
      <c r="AP1424" s="162"/>
      <c r="AQ1424" s="162"/>
      <c r="AR1424" s="710"/>
      <c r="AV1424" s="82"/>
      <c r="AW1424" s="947"/>
      <c r="AX1424" s="947"/>
      <c r="AY1424" s="947"/>
    </row>
    <row r="1425" spans="31:51" x14ac:dyDescent="0.25">
      <c r="AE1425" s="75"/>
      <c r="AF1425" s="82"/>
      <c r="AG1425" s="82"/>
      <c r="AH1425" s="82"/>
      <c r="AI1425" s="82"/>
      <c r="AJ1425" s="166"/>
      <c r="AK1425" s="82"/>
      <c r="AL1425" s="162"/>
      <c r="AM1425" s="162"/>
      <c r="AN1425" s="162"/>
      <c r="AO1425" s="162"/>
      <c r="AP1425" s="162"/>
      <c r="AQ1425" s="162"/>
      <c r="AR1425" s="710"/>
      <c r="AV1425" s="82"/>
      <c r="AW1425" s="947"/>
      <c r="AX1425" s="947"/>
      <c r="AY1425" s="947"/>
    </row>
    <row r="1426" spans="31:51" x14ac:dyDescent="0.25">
      <c r="AE1426" s="75"/>
      <c r="AF1426" s="82"/>
      <c r="AG1426" s="82"/>
      <c r="AH1426" s="82"/>
      <c r="AI1426" s="82"/>
      <c r="AJ1426" s="166"/>
      <c r="AK1426" s="82"/>
      <c r="AL1426" s="162"/>
      <c r="AM1426" s="162"/>
      <c r="AN1426" s="162"/>
      <c r="AO1426" s="162"/>
      <c r="AP1426" s="162"/>
      <c r="AQ1426" s="162"/>
      <c r="AR1426" s="710"/>
      <c r="AV1426" s="82"/>
      <c r="AW1426" s="947"/>
      <c r="AX1426" s="947"/>
      <c r="AY1426" s="947"/>
    </row>
    <row r="1427" spans="31:51" x14ac:dyDescent="0.25">
      <c r="AE1427" s="75"/>
      <c r="AF1427" s="82"/>
      <c r="AG1427" s="82"/>
      <c r="AH1427" s="82"/>
      <c r="AI1427" s="82"/>
      <c r="AJ1427" s="166"/>
      <c r="AK1427" s="82"/>
      <c r="AL1427" s="162"/>
      <c r="AM1427" s="162"/>
      <c r="AN1427" s="162"/>
      <c r="AO1427" s="162"/>
      <c r="AP1427" s="162"/>
      <c r="AQ1427" s="162"/>
      <c r="AR1427" s="710"/>
      <c r="AV1427" s="82"/>
      <c r="AW1427" s="947"/>
      <c r="AX1427" s="947"/>
      <c r="AY1427" s="947"/>
    </row>
    <row r="1428" spans="31:51" x14ac:dyDescent="0.25">
      <c r="AE1428" s="75"/>
      <c r="AF1428" s="82"/>
      <c r="AG1428" s="82"/>
      <c r="AH1428" s="82"/>
      <c r="AI1428" s="82"/>
      <c r="AJ1428" s="166"/>
      <c r="AK1428" s="82"/>
      <c r="AL1428" s="162"/>
      <c r="AM1428" s="162"/>
      <c r="AN1428" s="162"/>
      <c r="AO1428" s="162"/>
      <c r="AP1428" s="162"/>
      <c r="AQ1428" s="162"/>
      <c r="AR1428" s="710"/>
      <c r="AV1428" s="82"/>
      <c r="AW1428" s="947"/>
      <c r="AX1428" s="947"/>
      <c r="AY1428" s="947"/>
    </row>
    <row r="1429" spans="31:51" x14ac:dyDescent="0.25">
      <c r="AE1429" s="75"/>
      <c r="AF1429" s="82"/>
      <c r="AG1429" s="82"/>
      <c r="AH1429" s="82"/>
      <c r="AI1429" s="82"/>
      <c r="AJ1429" s="166"/>
      <c r="AK1429" s="82"/>
      <c r="AL1429" s="162"/>
      <c r="AM1429" s="162"/>
      <c r="AN1429" s="162"/>
      <c r="AO1429" s="162"/>
      <c r="AP1429" s="162"/>
      <c r="AQ1429" s="162"/>
      <c r="AR1429" s="710"/>
      <c r="AV1429" s="82"/>
      <c r="AW1429" s="947"/>
      <c r="AX1429" s="947"/>
      <c r="AY1429" s="947"/>
    </row>
    <row r="1430" spans="31:51" x14ac:dyDescent="0.25">
      <c r="AE1430" s="75"/>
      <c r="AF1430" s="82"/>
      <c r="AG1430" s="82"/>
      <c r="AH1430" s="82"/>
      <c r="AI1430" s="82"/>
      <c r="AJ1430" s="166"/>
      <c r="AK1430" s="82"/>
      <c r="AL1430" s="162"/>
      <c r="AM1430" s="162"/>
      <c r="AN1430" s="162"/>
      <c r="AO1430" s="162"/>
      <c r="AP1430" s="162"/>
      <c r="AQ1430" s="162"/>
      <c r="AR1430" s="710"/>
      <c r="AV1430" s="82"/>
      <c r="AW1430" s="947"/>
      <c r="AX1430" s="947"/>
      <c r="AY1430" s="947"/>
    </row>
    <row r="1431" spans="31:51" x14ac:dyDescent="0.25">
      <c r="AE1431" s="75"/>
      <c r="AF1431" s="82"/>
      <c r="AG1431" s="82"/>
      <c r="AH1431" s="82"/>
      <c r="AI1431" s="82"/>
      <c r="AJ1431" s="166"/>
      <c r="AK1431" s="82"/>
      <c r="AL1431" s="162"/>
      <c r="AM1431" s="162"/>
      <c r="AN1431" s="162"/>
      <c r="AO1431" s="162"/>
      <c r="AP1431" s="162"/>
      <c r="AQ1431" s="162"/>
      <c r="AR1431" s="710"/>
      <c r="AV1431" s="82"/>
      <c r="AW1431" s="947"/>
      <c r="AX1431" s="947"/>
      <c r="AY1431" s="947"/>
    </row>
    <row r="1432" spans="31:51" x14ac:dyDescent="0.25">
      <c r="AE1432" s="75"/>
      <c r="AF1432" s="82"/>
      <c r="AG1432" s="82"/>
      <c r="AH1432" s="82"/>
      <c r="AI1432" s="82"/>
      <c r="AJ1432" s="166"/>
      <c r="AK1432" s="82"/>
      <c r="AL1432" s="162"/>
      <c r="AM1432" s="162"/>
      <c r="AN1432" s="162"/>
      <c r="AO1432" s="162"/>
      <c r="AP1432" s="162"/>
      <c r="AQ1432" s="162"/>
      <c r="AR1432" s="710"/>
      <c r="AV1432" s="82"/>
      <c r="AW1432" s="947"/>
      <c r="AX1432" s="947"/>
      <c r="AY1432" s="947"/>
    </row>
    <row r="1433" spans="31:51" x14ac:dyDescent="0.25">
      <c r="AE1433" s="75"/>
      <c r="AF1433" s="82"/>
      <c r="AG1433" s="82"/>
      <c r="AH1433" s="82"/>
      <c r="AI1433" s="82"/>
      <c r="AJ1433" s="166"/>
      <c r="AK1433" s="82"/>
      <c r="AL1433" s="162"/>
      <c r="AM1433" s="162"/>
      <c r="AN1433" s="162"/>
      <c r="AO1433" s="162"/>
      <c r="AP1433" s="162"/>
      <c r="AQ1433" s="162"/>
      <c r="AR1433" s="710"/>
      <c r="AV1433" s="82"/>
      <c r="AW1433" s="947"/>
      <c r="AX1433" s="947"/>
      <c r="AY1433" s="947"/>
    </row>
    <row r="1434" spans="31:51" x14ac:dyDescent="0.25">
      <c r="AE1434" s="75"/>
      <c r="AF1434" s="82"/>
      <c r="AG1434" s="82"/>
      <c r="AH1434" s="82"/>
      <c r="AI1434" s="82"/>
      <c r="AJ1434" s="166"/>
      <c r="AK1434" s="82"/>
      <c r="AL1434" s="162"/>
      <c r="AM1434" s="162"/>
      <c r="AN1434" s="162"/>
      <c r="AO1434" s="162"/>
      <c r="AP1434" s="162"/>
      <c r="AQ1434" s="162"/>
      <c r="AR1434" s="710"/>
      <c r="AV1434" s="82"/>
      <c r="AW1434" s="947"/>
      <c r="AX1434" s="947"/>
      <c r="AY1434" s="947"/>
    </row>
    <row r="1435" spans="31:51" x14ac:dyDescent="0.25">
      <c r="AE1435" s="75"/>
      <c r="AF1435" s="82"/>
      <c r="AG1435" s="82"/>
      <c r="AH1435" s="82"/>
      <c r="AI1435" s="82"/>
      <c r="AJ1435" s="166"/>
      <c r="AK1435" s="82"/>
      <c r="AL1435" s="162"/>
      <c r="AM1435" s="162"/>
      <c r="AN1435" s="162"/>
      <c r="AO1435" s="162"/>
      <c r="AP1435" s="162"/>
      <c r="AQ1435" s="162"/>
      <c r="AR1435" s="710"/>
      <c r="AV1435" s="82"/>
      <c r="AW1435" s="947"/>
      <c r="AX1435" s="947"/>
      <c r="AY1435" s="947"/>
    </row>
    <row r="1436" spans="31:51" x14ac:dyDescent="0.25">
      <c r="AE1436" s="75"/>
      <c r="AF1436" s="82"/>
      <c r="AG1436" s="82"/>
      <c r="AH1436" s="82"/>
      <c r="AI1436" s="82"/>
      <c r="AJ1436" s="166"/>
      <c r="AK1436" s="82"/>
      <c r="AL1436" s="162"/>
      <c r="AM1436" s="162"/>
      <c r="AN1436" s="162"/>
      <c r="AO1436" s="162"/>
      <c r="AP1436" s="162"/>
      <c r="AQ1436" s="162"/>
      <c r="AR1436" s="710"/>
      <c r="AV1436" s="82"/>
      <c r="AW1436" s="947"/>
      <c r="AX1436" s="947"/>
      <c r="AY1436" s="947"/>
    </row>
    <row r="1437" spans="31:51" x14ac:dyDescent="0.25">
      <c r="AE1437" s="75"/>
      <c r="AF1437" s="82"/>
      <c r="AG1437" s="82"/>
      <c r="AH1437" s="82"/>
      <c r="AI1437" s="82"/>
      <c r="AJ1437" s="166"/>
      <c r="AK1437" s="82"/>
      <c r="AL1437" s="162"/>
      <c r="AM1437" s="162"/>
      <c r="AN1437" s="162"/>
      <c r="AO1437" s="162"/>
      <c r="AP1437" s="162"/>
      <c r="AQ1437" s="162"/>
      <c r="AR1437" s="710"/>
      <c r="AV1437" s="82"/>
      <c r="AW1437" s="947"/>
      <c r="AX1437" s="947"/>
      <c r="AY1437" s="947"/>
    </row>
    <row r="1438" spans="31:51" x14ac:dyDescent="0.25">
      <c r="AE1438" s="75"/>
      <c r="AF1438" s="82"/>
      <c r="AG1438" s="82"/>
      <c r="AH1438" s="82"/>
      <c r="AI1438" s="82"/>
      <c r="AJ1438" s="166"/>
      <c r="AK1438" s="82"/>
      <c r="AL1438" s="162"/>
      <c r="AM1438" s="162"/>
      <c r="AN1438" s="162"/>
      <c r="AO1438" s="162"/>
      <c r="AP1438" s="162"/>
      <c r="AQ1438" s="162"/>
      <c r="AR1438" s="710"/>
      <c r="AV1438" s="82"/>
      <c r="AW1438" s="947"/>
      <c r="AX1438" s="947"/>
      <c r="AY1438" s="947"/>
    </row>
    <row r="1439" spans="31:51" x14ac:dyDescent="0.25">
      <c r="AE1439" s="75"/>
      <c r="AF1439" s="82"/>
      <c r="AG1439" s="82"/>
      <c r="AH1439" s="82"/>
      <c r="AI1439" s="82"/>
      <c r="AJ1439" s="166"/>
      <c r="AK1439" s="82"/>
      <c r="AL1439" s="162"/>
      <c r="AM1439" s="162"/>
      <c r="AN1439" s="162"/>
      <c r="AO1439" s="162"/>
      <c r="AP1439" s="162"/>
      <c r="AQ1439" s="162"/>
      <c r="AR1439" s="710"/>
      <c r="AV1439" s="82"/>
      <c r="AW1439" s="947"/>
      <c r="AX1439" s="947"/>
      <c r="AY1439" s="947"/>
    </row>
    <row r="1440" spans="31:51" x14ac:dyDescent="0.25">
      <c r="AE1440" s="75"/>
      <c r="AF1440" s="82"/>
      <c r="AG1440" s="82"/>
      <c r="AH1440" s="82"/>
      <c r="AI1440" s="82"/>
      <c r="AJ1440" s="166"/>
      <c r="AK1440" s="82"/>
      <c r="AL1440" s="162"/>
      <c r="AM1440" s="162"/>
      <c r="AN1440" s="162"/>
      <c r="AO1440" s="162"/>
      <c r="AP1440" s="162"/>
      <c r="AQ1440" s="162"/>
      <c r="AR1440" s="710"/>
      <c r="AV1440" s="82"/>
      <c r="AW1440" s="947"/>
      <c r="AX1440" s="947"/>
      <c r="AY1440" s="947"/>
    </row>
    <row r="1441" spans="31:51" x14ac:dyDescent="0.25">
      <c r="AE1441" s="75"/>
      <c r="AF1441" s="82"/>
      <c r="AG1441" s="82"/>
      <c r="AH1441" s="82"/>
      <c r="AI1441" s="82"/>
      <c r="AJ1441" s="166"/>
      <c r="AK1441" s="82"/>
      <c r="AL1441" s="162"/>
      <c r="AM1441" s="162"/>
      <c r="AN1441" s="162"/>
      <c r="AO1441" s="162"/>
      <c r="AP1441" s="162"/>
      <c r="AQ1441" s="162"/>
      <c r="AR1441" s="710"/>
      <c r="AV1441" s="82"/>
      <c r="AW1441" s="947"/>
      <c r="AX1441" s="947"/>
      <c r="AY1441" s="947"/>
    </row>
    <row r="1442" spans="31:51" x14ac:dyDescent="0.25">
      <c r="AE1442" s="75"/>
      <c r="AF1442" s="82"/>
      <c r="AG1442" s="82"/>
      <c r="AH1442" s="82"/>
      <c r="AI1442" s="82"/>
      <c r="AJ1442" s="166"/>
      <c r="AK1442" s="82"/>
      <c r="AL1442" s="162"/>
      <c r="AM1442" s="162"/>
      <c r="AN1442" s="162"/>
      <c r="AO1442" s="162"/>
      <c r="AP1442" s="162"/>
      <c r="AQ1442" s="162"/>
      <c r="AR1442" s="710"/>
      <c r="AV1442" s="82"/>
      <c r="AW1442" s="947"/>
      <c r="AX1442" s="947"/>
      <c r="AY1442" s="947"/>
    </row>
    <row r="1443" spans="31:51" x14ac:dyDescent="0.25">
      <c r="AE1443" s="75"/>
      <c r="AF1443" s="82"/>
      <c r="AG1443" s="82"/>
      <c r="AH1443" s="82"/>
      <c r="AI1443" s="82"/>
      <c r="AJ1443" s="166"/>
      <c r="AK1443" s="82"/>
      <c r="AL1443" s="162"/>
      <c r="AM1443" s="162"/>
      <c r="AN1443" s="162"/>
      <c r="AO1443" s="162"/>
      <c r="AP1443" s="162"/>
      <c r="AQ1443" s="162"/>
      <c r="AR1443" s="710"/>
      <c r="AV1443" s="82"/>
      <c r="AW1443" s="947"/>
      <c r="AX1443" s="947"/>
      <c r="AY1443" s="947"/>
    </row>
    <row r="1444" spans="31:51" x14ac:dyDescent="0.25">
      <c r="AE1444" s="75"/>
      <c r="AF1444" s="82"/>
      <c r="AG1444" s="82"/>
      <c r="AH1444" s="82"/>
      <c r="AI1444" s="82"/>
      <c r="AJ1444" s="166"/>
      <c r="AK1444" s="82"/>
      <c r="AL1444" s="162"/>
      <c r="AM1444" s="162"/>
      <c r="AN1444" s="162"/>
      <c r="AO1444" s="162"/>
      <c r="AP1444" s="162"/>
      <c r="AQ1444" s="162"/>
      <c r="AR1444" s="710"/>
      <c r="AV1444" s="82"/>
      <c r="AW1444" s="947"/>
      <c r="AX1444" s="947"/>
      <c r="AY1444" s="947"/>
    </row>
    <row r="1445" spans="31:51" x14ac:dyDescent="0.25">
      <c r="AE1445" s="75"/>
      <c r="AF1445" s="82"/>
      <c r="AG1445" s="82"/>
      <c r="AH1445" s="82"/>
      <c r="AI1445" s="82"/>
      <c r="AJ1445" s="166"/>
      <c r="AK1445" s="82"/>
      <c r="AL1445" s="162"/>
      <c r="AM1445" s="162"/>
      <c r="AN1445" s="162"/>
      <c r="AO1445" s="162"/>
      <c r="AP1445" s="162"/>
      <c r="AQ1445" s="162"/>
      <c r="AR1445" s="710"/>
      <c r="AV1445" s="82"/>
      <c r="AW1445" s="947"/>
      <c r="AX1445" s="947"/>
      <c r="AY1445" s="947"/>
    </row>
    <row r="1446" spans="31:51" x14ac:dyDescent="0.25">
      <c r="AE1446" s="75"/>
      <c r="AF1446" s="82"/>
      <c r="AG1446" s="82"/>
      <c r="AH1446" s="82"/>
      <c r="AI1446" s="82"/>
      <c r="AJ1446" s="166"/>
      <c r="AK1446" s="82"/>
      <c r="AL1446" s="162"/>
      <c r="AM1446" s="162"/>
      <c r="AN1446" s="162"/>
      <c r="AO1446" s="162"/>
      <c r="AP1446" s="162"/>
      <c r="AQ1446" s="162"/>
      <c r="AR1446" s="710"/>
      <c r="AV1446" s="82"/>
      <c r="AW1446" s="947"/>
      <c r="AX1446" s="947"/>
      <c r="AY1446" s="947"/>
    </row>
    <row r="1447" spans="31:51" x14ac:dyDescent="0.25">
      <c r="AE1447" s="75"/>
      <c r="AF1447" s="82"/>
      <c r="AG1447" s="82"/>
      <c r="AH1447" s="82"/>
      <c r="AI1447" s="82"/>
      <c r="AJ1447" s="166"/>
      <c r="AK1447" s="82"/>
      <c r="AL1447" s="162"/>
      <c r="AM1447" s="162"/>
      <c r="AN1447" s="162"/>
      <c r="AO1447" s="162"/>
      <c r="AP1447" s="162"/>
      <c r="AQ1447" s="162"/>
      <c r="AR1447" s="710"/>
      <c r="AV1447" s="82"/>
      <c r="AW1447" s="947"/>
      <c r="AX1447" s="947"/>
      <c r="AY1447" s="947"/>
    </row>
    <row r="1448" spans="31:51" x14ac:dyDescent="0.25">
      <c r="AE1448" s="75"/>
      <c r="AF1448" s="82"/>
      <c r="AG1448" s="82"/>
      <c r="AH1448" s="82"/>
      <c r="AI1448" s="82"/>
      <c r="AJ1448" s="166"/>
      <c r="AK1448" s="82"/>
      <c r="AL1448" s="162"/>
      <c r="AM1448" s="162"/>
      <c r="AN1448" s="162"/>
      <c r="AO1448" s="162"/>
      <c r="AP1448" s="162"/>
      <c r="AQ1448" s="162"/>
      <c r="AR1448" s="710"/>
      <c r="AV1448" s="82"/>
      <c r="AW1448" s="947"/>
      <c r="AX1448" s="947"/>
      <c r="AY1448" s="947"/>
    </row>
    <row r="1449" spans="31:51" x14ac:dyDescent="0.25">
      <c r="AE1449" s="75"/>
      <c r="AF1449" s="82"/>
      <c r="AG1449" s="82"/>
      <c r="AH1449" s="82"/>
      <c r="AI1449" s="82"/>
      <c r="AJ1449" s="166"/>
      <c r="AK1449" s="82"/>
      <c r="AL1449" s="162"/>
      <c r="AM1449" s="162"/>
      <c r="AN1449" s="162"/>
      <c r="AO1449" s="162"/>
      <c r="AP1449" s="162"/>
      <c r="AQ1449" s="162"/>
      <c r="AR1449" s="710"/>
      <c r="AV1449" s="82"/>
      <c r="AW1449" s="947"/>
      <c r="AX1449" s="947"/>
      <c r="AY1449" s="947"/>
    </row>
    <row r="1450" spans="31:51" x14ac:dyDescent="0.25">
      <c r="AE1450" s="75"/>
      <c r="AF1450" s="82"/>
      <c r="AG1450" s="82"/>
      <c r="AH1450" s="82"/>
      <c r="AI1450" s="82"/>
      <c r="AJ1450" s="166"/>
      <c r="AK1450" s="82"/>
      <c r="AL1450" s="162"/>
      <c r="AM1450" s="162"/>
      <c r="AN1450" s="162"/>
      <c r="AO1450" s="162"/>
      <c r="AP1450" s="162"/>
      <c r="AQ1450" s="162"/>
      <c r="AR1450" s="710"/>
      <c r="AV1450" s="82"/>
      <c r="AW1450" s="947"/>
      <c r="AX1450" s="947"/>
      <c r="AY1450" s="947"/>
    </row>
    <row r="1451" spans="31:51" x14ac:dyDescent="0.25">
      <c r="AE1451" s="75"/>
      <c r="AF1451" s="82"/>
      <c r="AG1451" s="82"/>
      <c r="AH1451" s="82"/>
      <c r="AI1451" s="82"/>
      <c r="AJ1451" s="166"/>
      <c r="AK1451" s="82"/>
      <c r="AL1451" s="162"/>
      <c r="AM1451" s="162"/>
      <c r="AN1451" s="162"/>
      <c r="AO1451" s="162"/>
      <c r="AP1451" s="162"/>
      <c r="AQ1451" s="162"/>
      <c r="AR1451" s="710"/>
      <c r="AV1451" s="82"/>
      <c r="AW1451" s="947"/>
      <c r="AX1451" s="947"/>
      <c r="AY1451" s="947"/>
    </row>
    <row r="1452" spans="31:51" x14ac:dyDescent="0.25">
      <c r="AE1452" s="75"/>
      <c r="AF1452" s="82"/>
      <c r="AG1452" s="82"/>
      <c r="AH1452" s="82"/>
      <c r="AI1452" s="82"/>
      <c r="AJ1452" s="166"/>
      <c r="AK1452" s="82"/>
      <c r="AL1452" s="162"/>
      <c r="AM1452" s="162"/>
      <c r="AN1452" s="162"/>
      <c r="AO1452" s="162"/>
      <c r="AP1452" s="162"/>
      <c r="AQ1452" s="162"/>
      <c r="AR1452" s="710"/>
      <c r="AV1452" s="82"/>
      <c r="AW1452" s="947"/>
      <c r="AX1452" s="947"/>
      <c r="AY1452" s="947"/>
    </row>
    <row r="1453" spans="31:51" x14ac:dyDescent="0.25">
      <c r="AE1453" s="75"/>
      <c r="AF1453" s="82"/>
      <c r="AG1453" s="82"/>
      <c r="AH1453" s="82"/>
      <c r="AI1453" s="82"/>
      <c r="AJ1453" s="166"/>
      <c r="AK1453" s="82"/>
      <c r="AL1453" s="162"/>
      <c r="AM1453" s="162"/>
      <c r="AN1453" s="162"/>
      <c r="AO1453" s="162"/>
      <c r="AP1453" s="162"/>
      <c r="AQ1453" s="162"/>
      <c r="AR1453" s="710"/>
      <c r="AV1453" s="82"/>
      <c r="AW1453" s="947"/>
      <c r="AX1453" s="947"/>
      <c r="AY1453" s="947"/>
    </row>
    <row r="1454" spans="31:51" x14ac:dyDescent="0.25">
      <c r="AE1454" s="75"/>
      <c r="AF1454" s="82"/>
      <c r="AG1454" s="82"/>
      <c r="AH1454" s="82"/>
      <c r="AI1454" s="82"/>
      <c r="AJ1454" s="166"/>
      <c r="AK1454" s="82"/>
      <c r="AL1454" s="162"/>
      <c r="AM1454" s="162"/>
      <c r="AN1454" s="162"/>
      <c r="AO1454" s="162"/>
      <c r="AP1454" s="162"/>
      <c r="AQ1454" s="162"/>
      <c r="AR1454" s="710"/>
      <c r="AV1454" s="82"/>
      <c r="AW1454" s="947"/>
      <c r="AX1454" s="947"/>
      <c r="AY1454" s="947"/>
    </row>
    <row r="1455" spans="31:51" x14ac:dyDescent="0.25">
      <c r="AE1455" s="75"/>
      <c r="AF1455" s="82"/>
      <c r="AG1455" s="82"/>
      <c r="AH1455" s="82"/>
      <c r="AI1455" s="82"/>
      <c r="AJ1455" s="166"/>
      <c r="AK1455" s="82"/>
      <c r="AL1455" s="162"/>
      <c r="AM1455" s="162"/>
      <c r="AN1455" s="162"/>
      <c r="AO1455" s="162"/>
      <c r="AP1455" s="162"/>
      <c r="AQ1455" s="162"/>
      <c r="AR1455" s="710"/>
      <c r="AV1455" s="82"/>
      <c r="AW1455" s="947"/>
      <c r="AX1455" s="947"/>
      <c r="AY1455" s="947"/>
    </row>
    <row r="1456" spans="31:51" x14ac:dyDescent="0.25">
      <c r="AE1456" s="75"/>
      <c r="AF1456" s="82"/>
      <c r="AG1456" s="82"/>
      <c r="AH1456" s="82"/>
      <c r="AI1456" s="82"/>
      <c r="AJ1456" s="166"/>
      <c r="AK1456" s="82"/>
      <c r="AL1456" s="162"/>
      <c r="AM1456" s="162"/>
      <c r="AN1456" s="162"/>
      <c r="AO1456" s="162"/>
      <c r="AP1456" s="162"/>
      <c r="AQ1456" s="162"/>
      <c r="AR1456" s="710"/>
      <c r="AV1456" s="82"/>
      <c r="AW1456" s="947"/>
      <c r="AX1456" s="947"/>
      <c r="AY1456" s="947"/>
    </row>
    <row r="1457" spans="31:51" x14ac:dyDescent="0.25">
      <c r="AE1457" s="75"/>
      <c r="AF1457" s="82"/>
      <c r="AG1457" s="82"/>
      <c r="AH1457" s="82"/>
      <c r="AI1457" s="82"/>
      <c r="AJ1457" s="166"/>
      <c r="AK1457" s="82"/>
      <c r="AL1457" s="162"/>
      <c r="AM1457" s="162"/>
      <c r="AN1457" s="162"/>
      <c r="AO1457" s="162"/>
      <c r="AP1457" s="162"/>
      <c r="AQ1457" s="162"/>
      <c r="AR1457" s="710"/>
      <c r="AV1457" s="82"/>
      <c r="AW1457" s="947"/>
      <c r="AX1457" s="947"/>
      <c r="AY1457" s="947"/>
    </row>
    <row r="1458" spans="31:51" x14ac:dyDescent="0.25">
      <c r="AE1458" s="75"/>
      <c r="AF1458" s="82"/>
      <c r="AG1458" s="82"/>
      <c r="AH1458" s="82"/>
      <c r="AI1458" s="82"/>
      <c r="AJ1458" s="166"/>
      <c r="AK1458" s="82"/>
      <c r="AL1458" s="162"/>
      <c r="AM1458" s="162"/>
      <c r="AN1458" s="162"/>
      <c r="AO1458" s="162"/>
      <c r="AP1458" s="162"/>
      <c r="AQ1458" s="162"/>
      <c r="AR1458" s="710"/>
      <c r="AV1458" s="82"/>
      <c r="AW1458" s="947"/>
      <c r="AX1458" s="947"/>
      <c r="AY1458" s="947"/>
    </row>
    <row r="1459" spans="31:51" x14ac:dyDescent="0.25">
      <c r="AE1459" s="75"/>
      <c r="AF1459" s="82"/>
      <c r="AG1459" s="82"/>
      <c r="AH1459" s="82"/>
      <c r="AI1459" s="82"/>
      <c r="AJ1459" s="166"/>
      <c r="AK1459" s="82"/>
      <c r="AL1459" s="162"/>
      <c r="AM1459" s="162"/>
      <c r="AN1459" s="162"/>
      <c r="AO1459" s="162"/>
      <c r="AP1459" s="162"/>
      <c r="AQ1459" s="162"/>
      <c r="AR1459" s="710"/>
      <c r="AV1459" s="82"/>
      <c r="AW1459" s="947"/>
      <c r="AX1459" s="947"/>
      <c r="AY1459" s="947"/>
    </row>
    <row r="1460" spans="31:51" x14ac:dyDescent="0.25">
      <c r="AE1460" s="75"/>
      <c r="AF1460" s="82"/>
      <c r="AG1460" s="82"/>
      <c r="AH1460" s="82"/>
      <c r="AI1460" s="82"/>
      <c r="AJ1460" s="166"/>
      <c r="AK1460" s="82"/>
      <c r="AL1460" s="162"/>
      <c r="AM1460" s="162"/>
      <c r="AN1460" s="162"/>
      <c r="AO1460" s="162"/>
      <c r="AP1460" s="162"/>
      <c r="AQ1460" s="162"/>
      <c r="AR1460" s="710"/>
      <c r="AV1460" s="82"/>
      <c r="AW1460" s="947"/>
      <c r="AX1460" s="947"/>
      <c r="AY1460" s="947"/>
    </row>
    <row r="1461" spans="31:51" x14ac:dyDescent="0.25">
      <c r="AE1461" s="75"/>
      <c r="AF1461" s="82"/>
      <c r="AG1461" s="82"/>
      <c r="AH1461" s="82"/>
      <c r="AI1461" s="82"/>
      <c r="AJ1461" s="166"/>
      <c r="AK1461" s="82"/>
      <c r="AL1461" s="162"/>
      <c r="AM1461" s="162"/>
      <c r="AN1461" s="162"/>
      <c r="AO1461" s="162"/>
      <c r="AP1461" s="162"/>
      <c r="AQ1461" s="162"/>
      <c r="AR1461" s="710"/>
      <c r="AV1461" s="82"/>
      <c r="AW1461" s="947"/>
      <c r="AX1461" s="947"/>
      <c r="AY1461" s="947"/>
    </row>
    <row r="1462" spans="31:51" x14ac:dyDescent="0.25">
      <c r="AE1462" s="75"/>
      <c r="AF1462" s="82"/>
      <c r="AG1462" s="82"/>
      <c r="AH1462" s="82"/>
      <c r="AI1462" s="82"/>
      <c r="AJ1462" s="166"/>
      <c r="AK1462" s="82"/>
      <c r="AL1462" s="162"/>
      <c r="AM1462" s="162"/>
      <c r="AN1462" s="162"/>
      <c r="AO1462" s="162"/>
      <c r="AP1462" s="162"/>
      <c r="AQ1462" s="162"/>
      <c r="AR1462" s="710"/>
      <c r="AV1462" s="82"/>
      <c r="AW1462" s="947"/>
      <c r="AX1462" s="947"/>
      <c r="AY1462" s="947"/>
    </row>
    <row r="1463" spans="31:51" x14ac:dyDescent="0.25">
      <c r="AE1463" s="75"/>
      <c r="AF1463" s="82"/>
      <c r="AG1463" s="82"/>
      <c r="AH1463" s="82"/>
      <c r="AI1463" s="82"/>
      <c r="AJ1463" s="166"/>
      <c r="AK1463" s="82"/>
      <c r="AL1463" s="162"/>
      <c r="AM1463" s="162"/>
      <c r="AN1463" s="162"/>
      <c r="AO1463" s="162"/>
      <c r="AP1463" s="162"/>
      <c r="AQ1463" s="162"/>
      <c r="AR1463" s="710"/>
      <c r="AV1463" s="82"/>
      <c r="AW1463" s="947"/>
      <c r="AX1463" s="947"/>
      <c r="AY1463" s="947"/>
    </row>
    <row r="1464" spans="31:51" x14ac:dyDescent="0.25">
      <c r="AE1464" s="75"/>
      <c r="AF1464" s="82"/>
      <c r="AG1464" s="82"/>
      <c r="AH1464" s="82"/>
      <c r="AI1464" s="82"/>
      <c r="AJ1464" s="166"/>
      <c r="AK1464" s="82"/>
      <c r="AL1464" s="162"/>
      <c r="AM1464" s="162"/>
      <c r="AN1464" s="162"/>
      <c r="AO1464" s="162"/>
      <c r="AP1464" s="162"/>
      <c r="AQ1464" s="162"/>
      <c r="AR1464" s="710"/>
      <c r="AV1464" s="82"/>
      <c r="AW1464" s="947"/>
      <c r="AX1464" s="947"/>
      <c r="AY1464" s="947"/>
    </row>
    <row r="1465" spans="31:51" x14ac:dyDescent="0.25">
      <c r="AE1465" s="75"/>
      <c r="AF1465" s="82"/>
      <c r="AG1465" s="82"/>
      <c r="AH1465" s="82"/>
      <c r="AI1465" s="82"/>
      <c r="AJ1465" s="166"/>
      <c r="AK1465" s="82"/>
      <c r="AL1465" s="162"/>
      <c r="AM1465" s="162"/>
      <c r="AN1465" s="162"/>
      <c r="AO1465" s="162"/>
      <c r="AP1465" s="162"/>
      <c r="AQ1465" s="162"/>
      <c r="AR1465" s="710"/>
      <c r="AV1465" s="82"/>
      <c r="AW1465" s="947"/>
      <c r="AX1465" s="947"/>
      <c r="AY1465" s="947"/>
    </row>
    <row r="1466" spans="31:51" x14ac:dyDescent="0.25">
      <c r="AE1466" s="75"/>
      <c r="AF1466" s="82"/>
      <c r="AG1466" s="82"/>
      <c r="AH1466" s="82"/>
      <c r="AI1466" s="82"/>
      <c r="AJ1466" s="166"/>
      <c r="AK1466" s="82"/>
      <c r="AL1466" s="162"/>
      <c r="AM1466" s="162"/>
      <c r="AN1466" s="162"/>
      <c r="AO1466" s="162"/>
      <c r="AP1466" s="162"/>
      <c r="AQ1466" s="162"/>
      <c r="AR1466" s="710"/>
      <c r="AV1466" s="82"/>
      <c r="AW1466" s="947"/>
      <c r="AX1466" s="947"/>
      <c r="AY1466" s="947"/>
    </row>
    <row r="1467" spans="31:51" x14ac:dyDescent="0.25">
      <c r="AE1467" s="75"/>
      <c r="AF1467" s="82"/>
      <c r="AG1467" s="82"/>
      <c r="AH1467" s="82"/>
      <c r="AI1467" s="82"/>
      <c r="AJ1467" s="166"/>
      <c r="AK1467" s="82"/>
      <c r="AL1467" s="162"/>
      <c r="AM1467" s="162"/>
      <c r="AN1467" s="162"/>
      <c r="AO1467" s="162"/>
      <c r="AP1467" s="162"/>
      <c r="AQ1467" s="162"/>
      <c r="AR1467" s="710"/>
      <c r="AV1467" s="82"/>
      <c r="AW1467" s="947"/>
      <c r="AX1467" s="947"/>
      <c r="AY1467" s="947"/>
    </row>
    <row r="1468" spans="31:51" x14ac:dyDescent="0.25">
      <c r="AE1468" s="75"/>
      <c r="AF1468" s="82"/>
      <c r="AG1468" s="82"/>
      <c r="AH1468" s="82"/>
      <c r="AI1468" s="82"/>
      <c r="AJ1468" s="166"/>
      <c r="AK1468" s="82"/>
      <c r="AL1468" s="162"/>
      <c r="AM1468" s="162"/>
      <c r="AN1468" s="162"/>
      <c r="AO1468" s="162"/>
      <c r="AP1468" s="162"/>
      <c r="AQ1468" s="162"/>
      <c r="AR1468" s="710"/>
      <c r="AV1468" s="82"/>
      <c r="AW1468" s="947"/>
      <c r="AX1468" s="947"/>
      <c r="AY1468" s="947"/>
    </row>
    <row r="1469" spans="31:51" x14ac:dyDescent="0.25">
      <c r="AE1469" s="75"/>
      <c r="AF1469" s="82"/>
      <c r="AG1469" s="82"/>
      <c r="AH1469" s="82"/>
      <c r="AI1469" s="82"/>
      <c r="AJ1469" s="166"/>
      <c r="AK1469" s="82"/>
      <c r="AL1469" s="162"/>
      <c r="AM1469" s="162"/>
      <c r="AN1469" s="162"/>
      <c r="AO1469" s="162"/>
      <c r="AP1469" s="162"/>
      <c r="AQ1469" s="162"/>
      <c r="AR1469" s="710"/>
      <c r="AV1469" s="82"/>
      <c r="AW1469" s="947"/>
      <c r="AX1469" s="947"/>
      <c r="AY1469" s="947"/>
    </row>
    <row r="1470" spans="31:51" x14ac:dyDescent="0.25">
      <c r="AE1470" s="75"/>
      <c r="AF1470" s="82"/>
      <c r="AG1470" s="82"/>
      <c r="AH1470" s="82"/>
      <c r="AI1470" s="82"/>
      <c r="AJ1470" s="166"/>
      <c r="AK1470" s="82"/>
      <c r="AL1470" s="162"/>
      <c r="AM1470" s="162"/>
      <c r="AN1470" s="162"/>
      <c r="AO1470" s="162"/>
      <c r="AP1470" s="162"/>
      <c r="AQ1470" s="162"/>
      <c r="AR1470" s="710"/>
      <c r="AV1470" s="82"/>
      <c r="AW1470" s="947"/>
      <c r="AX1470" s="947"/>
      <c r="AY1470" s="947"/>
    </row>
    <row r="1471" spans="31:51" x14ac:dyDescent="0.25">
      <c r="AE1471" s="75"/>
      <c r="AF1471" s="82"/>
      <c r="AG1471" s="82"/>
      <c r="AH1471" s="82"/>
      <c r="AI1471" s="82"/>
      <c r="AJ1471" s="166"/>
      <c r="AK1471" s="82"/>
      <c r="AL1471" s="162"/>
      <c r="AM1471" s="162"/>
      <c r="AN1471" s="162"/>
      <c r="AO1471" s="162"/>
      <c r="AP1471" s="162"/>
      <c r="AQ1471" s="162"/>
      <c r="AR1471" s="710"/>
      <c r="AV1471" s="82"/>
      <c r="AW1471" s="947"/>
      <c r="AX1471" s="947"/>
      <c r="AY1471" s="947"/>
    </row>
    <row r="1472" spans="31:51" x14ac:dyDescent="0.25">
      <c r="AE1472" s="75"/>
      <c r="AF1472" s="82"/>
      <c r="AG1472" s="82"/>
      <c r="AH1472" s="82"/>
      <c r="AI1472" s="82"/>
      <c r="AJ1472" s="166"/>
      <c r="AK1472" s="82"/>
      <c r="AL1472" s="162"/>
      <c r="AM1472" s="162"/>
      <c r="AN1472" s="162"/>
      <c r="AO1472" s="162"/>
      <c r="AP1472" s="162"/>
      <c r="AQ1472" s="162"/>
      <c r="AR1472" s="710"/>
      <c r="AV1472" s="82"/>
      <c r="AW1472" s="947"/>
      <c r="AX1472" s="947"/>
      <c r="AY1472" s="947"/>
    </row>
    <row r="1473" spans="31:51" x14ac:dyDescent="0.25">
      <c r="AE1473" s="75"/>
      <c r="AF1473" s="82"/>
      <c r="AG1473" s="82"/>
      <c r="AH1473" s="82"/>
      <c r="AI1473" s="82"/>
      <c r="AJ1473" s="166"/>
      <c r="AK1473" s="82"/>
      <c r="AL1473" s="162"/>
      <c r="AM1473" s="162"/>
      <c r="AN1473" s="162"/>
      <c r="AO1473" s="162"/>
      <c r="AP1473" s="162"/>
      <c r="AQ1473" s="162"/>
      <c r="AR1473" s="710"/>
      <c r="AV1473" s="82"/>
      <c r="AW1473" s="947"/>
      <c r="AX1473" s="947"/>
      <c r="AY1473" s="947"/>
    </row>
    <row r="1474" spans="31:51" x14ac:dyDescent="0.25">
      <c r="AE1474" s="75"/>
      <c r="AF1474" s="82"/>
      <c r="AG1474" s="82"/>
      <c r="AH1474" s="82"/>
      <c r="AI1474" s="82"/>
      <c r="AJ1474" s="166"/>
      <c r="AK1474" s="82"/>
      <c r="AL1474" s="162"/>
      <c r="AM1474" s="162"/>
      <c r="AN1474" s="162"/>
      <c r="AO1474" s="162"/>
      <c r="AP1474" s="162"/>
      <c r="AQ1474" s="162"/>
      <c r="AR1474" s="710"/>
      <c r="AV1474" s="82"/>
      <c r="AW1474" s="947"/>
      <c r="AX1474" s="947"/>
      <c r="AY1474" s="947"/>
    </row>
    <row r="1475" spans="31:51" x14ac:dyDescent="0.25">
      <c r="AE1475" s="75"/>
      <c r="AF1475" s="82"/>
      <c r="AG1475" s="82"/>
      <c r="AH1475" s="82"/>
      <c r="AI1475" s="82"/>
      <c r="AJ1475" s="166"/>
      <c r="AK1475" s="82"/>
      <c r="AL1475" s="162"/>
      <c r="AM1475" s="162"/>
      <c r="AN1475" s="162"/>
      <c r="AO1475" s="162"/>
      <c r="AP1475" s="162"/>
      <c r="AQ1475" s="162"/>
      <c r="AR1475" s="710"/>
      <c r="AV1475" s="82"/>
      <c r="AW1475" s="947"/>
      <c r="AX1475" s="947"/>
      <c r="AY1475" s="947"/>
    </row>
    <row r="1476" spans="31:51" x14ac:dyDescent="0.25">
      <c r="AE1476" s="75"/>
      <c r="AF1476" s="82"/>
      <c r="AG1476" s="82"/>
      <c r="AH1476" s="82"/>
      <c r="AI1476" s="82"/>
      <c r="AJ1476" s="166"/>
      <c r="AK1476" s="82"/>
      <c r="AL1476" s="162"/>
      <c r="AM1476" s="162"/>
      <c r="AN1476" s="162"/>
      <c r="AO1476" s="162"/>
      <c r="AP1476" s="162"/>
      <c r="AQ1476" s="162"/>
      <c r="AR1476" s="710"/>
      <c r="AV1476" s="82"/>
      <c r="AW1476" s="947"/>
      <c r="AX1476" s="947"/>
      <c r="AY1476" s="947"/>
    </row>
    <row r="1477" spans="31:51" x14ac:dyDescent="0.25">
      <c r="AE1477" s="75"/>
      <c r="AF1477" s="82"/>
      <c r="AG1477" s="82"/>
      <c r="AH1477" s="82"/>
      <c r="AI1477" s="82"/>
      <c r="AJ1477" s="166"/>
      <c r="AK1477" s="82"/>
      <c r="AL1477" s="162"/>
      <c r="AM1477" s="162"/>
      <c r="AN1477" s="162"/>
      <c r="AO1477" s="162"/>
      <c r="AP1477" s="162"/>
      <c r="AQ1477" s="162"/>
      <c r="AR1477" s="710"/>
      <c r="AV1477" s="82"/>
      <c r="AW1477" s="947"/>
      <c r="AX1477" s="947"/>
      <c r="AY1477" s="947"/>
    </row>
    <row r="1478" spans="31:51" x14ac:dyDescent="0.25">
      <c r="AE1478" s="75"/>
      <c r="AF1478" s="82"/>
      <c r="AG1478" s="82"/>
      <c r="AH1478" s="82"/>
      <c r="AI1478" s="82"/>
      <c r="AJ1478" s="166"/>
      <c r="AK1478" s="82"/>
      <c r="AL1478" s="162"/>
      <c r="AM1478" s="162"/>
      <c r="AN1478" s="162"/>
      <c r="AO1478" s="162"/>
      <c r="AP1478" s="162"/>
      <c r="AQ1478" s="162"/>
      <c r="AR1478" s="710"/>
      <c r="AV1478" s="82"/>
      <c r="AW1478" s="947"/>
      <c r="AX1478" s="947"/>
      <c r="AY1478" s="947"/>
    </row>
    <row r="1479" spans="31:51" x14ac:dyDescent="0.25">
      <c r="AE1479" s="75"/>
      <c r="AF1479" s="82"/>
      <c r="AG1479" s="82"/>
      <c r="AH1479" s="82"/>
      <c r="AI1479" s="82"/>
      <c r="AJ1479" s="166"/>
      <c r="AK1479" s="82"/>
      <c r="AL1479" s="162"/>
      <c r="AM1479" s="162"/>
      <c r="AN1479" s="162"/>
      <c r="AO1479" s="162"/>
      <c r="AP1479" s="162"/>
      <c r="AQ1479" s="162"/>
      <c r="AR1479" s="710"/>
      <c r="AV1479" s="82"/>
      <c r="AW1479" s="947"/>
      <c r="AX1479" s="947"/>
      <c r="AY1479" s="947"/>
    </row>
    <row r="1480" spans="31:51" x14ac:dyDescent="0.25">
      <c r="AE1480" s="75"/>
      <c r="AF1480" s="82"/>
      <c r="AG1480" s="82"/>
      <c r="AH1480" s="82"/>
      <c r="AI1480" s="82"/>
      <c r="AJ1480" s="166"/>
      <c r="AK1480" s="82"/>
      <c r="AL1480" s="162"/>
      <c r="AM1480" s="162"/>
      <c r="AN1480" s="162"/>
      <c r="AO1480" s="162"/>
      <c r="AP1480" s="162"/>
      <c r="AQ1480" s="162"/>
      <c r="AR1480" s="710"/>
      <c r="AV1480" s="82"/>
      <c r="AW1480" s="947"/>
      <c r="AX1480" s="947"/>
      <c r="AY1480" s="947"/>
    </row>
    <row r="1481" spans="31:51" x14ac:dyDescent="0.25">
      <c r="AE1481" s="75"/>
      <c r="AF1481" s="82"/>
      <c r="AG1481" s="82"/>
      <c r="AH1481" s="82"/>
      <c r="AI1481" s="82"/>
      <c r="AJ1481" s="166"/>
      <c r="AK1481" s="82"/>
      <c r="AL1481" s="162"/>
      <c r="AM1481" s="162"/>
      <c r="AN1481" s="162"/>
      <c r="AO1481" s="162"/>
      <c r="AP1481" s="162"/>
      <c r="AQ1481" s="162"/>
      <c r="AR1481" s="710"/>
      <c r="AV1481" s="82"/>
      <c r="AW1481" s="947"/>
      <c r="AX1481" s="947"/>
      <c r="AY1481" s="947"/>
    </row>
    <row r="1482" spans="31:51" x14ac:dyDescent="0.25">
      <c r="AE1482" s="75"/>
      <c r="AF1482" s="82"/>
      <c r="AG1482" s="82"/>
      <c r="AH1482" s="82"/>
      <c r="AI1482" s="82"/>
      <c r="AJ1482" s="166"/>
      <c r="AK1482" s="82"/>
      <c r="AL1482" s="162"/>
      <c r="AM1482" s="162"/>
      <c r="AN1482" s="162"/>
      <c r="AO1482" s="162"/>
      <c r="AP1482" s="162"/>
      <c r="AQ1482" s="162"/>
      <c r="AR1482" s="710"/>
      <c r="AV1482" s="82"/>
      <c r="AW1482" s="947"/>
      <c r="AX1482" s="947"/>
      <c r="AY1482" s="947"/>
    </row>
    <row r="1483" spans="31:51" x14ac:dyDescent="0.25">
      <c r="AE1483" s="75"/>
      <c r="AF1483" s="82"/>
      <c r="AG1483" s="82"/>
      <c r="AH1483" s="82"/>
      <c r="AI1483" s="82"/>
      <c r="AJ1483" s="166"/>
      <c r="AK1483" s="82"/>
      <c r="AL1483" s="162"/>
      <c r="AM1483" s="162"/>
      <c r="AN1483" s="162"/>
      <c r="AO1483" s="162"/>
      <c r="AP1483" s="162"/>
      <c r="AQ1483" s="162"/>
      <c r="AR1483" s="710"/>
      <c r="AV1483" s="82"/>
      <c r="AW1483" s="947"/>
      <c r="AX1483" s="947"/>
      <c r="AY1483" s="947"/>
    </row>
    <row r="1484" spans="31:51" x14ac:dyDescent="0.25">
      <c r="AE1484" s="75"/>
      <c r="AF1484" s="82"/>
      <c r="AG1484" s="82"/>
      <c r="AH1484" s="82"/>
      <c r="AI1484" s="82"/>
      <c r="AJ1484" s="166"/>
      <c r="AK1484" s="82"/>
      <c r="AL1484" s="162"/>
      <c r="AM1484" s="162"/>
      <c r="AN1484" s="162"/>
      <c r="AO1484" s="162"/>
      <c r="AP1484" s="162"/>
      <c r="AQ1484" s="162"/>
      <c r="AR1484" s="710"/>
      <c r="AV1484" s="82"/>
      <c r="AW1484" s="947"/>
      <c r="AX1484" s="947"/>
      <c r="AY1484" s="947"/>
    </row>
    <row r="1485" spans="31:51" x14ac:dyDescent="0.25">
      <c r="AE1485" s="75"/>
      <c r="AF1485" s="82"/>
      <c r="AG1485" s="82"/>
      <c r="AH1485" s="82"/>
      <c r="AI1485" s="82"/>
      <c r="AJ1485" s="166"/>
      <c r="AK1485" s="82"/>
      <c r="AL1485" s="162"/>
      <c r="AM1485" s="162"/>
      <c r="AN1485" s="162"/>
      <c r="AO1485" s="162"/>
      <c r="AP1485" s="162"/>
      <c r="AQ1485" s="162"/>
      <c r="AR1485" s="710"/>
      <c r="AV1485" s="82"/>
      <c r="AW1485" s="947"/>
      <c r="AX1485" s="947"/>
      <c r="AY1485" s="947"/>
    </row>
    <row r="1486" spans="31:51" x14ac:dyDescent="0.25">
      <c r="AE1486" s="75"/>
      <c r="AF1486" s="82"/>
      <c r="AG1486" s="82"/>
      <c r="AH1486" s="82"/>
      <c r="AI1486" s="82"/>
      <c r="AJ1486" s="166"/>
      <c r="AK1486" s="82"/>
      <c r="AL1486" s="162"/>
      <c r="AM1486" s="162"/>
      <c r="AN1486" s="162"/>
      <c r="AO1486" s="162"/>
      <c r="AP1486" s="162"/>
      <c r="AQ1486" s="162"/>
      <c r="AR1486" s="710"/>
      <c r="AV1486" s="82"/>
      <c r="AW1486" s="947"/>
      <c r="AX1486" s="947"/>
      <c r="AY1486" s="947"/>
    </row>
    <row r="1487" spans="31:51" x14ac:dyDescent="0.25">
      <c r="AE1487" s="75"/>
      <c r="AF1487" s="82"/>
      <c r="AG1487" s="82"/>
      <c r="AH1487" s="82"/>
      <c r="AI1487" s="82"/>
      <c r="AJ1487" s="166"/>
      <c r="AK1487" s="82"/>
      <c r="AL1487" s="162"/>
      <c r="AM1487" s="162"/>
      <c r="AN1487" s="162"/>
      <c r="AO1487" s="162"/>
      <c r="AP1487" s="162"/>
      <c r="AQ1487" s="162"/>
      <c r="AR1487" s="710"/>
      <c r="AV1487" s="82"/>
      <c r="AW1487" s="947"/>
      <c r="AX1487" s="947"/>
      <c r="AY1487" s="947"/>
    </row>
    <row r="1488" spans="31:51" x14ac:dyDescent="0.25">
      <c r="AE1488" s="75"/>
      <c r="AF1488" s="82"/>
      <c r="AG1488" s="82"/>
      <c r="AH1488" s="82"/>
      <c r="AI1488" s="82"/>
      <c r="AJ1488" s="166"/>
      <c r="AK1488" s="82"/>
      <c r="AL1488" s="162"/>
      <c r="AM1488" s="162"/>
      <c r="AN1488" s="162"/>
      <c r="AO1488" s="162"/>
      <c r="AP1488" s="162"/>
      <c r="AQ1488" s="162"/>
      <c r="AR1488" s="710"/>
      <c r="AV1488" s="82"/>
      <c r="AW1488" s="947"/>
      <c r="AX1488" s="947"/>
      <c r="AY1488" s="947"/>
    </row>
    <row r="1489" spans="31:51" x14ac:dyDescent="0.25">
      <c r="AE1489" s="75"/>
      <c r="AF1489" s="82"/>
      <c r="AG1489" s="82"/>
      <c r="AH1489" s="82"/>
      <c r="AI1489" s="82"/>
      <c r="AJ1489" s="166"/>
      <c r="AK1489" s="82"/>
      <c r="AL1489" s="162"/>
      <c r="AM1489" s="162"/>
      <c r="AN1489" s="162"/>
      <c r="AO1489" s="162"/>
      <c r="AP1489" s="162"/>
      <c r="AQ1489" s="162"/>
      <c r="AR1489" s="710"/>
      <c r="AV1489" s="82"/>
      <c r="AW1489" s="947"/>
      <c r="AX1489" s="947"/>
      <c r="AY1489" s="947"/>
    </row>
    <row r="1490" spans="31:51" x14ac:dyDescent="0.25">
      <c r="AE1490" s="75"/>
      <c r="AF1490" s="82"/>
      <c r="AG1490" s="82"/>
      <c r="AH1490" s="82"/>
      <c r="AI1490" s="82"/>
      <c r="AJ1490" s="166"/>
      <c r="AK1490" s="82"/>
      <c r="AL1490" s="162"/>
      <c r="AM1490" s="162"/>
      <c r="AN1490" s="162"/>
      <c r="AO1490" s="162"/>
      <c r="AP1490" s="162"/>
      <c r="AQ1490" s="162"/>
      <c r="AR1490" s="710"/>
      <c r="AV1490" s="82"/>
      <c r="AW1490" s="947"/>
      <c r="AX1490" s="947"/>
      <c r="AY1490" s="947"/>
    </row>
    <row r="1491" spans="31:51" x14ac:dyDescent="0.25">
      <c r="AE1491" s="75"/>
      <c r="AF1491" s="82"/>
      <c r="AG1491" s="82"/>
      <c r="AH1491" s="82"/>
      <c r="AI1491" s="82"/>
      <c r="AJ1491" s="166"/>
      <c r="AK1491" s="82"/>
      <c r="AL1491" s="162"/>
      <c r="AM1491" s="162"/>
      <c r="AN1491" s="162"/>
      <c r="AO1491" s="162"/>
      <c r="AP1491" s="162"/>
      <c r="AQ1491" s="162"/>
      <c r="AR1491" s="710"/>
      <c r="AV1491" s="82"/>
      <c r="AW1491" s="947"/>
      <c r="AX1491" s="947"/>
      <c r="AY1491" s="947"/>
    </row>
    <row r="1492" spans="31:51" x14ac:dyDescent="0.25">
      <c r="AE1492" s="75"/>
      <c r="AF1492" s="82"/>
      <c r="AG1492" s="82"/>
      <c r="AH1492" s="82"/>
      <c r="AI1492" s="82"/>
      <c r="AJ1492" s="166"/>
      <c r="AK1492" s="82"/>
      <c r="AL1492" s="162"/>
      <c r="AM1492" s="162"/>
      <c r="AN1492" s="162"/>
      <c r="AO1492" s="162"/>
      <c r="AP1492" s="162"/>
      <c r="AQ1492" s="162"/>
      <c r="AR1492" s="710"/>
      <c r="AV1492" s="82"/>
      <c r="AW1492" s="947"/>
      <c r="AX1492" s="947"/>
      <c r="AY1492" s="947"/>
    </row>
    <row r="1493" spans="31:51" x14ac:dyDescent="0.25">
      <c r="AE1493" s="75"/>
      <c r="AF1493" s="82"/>
      <c r="AG1493" s="82"/>
      <c r="AH1493" s="82"/>
      <c r="AI1493" s="82"/>
      <c r="AJ1493" s="166"/>
      <c r="AK1493" s="82"/>
      <c r="AL1493" s="162"/>
      <c r="AM1493" s="162"/>
      <c r="AN1493" s="162"/>
      <c r="AO1493" s="162"/>
      <c r="AP1493" s="162"/>
      <c r="AQ1493" s="162"/>
      <c r="AR1493" s="710"/>
      <c r="AV1493" s="82"/>
      <c r="AW1493" s="947"/>
      <c r="AX1493" s="947"/>
      <c r="AY1493" s="947"/>
    </row>
    <row r="1494" spans="31:51" x14ac:dyDescent="0.25">
      <c r="AE1494" s="75"/>
      <c r="AF1494" s="82"/>
      <c r="AG1494" s="82"/>
      <c r="AH1494" s="82"/>
      <c r="AI1494" s="82"/>
      <c r="AJ1494" s="166"/>
      <c r="AK1494" s="82"/>
      <c r="AL1494" s="162"/>
      <c r="AM1494" s="162"/>
      <c r="AN1494" s="162"/>
      <c r="AO1494" s="162"/>
      <c r="AP1494" s="162"/>
      <c r="AQ1494" s="162"/>
      <c r="AR1494" s="710"/>
      <c r="AV1494" s="82"/>
      <c r="AW1494" s="947"/>
      <c r="AX1494" s="947"/>
      <c r="AY1494" s="947"/>
    </row>
    <row r="1495" spans="31:51" x14ac:dyDescent="0.25">
      <c r="AE1495" s="75"/>
      <c r="AF1495" s="82"/>
      <c r="AG1495" s="82"/>
      <c r="AH1495" s="82"/>
      <c r="AI1495" s="82"/>
      <c r="AJ1495" s="166"/>
      <c r="AK1495" s="82"/>
      <c r="AL1495" s="162"/>
      <c r="AM1495" s="162"/>
      <c r="AN1495" s="162"/>
      <c r="AO1495" s="162"/>
      <c r="AP1495" s="162"/>
      <c r="AQ1495" s="162"/>
      <c r="AR1495" s="710"/>
      <c r="AV1495" s="82"/>
      <c r="AW1495" s="947"/>
      <c r="AX1495" s="947"/>
      <c r="AY1495" s="947"/>
    </row>
    <row r="1496" spans="31:51" x14ac:dyDescent="0.25">
      <c r="AE1496" s="75"/>
      <c r="AF1496" s="82"/>
      <c r="AG1496" s="82"/>
      <c r="AH1496" s="82"/>
      <c r="AI1496" s="82"/>
      <c r="AJ1496" s="166"/>
      <c r="AK1496" s="82"/>
      <c r="AL1496" s="162"/>
      <c r="AM1496" s="162"/>
      <c r="AN1496" s="162"/>
      <c r="AO1496" s="162"/>
      <c r="AP1496" s="162"/>
      <c r="AQ1496" s="162"/>
      <c r="AR1496" s="710"/>
      <c r="AV1496" s="82"/>
      <c r="AW1496" s="947"/>
      <c r="AX1496" s="947"/>
      <c r="AY1496" s="947"/>
    </row>
    <row r="1497" spans="31:51" x14ac:dyDescent="0.25">
      <c r="AE1497" s="75"/>
      <c r="AF1497" s="82"/>
      <c r="AG1497" s="82"/>
      <c r="AH1497" s="82"/>
      <c r="AI1497" s="82"/>
      <c r="AJ1497" s="166"/>
      <c r="AK1497" s="82"/>
      <c r="AL1497" s="162"/>
      <c r="AM1497" s="162"/>
      <c r="AN1497" s="162"/>
      <c r="AO1497" s="162"/>
      <c r="AP1497" s="162"/>
      <c r="AQ1497" s="162"/>
      <c r="AR1497" s="710"/>
      <c r="AV1497" s="82"/>
      <c r="AW1497" s="947"/>
      <c r="AX1497" s="947"/>
      <c r="AY1497" s="947"/>
    </row>
    <row r="1498" spans="31:51" x14ac:dyDescent="0.25">
      <c r="AE1498" s="75"/>
      <c r="AF1498" s="82"/>
      <c r="AG1498" s="82"/>
      <c r="AH1498" s="82"/>
      <c r="AI1498" s="82"/>
      <c r="AJ1498" s="166"/>
      <c r="AK1498" s="82"/>
      <c r="AL1498" s="162"/>
      <c r="AM1498" s="162"/>
      <c r="AN1498" s="162"/>
      <c r="AO1498" s="162"/>
      <c r="AP1498" s="162"/>
      <c r="AQ1498" s="162"/>
      <c r="AR1498" s="710"/>
      <c r="AV1498" s="82"/>
      <c r="AW1498" s="947"/>
      <c r="AX1498" s="947"/>
      <c r="AY1498" s="947"/>
    </row>
    <row r="1499" spans="31:51" x14ac:dyDescent="0.25">
      <c r="AE1499" s="75"/>
      <c r="AF1499" s="82"/>
      <c r="AG1499" s="82"/>
      <c r="AH1499" s="82"/>
      <c r="AI1499" s="82"/>
      <c r="AJ1499" s="166"/>
      <c r="AK1499" s="82"/>
      <c r="AL1499" s="162"/>
      <c r="AM1499" s="162"/>
      <c r="AN1499" s="162"/>
      <c r="AO1499" s="162"/>
      <c r="AP1499" s="162"/>
      <c r="AQ1499" s="162"/>
      <c r="AR1499" s="710"/>
      <c r="AV1499" s="82"/>
      <c r="AW1499" s="947"/>
      <c r="AX1499" s="947"/>
      <c r="AY1499" s="947"/>
    </row>
    <row r="1500" spans="31:51" x14ac:dyDescent="0.25">
      <c r="AE1500" s="75"/>
      <c r="AF1500" s="82"/>
      <c r="AG1500" s="82"/>
      <c r="AH1500" s="82"/>
      <c r="AI1500" s="82"/>
      <c r="AJ1500" s="166"/>
      <c r="AK1500" s="82"/>
      <c r="AL1500" s="162"/>
      <c r="AM1500" s="162"/>
      <c r="AN1500" s="162"/>
      <c r="AO1500" s="162"/>
      <c r="AP1500" s="162"/>
      <c r="AQ1500" s="162"/>
      <c r="AR1500" s="710"/>
      <c r="AV1500" s="82"/>
      <c r="AW1500" s="947"/>
      <c r="AX1500" s="947"/>
      <c r="AY1500" s="947"/>
    </row>
    <row r="1501" spans="31:51" x14ac:dyDescent="0.25">
      <c r="AE1501" s="75"/>
      <c r="AF1501" s="82"/>
      <c r="AG1501" s="82"/>
      <c r="AH1501" s="82"/>
      <c r="AI1501" s="82"/>
      <c r="AJ1501" s="166"/>
      <c r="AK1501" s="82"/>
      <c r="AL1501" s="162"/>
      <c r="AM1501" s="162"/>
      <c r="AN1501" s="162"/>
      <c r="AO1501" s="162"/>
      <c r="AP1501" s="162"/>
      <c r="AQ1501" s="162"/>
      <c r="AR1501" s="710"/>
      <c r="AV1501" s="82"/>
      <c r="AW1501" s="947"/>
      <c r="AX1501" s="947"/>
      <c r="AY1501" s="947"/>
    </row>
    <row r="1502" spans="31:51" x14ac:dyDescent="0.25">
      <c r="AE1502" s="75"/>
      <c r="AF1502" s="82"/>
      <c r="AG1502" s="82"/>
      <c r="AH1502" s="82"/>
      <c r="AI1502" s="82"/>
      <c r="AJ1502" s="166"/>
      <c r="AK1502" s="82"/>
      <c r="AL1502" s="162"/>
      <c r="AM1502" s="162"/>
      <c r="AN1502" s="162"/>
      <c r="AO1502" s="162"/>
      <c r="AP1502" s="162"/>
      <c r="AQ1502" s="162"/>
      <c r="AR1502" s="710"/>
      <c r="AV1502" s="82"/>
      <c r="AW1502" s="947"/>
      <c r="AX1502" s="947"/>
      <c r="AY1502" s="947"/>
    </row>
    <row r="1503" spans="31:51" x14ac:dyDescent="0.25">
      <c r="AE1503" s="75"/>
      <c r="AF1503" s="82"/>
      <c r="AG1503" s="82"/>
      <c r="AH1503" s="82"/>
      <c r="AI1503" s="82"/>
      <c r="AJ1503" s="166"/>
      <c r="AK1503" s="82"/>
      <c r="AL1503" s="162"/>
      <c r="AM1503" s="162"/>
      <c r="AN1503" s="162"/>
      <c r="AO1503" s="162"/>
      <c r="AP1503" s="162"/>
      <c r="AQ1503" s="162"/>
      <c r="AR1503" s="710"/>
      <c r="AV1503" s="82"/>
      <c r="AW1503" s="947"/>
      <c r="AX1503" s="947"/>
      <c r="AY1503" s="947"/>
    </row>
    <row r="1504" spans="31:51" x14ac:dyDescent="0.25">
      <c r="AE1504" s="75"/>
      <c r="AF1504" s="82"/>
      <c r="AG1504" s="82"/>
      <c r="AH1504" s="82"/>
      <c r="AI1504" s="82"/>
      <c r="AJ1504" s="166"/>
      <c r="AK1504" s="82"/>
      <c r="AL1504" s="162"/>
      <c r="AM1504" s="162"/>
      <c r="AN1504" s="162"/>
      <c r="AO1504" s="162"/>
      <c r="AP1504" s="162"/>
      <c r="AQ1504" s="162"/>
      <c r="AR1504" s="710"/>
      <c r="AV1504" s="82"/>
      <c r="AW1504" s="947"/>
      <c r="AX1504" s="947"/>
      <c r="AY1504" s="947"/>
    </row>
    <row r="1505" spans="31:51" x14ac:dyDescent="0.25">
      <c r="AE1505" s="75"/>
      <c r="AF1505" s="82"/>
      <c r="AG1505" s="82"/>
      <c r="AH1505" s="82"/>
      <c r="AI1505" s="82"/>
      <c r="AJ1505" s="166"/>
      <c r="AK1505" s="82"/>
      <c r="AL1505" s="162"/>
      <c r="AM1505" s="162"/>
      <c r="AN1505" s="162"/>
      <c r="AO1505" s="162"/>
      <c r="AP1505" s="162"/>
      <c r="AQ1505" s="162"/>
      <c r="AR1505" s="710"/>
      <c r="AV1505" s="82"/>
      <c r="AW1505" s="947"/>
      <c r="AX1505" s="947"/>
      <c r="AY1505" s="947"/>
    </row>
    <row r="1506" spans="31:51" x14ac:dyDescent="0.25">
      <c r="AE1506" s="75"/>
      <c r="AF1506" s="82"/>
      <c r="AG1506" s="82"/>
      <c r="AH1506" s="82"/>
      <c r="AI1506" s="82"/>
      <c r="AJ1506" s="166"/>
      <c r="AK1506" s="82"/>
      <c r="AL1506" s="162"/>
      <c r="AM1506" s="162"/>
      <c r="AN1506" s="162"/>
      <c r="AO1506" s="162"/>
      <c r="AP1506" s="162"/>
      <c r="AQ1506" s="162"/>
      <c r="AR1506" s="710"/>
      <c r="AV1506" s="82"/>
      <c r="AW1506" s="947"/>
      <c r="AX1506" s="947"/>
      <c r="AY1506" s="947"/>
    </row>
    <row r="1507" spans="31:51" x14ac:dyDescent="0.25">
      <c r="AE1507" s="75"/>
      <c r="AF1507" s="82"/>
      <c r="AG1507" s="82"/>
      <c r="AH1507" s="82"/>
      <c r="AI1507" s="82"/>
      <c r="AJ1507" s="166"/>
      <c r="AK1507" s="82"/>
      <c r="AL1507" s="162"/>
      <c r="AM1507" s="162"/>
      <c r="AN1507" s="162"/>
      <c r="AO1507" s="162"/>
      <c r="AP1507" s="162"/>
      <c r="AQ1507" s="162"/>
      <c r="AR1507" s="710"/>
      <c r="AV1507" s="82"/>
      <c r="AW1507" s="947"/>
      <c r="AX1507" s="947"/>
      <c r="AY1507" s="947"/>
    </row>
    <row r="1508" spans="31:51" x14ac:dyDescent="0.25">
      <c r="AE1508" s="75"/>
      <c r="AF1508" s="82"/>
      <c r="AG1508" s="82"/>
      <c r="AH1508" s="82"/>
      <c r="AI1508" s="82"/>
      <c r="AJ1508" s="166"/>
      <c r="AK1508" s="82"/>
      <c r="AL1508" s="162"/>
      <c r="AM1508" s="162"/>
      <c r="AN1508" s="162"/>
      <c r="AO1508" s="162"/>
      <c r="AP1508" s="162"/>
      <c r="AQ1508" s="162"/>
      <c r="AR1508" s="710"/>
      <c r="AV1508" s="82"/>
      <c r="AW1508" s="947"/>
      <c r="AX1508" s="947"/>
      <c r="AY1508" s="947"/>
    </row>
    <row r="1509" spans="31:51" x14ac:dyDescent="0.25">
      <c r="AE1509" s="75"/>
      <c r="AF1509" s="82"/>
      <c r="AG1509" s="82"/>
      <c r="AH1509" s="82"/>
      <c r="AI1509" s="82"/>
      <c r="AJ1509" s="166"/>
      <c r="AK1509" s="82"/>
      <c r="AL1509" s="162"/>
      <c r="AM1509" s="162"/>
      <c r="AN1509" s="162"/>
      <c r="AO1509" s="162"/>
      <c r="AP1509" s="162"/>
      <c r="AQ1509" s="162"/>
      <c r="AR1509" s="710"/>
      <c r="AV1509" s="82"/>
      <c r="AW1509" s="947"/>
      <c r="AX1509" s="947"/>
      <c r="AY1509" s="947"/>
    </row>
    <row r="1510" spans="31:51" x14ac:dyDescent="0.25">
      <c r="AE1510" s="75"/>
      <c r="AF1510" s="82"/>
      <c r="AG1510" s="82"/>
      <c r="AH1510" s="82"/>
      <c r="AI1510" s="82"/>
      <c r="AJ1510" s="166"/>
      <c r="AK1510" s="82"/>
      <c r="AL1510" s="162"/>
      <c r="AM1510" s="162"/>
      <c r="AN1510" s="162"/>
      <c r="AO1510" s="162"/>
      <c r="AP1510" s="162"/>
      <c r="AQ1510" s="162"/>
      <c r="AR1510" s="710"/>
      <c r="AV1510" s="82"/>
      <c r="AW1510" s="947"/>
      <c r="AX1510" s="947"/>
      <c r="AY1510" s="947"/>
    </row>
    <row r="1511" spans="31:51" x14ac:dyDescent="0.25">
      <c r="AE1511" s="75"/>
      <c r="AF1511" s="82"/>
      <c r="AG1511" s="82"/>
      <c r="AH1511" s="82"/>
      <c r="AI1511" s="82"/>
      <c r="AJ1511" s="166"/>
      <c r="AK1511" s="82"/>
      <c r="AL1511" s="162"/>
      <c r="AM1511" s="162"/>
      <c r="AN1511" s="162"/>
      <c r="AO1511" s="162"/>
      <c r="AP1511" s="162"/>
      <c r="AQ1511" s="162"/>
      <c r="AR1511" s="710"/>
      <c r="AV1511" s="82"/>
      <c r="AW1511" s="947"/>
      <c r="AX1511" s="947"/>
      <c r="AY1511" s="947"/>
    </row>
    <row r="1512" spans="31:51" x14ac:dyDescent="0.25">
      <c r="AE1512" s="75"/>
      <c r="AF1512" s="82"/>
      <c r="AG1512" s="82"/>
      <c r="AH1512" s="82"/>
      <c r="AI1512" s="82"/>
      <c r="AJ1512" s="166"/>
      <c r="AK1512" s="82"/>
      <c r="AL1512" s="162"/>
      <c r="AM1512" s="162"/>
      <c r="AN1512" s="162"/>
      <c r="AO1512" s="162"/>
      <c r="AP1512" s="162"/>
      <c r="AQ1512" s="162"/>
      <c r="AR1512" s="710"/>
      <c r="AV1512" s="82"/>
      <c r="AW1512" s="947"/>
      <c r="AX1512" s="947"/>
      <c r="AY1512" s="947"/>
    </row>
    <row r="1513" spans="31:51" x14ac:dyDescent="0.25">
      <c r="AE1513" s="75"/>
      <c r="AF1513" s="82"/>
      <c r="AG1513" s="82"/>
      <c r="AH1513" s="82"/>
      <c r="AI1513" s="82"/>
      <c r="AJ1513" s="166"/>
      <c r="AK1513" s="82"/>
      <c r="AL1513" s="162"/>
      <c r="AM1513" s="162"/>
      <c r="AN1513" s="162"/>
      <c r="AO1513" s="162"/>
      <c r="AP1513" s="162"/>
      <c r="AQ1513" s="162"/>
      <c r="AR1513" s="710"/>
      <c r="AV1513" s="82"/>
      <c r="AW1513" s="947"/>
      <c r="AX1513" s="947"/>
      <c r="AY1513" s="947"/>
    </row>
    <row r="1514" spans="31:51" x14ac:dyDescent="0.25">
      <c r="AE1514" s="75"/>
      <c r="AF1514" s="82"/>
      <c r="AG1514" s="82"/>
      <c r="AH1514" s="82"/>
      <c r="AI1514" s="82"/>
      <c r="AJ1514" s="166"/>
      <c r="AK1514" s="82"/>
      <c r="AL1514" s="162"/>
      <c r="AM1514" s="162"/>
      <c r="AN1514" s="162"/>
      <c r="AO1514" s="162"/>
      <c r="AP1514" s="162"/>
      <c r="AQ1514" s="162"/>
      <c r="AR1514" s="710"/>
      <c r="AV1514" s="82"/>
      <c r="AW1514" s="947"/>
      <c r="AX1514" s="947"/>
      <c r="AY1514" s="947"/>
    </row>
    <row r="1515" spans="31:51" x14ac:dyDescent="0.25">
      <c r="AE1515" s="75"/>
      <c r="AF1515" s="82"/>
      <c r="AG1515" s="82"/>
      <c r="AH1515" s="82"/>
      <c r="AI1515" s="82"/>
      <c r="AJ1515" s="166"/>
      <c r="AK1515" s="82"/>
      <c r="AL1515" s="162"/>
      <c r="AM1515" s="162"/>
      <c r="AN1515" s="162"/>
      <c r="AO1515" s="162"/>
      <c r="AP1515" s="162"/>
      <c r="AQ1515" s="162"/>
      <c r="AR1515" s="710"/>
      <c r="AV1515" s="82"/>
      <c r="AW1515" s="947"/>
      <c r="AX1515" s="947"/>
      <c r="AY1515" s="947"/>
    </row>
    <row r="1516" spans="31:51" x14ac:dyDescent="0.25">
      <c r="AE1516" s="75"/>
      <c r="AF1516" s="82"/>
      <c r="AG1516" s="82"/>
      <c r="AH1516" s="82"/>
      <c r="AI1516" s="82"/>
      <c r="AJ1516" s="166"/>
      <c r="AK1516" s="82"/>
      <c r="AL1516" s="162"/>
      <c r="AM1516" s="162"/>
      <c r="AN1516" s="162"/>
      <c r="AO1516" s="162"/>
      <c r="AP1516" s="162"/>
      <c r="AQ1516" s="162"/>
      <c r="AR1516" s="710"/>
      <c r="AV1516" s="82"/>
      <c r="AW1516" s="947"/>
      <c r="AX1516" s="947"/>
      <c r="AY1516" s="947"/>
    </row>
    <row r="1517" spans="31:51" x14ac:dyDescent="0.25">
      <c r="AE1517" s="75"/>
      <c r="AF1517" s="82"/>
      <c r="AG1517" s="82"/>
      <c r="AH1517" s="82"/>
      <c r="AI1517" s="82"/>
      <c r="AJ1517" s="166"/>
      <c r="AK1517" s="82"/>
      <c r="AL1517" s="162"/>
      <c r="AM1517" s="162"/>
      <c r="AN1517" s="162"/>
      <c r="AO1517" s="162"/>
      <c r="AP1517" s="162"/>
      <c r="AQ1517" s="162"/>
      <c r="AR1517" s="710"/>
      <c r="AV1517" s="82"/>
      <c r="AW1517" s="947"/>
      <c r="AX1517" s="947"/>
      <c r="AY1517" s="947"/>
    </row>
    <row r="1518" spans="31:51" x14ac:dyDescent="0.25">
      <c r="AE1518" s="75"/>
      <c r="AF1518" s="82"/>
      <c r="AG1518" s="82"/>
      <c r="AH1518" s="82"/>
      <c r="AI1518" s="82"/>
      <c r="AJ1518" s="166"/>
      <c r="AK1518" s="82"/>
      <c r="AL1518" s="162"/>
      <c r="AM1518" s="162"/>
      <c r="AN1518" s="162"/>
      <c r="AO1518" s="162"/>
      <c r="AP1518" s="162"/>
      <c r="AQ1518" s="162"/>
      <c r="AR1518" s="710"/>
      <c r="AV1518" s="82"/>
      <c r="AW1518" s="947"/>
      <c r="AX1518" s="947"/>
      <c r="AY1518" s="947"/>
    </row>
    <row r="1519" spans="31:51" x14ac:dyDescent="0.25">
      <c r="AE1519" s="75"/>
      <c r="AF1519" s="82"/>
      <c r="AG1519" s="82"/>
      <c r="AH1519" s="82"/>
      <c r="AI1519" s="82"/>
      <c r="AJ1519" s="166"/>
      <c r="AK1519" s="82"/>
      <c r="AL1519" s="162"/>
      <c r="AM1519" s="162"/>
      <c r="AN1519" s="162"/>
      <c r="AO1519" s="162"/>
      <c r="AP1519" s="162"/>
      <c r="AQ1519" s="162"/>
      <c r="AR1519" s="710"/>
      <c r="AV1519" s="82"/>
      <c r="AW1519" s="947"/>
      <c r="AX1519" s="947"/>
      <c r="AY1519" s="947"/>
    </row>
    <row r="1520" spans="31:51" x14ac:dyDescent="0.25">
      <c r="AE1520" s="75"/>
      <c r="AF1520" s="82"/>
      <c r="AG1520" s="82"/>
      <c r="AH1520" s="82"/>
      <c r="AI1520" s="82"/>
      <c r="AJ1520" s="166"/>
      <c r="AK1520" s="82"/>
      <c r="AL1520" s="162"/>
      <c r="AM1520" s="162"/>
      <c r="AN1520" s="162"/>
      <c r="AO1520" s="162"/>
      <c r="AP1520" s="162"/>
      <c r="AQ1520" s="162"/>
      <c r="AR1520" s="710"/>
      <c r="AV1520" s="82"/>
      <c r="AW1520" s="947"/>
      <c r="AX1520" s="947"/>
      <c r="AY1520" s="947"/>
    </row>
    <row r="1521" spans="31:51" x14ac:dyDescent="0.25">
      <c r="AE1521" s="75"/>
      <c r="AF1521" s="82"/>
      <c r="AG1521" s="82"/>
      <c r="AH1521" s="82"/>
      <c r="AI1521" s="82"/>
      <c r="AJ1521" s="166"/>
      <c r="AK1521" s="82"/>
      <c r="AL1521" s="162"/>
      <c r="AM1521" s="162"/>
      <c r="AN1521" s="162"/>
      <c r="AO1521" s="162"/>
      <c r="AP1521" s="162"/>
      <c r="AQ1521" s="162"/>
      <c r="AR1521" s="710"/>
      <c r="AV1521" s="82"/>
      <c r="AW1521" s="947"/>
      <c r="AX1521" s="947"/>
      <c r="AY1521" s="947"/>
    </row>
    <row r="1522" spans="31:51" x14ac:dyDescent="0.25">
      <c r="AE1522" s="75"/>
      <c r="AF1522" s="82"/>
      <c r="AG1522" s="82"/>
      <c r="AH1522" s="82"/>
      <c r="AI1522" s="82"/>
      <c r="AJ1522" s="166"/>
      <c r="AK1522" s="82"/>
      <c r="AL1522" s="162"/>
      <c r="AM1522" s="162"/>
      <c r="AN1522" s="162"/>
      <c r="AO1522" s="162"/>
      <c r="AP1522" s="162"/>
      <c r="AQ1522" s="162"/>
      <c r="AR1522" s="710"/>
      <c r="AV1522" s="82"/>
      <c r="AW1522" s="947"/>
      <c r="AX1522" s="947"/>
      <c r="AY1522" s="947"/>
    </row>
    <row r="1523" spans="31:51" x14ac:dyDescent="0.25">
      <c r="AE1523" s="75"/>
      <c r="AF1523" s="82"/>
      <c r="AG1523" s="82"/>
      <c r="AH1523" s="82"/>
      <c r="AI1523" s="82"/>
      <c r="AJ1523" s="166"/>
      <c r="AK1523" s="82"/>
      <c r="AL1523" s="162"/>
      <c r="AM1523" s="162"/>
      <c r="AN1523" s="162"/>
      <c r="AO1523" s="162"/>
      <c r="AP1523" s="162"/>
      <c r="AQ1523" s="162"/>
      <c r="AR1523" s="710"/>
      <c r="AV1523" s="82"/>
      <c r="AW1523" s="947"/>
      <c r="AX1523" s="947"/>
      <c r="AY1523" s="947"/>
    </row>
    <row r="1524" spans="31:51" x14ac:dyDescent="0.25">
      <c r="AE1524" s="75"/>
      <c r="AF1524" s="82"/>
      <c r="AG1524" s="82"/>
      <c r="AH1524" s="82"/>
      <c r="AI1524" s="82"/>
      <c r="AJ1524" s="166"/>
      <c r="AK1524" s="82"/>
      <c r="AL1524" s="162"/>
      <c r="AM1524" s="162"/>
      <c r="AN1524" s="162"/>
      <c r="AO1524" s="162"/>
      <c r="AP1524" s="162"/>
      <c r="AQ1524" s="162"/>
      <c r="AR1524" s="710"/>
      <c r="AV1524" s="82"/>
      <c r="AW1524" s="947"/>
      <c r="AX1524" s="947"/>
      <c r="AY1524" s="947"/>
    </row>
    <row r="1525" spans="31:51" x14ac:dyDescent="0.25">
      <c r="AE1525" s="75"/>
      <c r="AF1525" s="82"/>
      <c r="AG1525" s="82"/>
      <c r="AH1525" s="82"/>
      <c r="AI1525" s="82"/>
      <c r="AJ1525" s="166"/>
      <c r="AK1525" s="82"/>
      <c r="AL1525" s="162"/>
      <c r="AM1525" s="162"/>
      <c r="AN1525" s="162"/>
      <c r="AO1525" s="162"/>
      <c r="AP1525" s="162"/>
      <c r="AQ1525" s="162"/>
      <c r="AR1525" s="710"/>
      <c r="AV1525" s="82"/>
      <c r="AW1525" s="947"/>
      <c r="AX1525" s="947"/>
      <c r="AY1525" s="947"/>
    </row>
    <row r="1526" spans="31:51" x14ac:dyDescent="0.25">
      <c r="AE1526" s="75"/>
      <c r="AF1526" s="82"/>
      <c r="AG1526" s="82"/>
      <c r="AH1526" s="82"/>
      <c r="AI1526" s="82"/>
      <c r="AJ1526" s="166"/>
      <c r="AK1526" s="82"/>
      <c r="AL1526" s="162"/>
      <c r="AM1526" s="162"/>
      <c r="AN1526" s="162"/>
      <c r="AO1526" s="162"/>
      <c r="AP1526" s="162"/>
      <c r="AQ1526" s="162"/>
      <c r="AR1526" s="710"/>
      <c r="AV1526" s="82"/>
      <c r="AW1526" s="947"/>
      <c r="AX1526" s="947"/>
      <c r="AY1526" s="947"/>
    </row>
    <row r="1527" spans="31:51" x14ac:dyDescent="0.25">
      <c r="AE1527" s="75"/>
      <c r="AF1527" s="82"/>
      <c r="AG1527" s="82"/>
      <c r="AH1527" s="82"/>
      <c r="AI1527" s="82"/>
      <c r="AJ1527" s="166"/>
      <c r="AK1527" s="82"/>
      <c r="AL1527" s="162"/>
      <c r="AM1527" s="162"/>
      <c r="AN1527" s="162"/>
      <c r="AO1527" s="162"/>
      <c r="AP1527" s="162"/>
      <c r="AQ1527" s="162"/>
      <c r="AR1527" s="710"/>
      <c r="AV1527" s="82"/>
      <c r="AW1527" s="947"/>
      <c r="AX1527" s="947"/>
      <c r="AY1527" s="947"/>
    </row>
    <row r="1528" spans="31:51" x14ac:dyDescent="0.25">
      <c r="AE1528" s="75"/>
      <c r="AF1528" s="82"/>
      <c r="AG1528" s="82"/>
      <c r="AH1528" s="82"/>
      <c r="AI1528" s="82"/>
      <c r="AJ1528" s="166"/>
      <c r="AK1528" s="82"/>
      <c r="AL1528" s="162"/>
      <c r="AM1528" s="162"/>
      <c r="AN1528" s="162"/>
      <c r="AO1528" s="162"/>
      <c r="AP1528" s="162"/>
      <c r="AQ1528" s="162"/>
      <c r="AR1528" s="710"/>
      <c r="AV1528" s="82"/>
      <c r="AW1528" s="947"/>
      <c r="AX1528" s="947"/>
      <c r="AY1528" s="947"/>
    </row>
    <row r="1529" spans="31:51" x14ac:dyDescent="0.25">
      <c r="AE1529" s="75"/>
      <c r="AF1529" s="82"/>
      <c r="AG1529" s="82"/>
      <c r="AH1529" s="82"/>
      <c r="AI1529" s="82"/>
      <c r="AJ1529" s="166"/>
      <c r="AK1529" s="82"/>
      <c r="AL1529" s="162"/>
      <c r="AM1529" s="162"/>
      <c r="AN1529" s="162"/>
      <c r="AO1529" s="162"/>
      <c r="AP1529" s="162"/>
      <c r="AQ1529" s="162"/>
      <c r="AR1529" s="710"/>
      <c r="AV1529" s="82"/>
      <c r="AW1529" s="947"/>
      <c r="AX1529" s="947"/>
      <c r="AY1529" s="947"/>
    </row>
    <row r="1530" spans="31:51" x14ac:dyDescent="0.25">
      <c r="AE1530" s="75"/>
      <c r="AF1530" s="82"/>
      <c r="AG1530" s="82"/>
      <c r="AH1530" s="82"/>
      <c r="AI1530" s="82"/>
      <c r="AJ1530" s="166"/>
      <c r="AK1530" s="82"/>
      <c r="AL1530" s="162"/>
      <c r="AM1530" s="162"/>
      <c r="AN1530" s="162"/>
      <c r="AO1530" s="162"/>
      <c r="AP1530" s="162"/>
      <c r="AQ1530" s="162"/>
      <c r="AR1530" s="710"/>
      <c r="AV1530" s="82"/>
      <c r="AW1530" s="947"/>
      <c r="AX1530" s="947"/>
      <c r="AY1530" s="947"/>
    </row>
    <row r="1531" spans="31:51" x14ac:dyDescent="0.25">
      <c r="AE1531" s="75"/>
      <c r="AF1531" s="82"/>
      <c r="AG1531" s="82"/>
      <c r="AH1531" s="82"/>
      <c r="AI1531" s="82"/>
      <c r="AJ1531" s="166"/>
      <c r="AK1531" s="82"/>
      <c r="AL1531" s="162"/>
      <c r="AM1531" s="162"/>
      <c r="AN1531" s="162"/>
      <c r="AO1531" s="162"/>
      <c r="AP1531" s="162"/>
      <c r="AQ1531" s="162"/>
      <c r="AR1531" s="710"/>
      <c r="AV1531" s="82"/>
      <c r="AW1531" s="947"/>
      <c r="AX1531" s="947"/>
      <c r="AY1531" s="947"/>
    </row>
    <row r="1532" spans="31:51" x14ac:dyDescent="0.25">
      <c r="AE1532" s="75"/>
      <c r="AF1532" s="82"/>
      <c r="AG1532" s="82"/>
      <c r="AH1532" s="82"/>
      <c r="AI1532" s="82"/>
      <c r="AJ1532" s="166"/>
      <c r="AK1532" s="82"/>
      <c r="AL1532" s="162"/>
      <c r="AM1532" s="162"/>
      <c r="AN1532" s="162"/>
      <c r="AO1532" s="162"/>
      <c r="AP1532" s="162"/>
      <c r="AQ1532" s="162"/>
      <c r="AR1532" s="710"/>
      <c r="AV1532" s="82"/>
      <c r="AW1532" s="947"/>
      <c r="AX1532" s="947"/>
      <c r="AY1532" s="947"/>
    </row>
    <row r="1533" spans="31:51" x14ac:dyDescent="0.25">
      <c r="AE1533" s="75"/>
      <c r="AF1533" s="82"/>
      <c r="AG1533" s="82"/>
      <c r="AH1533" s="82"/>
      <c r="AI1533" s="82"/>
      <c r="AJ1533" s="166"/>
      <c r="AK1533" s="82"/>
      <c r="AL1533" s="162"/>
      <c r="AM1533" s="162"/>
      <c r="AN1533" s="162"/>
      <c r="AO1533" s="162"/>
      <c r="AP1533" s="162"/>
      <c r="AQ1533" s="162"/>
      <c r="AR1533" s="710"/>
      <c r="AV1533" s="82"/>
      <c r="AW1533" s="947"/>
      <c r="AX1533" s="947"/>
      <c r="AY1533" s="947"/>
    </row>
    <row r="1534" spans="31:51" x14ac:dyDescent="0.25">
      <c r="AE1534" s="75"/>
      <c r="AF1534" s="82"/>
      <c r="AG1534" s="82"/>
      <c r="AH1534" s="82"/>
      <c r="AI1534" s="82"/>
      <c r="AJ1534" s="166"/>
      <c r="AK1534" s="82"/>
      <c r="AL1534" s="162"/>
      <c r="AM1534" s="162"/>
      <c r="AN1534" s="162"/>
      <c r="AO1534" s="162"/>
      <c r="AP1534" s="162"/>
      <c r="AQ1534" s="162"/>
      <c r="AR1534" s="710"/>
      <c r="AV1534" s="82"/>
      <c r="AW1534" s="947"/>
      <c r="AX1534" s="947"/>
      <c r="AY1534" s="947"/>
    </row>
    <row r="1535" spans="31:51" x14ac:dyDescent="0.25">
      <c r="AE1535" s="75"/>
      <c r="AF1535" s="82"/>
      <c r="AG1535" s="82"/>
      <c r="AH1535" s="82"/>
      <c r="AI1535" s="82"/>
      <c r="AJ1535" s="166"/>
      <c r="AK1535" s="82"/>
      <c r="AL1535" s="162"/>
      <c r="AM1535" s="162"/>
      <c r="AN1535" s="162"/>
      <c r="AO1535" s="162"/>
      <c r="AP1535" s="162"/>
      <c r="AQ1535" s="162"/>
      <c r="AR1535" s="710"/>
      <c r="AV1535" s="82"/>
      <c r="AW1535" s="947"/>
      <c r="AX1535" s="947"/>
      <c r="AY1535" s="947"/>
    </row>
    <row r="1536" spans="31:51" x14ac:dyDescent="0.25">
      <c r="AE1536" s="75"/>
      <c r="AF1536" s="82"/>
      <c r="AG1536" s="82"/>
      <c r="AH1536" s="82"/>
      <c r="AI1536" s="82"/>
      <c r="AJ1536" s="166"/>
      <c r="AK1536" s="82"/>
      <c r="AL1536" s="162"/>
      <c r="AM1536" s="162"/>
      <c r="AN1536" s="162"/>
      <c r="AO1536" s="162"/>
      <c r="AP1536" s="162"/>
      <c r="AQ1536" s="162"/>
      <c r="AR1536" s="710"/>
      <c r="AV1536" s="82"/>
      <c r="AW1536" s="947"/>
      <c r="AX1536" s="947"/>
      <c r="AY1536" s="947"/>
    </row>
    <row r="1537" spans="31:51" x14ac:dyDescent="0.25">
      <c r="AE1537" s="75"/>
      <c r="AF1537" s="82"/>
      <c r="AG1537" s="82"/>
      <c r="AH1537" s="82"/>
      <c r="AI1537" s="82"/>
      <c r="AJ1537" s="166"/>
      <c r="AK1537" s="82"/>
      <c r="AL1537" s="162"/>
      <c r="AM1537" s="162"/>
      <c r="AN1537" s="162"/>
      <c r="AO1537" s="162"/>
      <c r="AP1537" s="162"/>
      <c r="AQ1537" s="162"/>
      <c r="AR1537" s="710"/>
      <c r="AV1537" s="82"/>
      <c r="AW1537" s="947"/>
      <c r="AX1537" s="947"/>
      <c r="AY1537" s="947"/>
    </row>
    <row r="1538" spans="31:51" x14ac:dyDescent="0.25">
      <c r="AE1538" s="75"/>
      <c r="AF1538" s="82"/>
      <c r="AG1538" s="82"/>
      <c r="AH1538" s="82"/>
      <c r="AI1538" s="82"/>
      <c r="AJ1538" s="166"/>
      <c r="AK1538" s="82"/>
      <c r="AL1538" s="162"/>
      <c r="AM1538" s="162"/>
      <c r="AN1538" s="162"/>
      <c r="AO1538" s="162"/>
      <c r="AP1538" s="162"/>
      <c r="AQ1538" s="162"/>
      <c r="AR1538" s="710"/>
      <c r="AV1538" s="82"/>
      <c r="AW1538" s="947"/>
      <c r="AX1538" s="947"/>
      <c r="AY1538" s="947"/>
    </row>
    <row r="1539" spans="31:51" x14ac:dyDescent="0.25">
      <c r="AE1539" s="75"/>
      <c r="AF1539" s="82"/>
      <c r="AG1539" s="82"/>
      <c r="AH1539" s="82"/>
      <c r="AI1539" s="82"/>
      <c r="AJ1539" s="166"/>
      <c r="AK1539" s="82"/>
      <c r="AL1539" s="162"/>
      <c r="AM1539" s="162"/>
      <c r="AN1539" s="162"/>
      <c r="AO1539" s="162"/>
      <c r="AP1539" s="162"/>
      <c r="AQ1539" s="162"/>
      <c r="AR1539" s="710"/>
      <c r="AV1539" s="82"/>
      <c r="AW1539" s="947"/>
      <c r="AX1539" s="947"/>
      <c r="AY1539" s="947"/>
    </row>
    <row r="1540" spans="31:51" x14ac:dyDescent="0.25">
      <c r="AE1540" s="75"/>
      <c r="AF1540" s="82"/>
      <c r="AG1540" s="82"/>
      <c r="AH1540" s="82"/>
      <c r="AI1540" s="82"/>
      <c r="AJ1540" s="166"/>
      <c r="AK1540" s="82"/>
      <c r="AL1540" s="162"/>
      <c r="AM1540" s="162"/>
      <c r="AN1540" s="162"/>
      <c r="AO1540" s="162"/>
      <c r="AP1540" s="162"/>
      <c r="AQ1540" s="162"/>
      <c r="AR1540" s="710"/>
      <c r="AV1540" s="82"/>
      <c r="AW1540" s="947"/>
      <c r="AX1540" s="947"/>
      <c r="AY1540" s="947"/>
    </row>
    <row r="1541" spans="31:51" x14ac:dyDescent="0.25">
      <c r="AE1541" s="75"/>
      <c r="AF1541" s="82"/>
      <c r="AG1541" s="82"/>
      <c r="AH1541" s="82"/>
      <c r="AI1541" s="82"/>
      <c r="AJ1541" s="166"/>
      <c r="AK1541" s="82"/>
      <c r="AL1541" s="162"/>
      <c r="AM1541" s="162"/>
      <c r="AN1541" s="162"/>
      <c r="AO1541" s="162"/>
      <c r="AP1541" s="162"/>
      <c r="AQ1541" s="162"/>
      <c r="AR1541" s="710"/>
      <c r="AV1541" s="82"/>
      <c r="AW1541" s="947"/>
      <c r="AX1541" s="947"/>
      <c r="AY1541" s="947"/>
    </row>
    <row r="1542" spans="31:51" x14ac:dyDescent="0.25">
      <c r="AE1542" s="75"/>
      <c r="AF1542" s="82"/>
      <c r="AG1542" s="82"/>
      <c r="AH1542" s="82"/>
      <c r="AI1542" s="82"/>
      <c r="AJ1542" s="166"/>
      <c r="AK1542" s="82"/>
      <c r="AL1542" s="162"/>
      <c r="AM1542" s="162"/>
      <c r="AN1542" s="162"/>
      <c r="AO1542" s="162"/>
      <c r="AP1542" s="162"/>
      <c r="AQ1542" s="162"/>
      <c r="AR1542" s="710"/>
      <c r="AV1542" s="82"/>
      <c r="AW1542" s="947"/>
      <c r="AX1542" s="947"/>
      <c r="AY1542" s="947"/>
    </row>
    <row r="1543" spans="31:51" x14ac:dyDescent="0.25">
      <c r="AE1543" s="75"/>
      <c r="AF1543" s="82"/>
      <c r="AG1543" s="82"/>
      <c r="AH1543" s="82"/>
      <c r="AI1543" s="82"/>
      <c r="AJ1543" s="166"/>
      <c r="AK1543" s="82"/>
      <c r="AL1543" s="162"/>
      <c r="AM1543" s="162"/>
      <c r="AN1543" s="162"/>
      <c r="AO1543" s="162"/>
      <c r="AP1543" s="162"/>
      <c r="AQ1543" s="162"/>
      <c r="AR1543" s="710"/>
      <c r="AV1543" s="82"/>
      <c r="AW1543" s="947"/>
      <c r="AX1543" s="947"/>
      <c r="AY1543" s="947"/>
    </row>
    <row r="1544" spans="31:51" x14ac:dyDescent="0.25">
      <c r="AE1544" s="75"/>
      <c r="AF1544" s="82"/>
      <c r="AG1544" s="82"/>
      <c r="AH1544" s="82"/>
      <c r="AI1544" s="82"/>
      <c r="AJ1544" s="166"/>
      <c r="AK1544" s="82"/>
      <c r="AL1544" s="162"/>
      <c r="AM1544" s="162"/>
      <c r="AN1544" s="162"/>
      <c r="AO1544" s="162"/>
      <c r="AP1544" s="162"/>
      <c r="AQ1544" s="162"/>
      <c r="AR1544" s="710"/>
      <c r="AV1544" s="82"/>
      <c r="AW1544" s="947"/>
      <c r="AX1544" s="947"/>
      <c r="AY1544" s="947"/>
    </row>
    <row r="1545" spans="31:51" x14ac:dyDescent="0.25">
      <c r="AE1545" s="75"/>
      <c r="AF1545" s="82"/>
      <c r="AG1545" s="82"/>
      <c r="AH1545" s="82"/>
      <c r="AI1545" s="82"/>
      <c r="AJ1545" s="166"/>
      <c r="AK1545" s="82"/>
      <c r="AL1545" s="162"/>
      <c r="AM1545" s="162"/>
      <c r="AN1545" s="162"/>
      <c r="AO1545" s="162"/>
      <c r="AP1545" s="162"/>
      <c r="AQ1545" s="162"/>
      <c r="AR1545" s="710"/>
      <c r="AV1545" s="82"/>
      <c r="AW1545" s="947"/>
      <c r="AX1545" s="947"/>
      <c r="AY1545" s="947"/>
    </row>
    <row r="1546" spans="31:51" x14ac:dyDescent="0.25">
      <c r="AE1546" s="75"/>
      <c r="AF1546" s="82"/>
      <c r="AG1546" s="82"/>
      <c r="AH1546" s="82"/>
      <c r="AI1546" s="82"/>
      <c r="AJ1546" s="166"/>
      <c r="AK1546" s="82"/>
      <c r="AL1546" s="162"/>
      <c r="AM1546" s="162"/>
      <c r="AN1546" s="162"/>
      <c r="AO1546" s="162"/>
      <c r="AP1546" s="162"/>
      <c r="AQ1546" s="162"/>
      <c r="AR1546" s="710"/>
      <c r="AV1546" s="82"/>
      <c r="AW1546" s="947"/>
      <c r="AX1546" s="947"/>
      <c r="AY1546" s="947"/>
    </row>
    <row r="1547" spans="31:51" x14ac:dyDescent="0.25">
      <c r="AE1547" s="75"/>
      <c r="AF1547" s="82"/>
      <c r="AG1547" s="82"/>
      <c r="AH1547" s="82"/>
      <c r="AI1547" s="82"/>
      <c r="AJ1547" s="166"/>
      <c r="AK1547" s="82"/>
      <c r="AL1547" s="162"/>
      <c r="AM1547" s="162"/>
      <c r="AN1547" s="162"/>
      <c r="AO1547" s="162"/>
      <c r="AP1547" s="162"/>
      <c r="AQ1547" s="162"/>
      <c r="AR1547" s="710"/>
      <c r="AV1547" s="82"/>
      <c r="AW1547" s="947"/>
      <c r="AX1547" s="947"/>
      <c r="AY1547" s="947"/>
    </row>
    <row r="1548" spans="31:51" x14ac:dyDescent="0.25">
      <c r="AE1548" s="75"/>
      <c r="AF1548" s="82"/>
      <c r="AG1548" s="82"/>
      <c r="AH1548" s="82"/>
      <c r="AI1548" s="82"/>
      <c r="AJ1548" s="166"/>
      <c r="AK1548" s="82"/>
      <c r="AL1548" s="162"/>
      <c r="AM1548" s="162"/>
      <c r="AN1548" s="162"/>
      <c r="AO1548" s="162"/>
      <c r="AP1548" s="162"/>
      <c r="AQ1548" s="162"/>
      <c r="AR1548" s="710"/>
      <c r="AV1548" s="82"/>
      <c r="AW1548" s="947"/>
      <c r="AX1548" s="947"/>
      <c r="AY1548" s="947"/>
    </row>
    <row r="1549" spans="31:51" x14ac:dyDescent="0.25">
      <c r="AE1549" s="75"/>
      <c r="AF1549" s="82"/>
      <c r="AG1549" s="82"/>
      <c r="AH1549" s="82"/>
      <c r="AI1549" s="82"/>
      <c r="AJ1549" s="166"/>
      <c r="AK1549" s="82"/>
      <c r="AL1549" s="162"/>
      <c r="AM1549" s="162"/>
      <c r="AN1549" s="162"/>
      <c r="AO1549" s="162"/>
      <c r="AP1549" s="162"/>
      <c r="AQ1549" s="162"/>
      <c r="AR1549" s="710"/>
      <c r="AV1549" s="82"/>
      <c r="AW1549" s="947"/>
      <c r="AX1549" s="947"/>
      <c r="AY1549" s="947"/>
    </row>
    <row r="1550" spans="31:51" x14ac:dyDescent="0.25">
      <c r="AE1550" s="75"/>
      <c r="AF1550" s="82"/>
      <c r="AG1550" s="82"/>
      <c r="AH1550" s="82"/>
      <c r="AI1550" s="82"/>
      <c r="AJ1550" s="166"/>
      <c r="AK1550" s="82"/>
      <c r="AL1550" s="162"/>
      <c r="AM1550" s="162"/>
      <c r="AN1550" s="162"/>
      <c r="AO1550" s="162"/>
      <c r="AP1550" s="162"/>
      <c r="AQ1550" s="162"/>
      <c r="AR1550" s="710"/>
      <c r="AV1550" s="82"/>
      <c r="AW1550" s="947"/>
      <c r="AX1550" s="947"/>
      <c r="AY1550" s="947"/>
    </row>
    <row r="1551" spans="31:51" x14ac:dyDescent="0.25">
      <c r="AE1551" s="75"/>
      <c r="AF1551" s="82"/>
      <c r="AG1551" s="82"/>
      <c r="AH1551" s="82"/>
      <c r="AI1551" s="82"/>
      <c r="AJ1551" s="166"/>
      <c r="AK1551" s="82"/>
      <c r="AL1551" s="162"/>
      <c r="AM1551" s="162"/>
      <c r="AN1551" s="162"/>
      <c r="AO1551" s="162"/>
      <c r="AP1551" s="162"/>
      <c r="AQ1551" s="162"/>
      <c r="AR1551" s="710"/>
      <c r="AV1551" s="82"/>
      <c r="AW1551" s="947"/>
      <c r="AX1551" s="947"/>
      <c r="AY1551" s="947"/>
    </row>
    <row r="1552" spans="31:51" x14ac:dyDescent="0.25">
      <c r="AE1552" s="75"/>
      <c r="AF1552" s="82"/>
      <c r="AG1552" s="82"/>
      <c r="AH1552" s="82"/>
      <c r="AI1552" s="82"/>
      <c r="AJ1552" s="166"/>
      <c r="AK1552" s="82"/>
      <c r="AL1552" s="162"/>
      <c r="AM1552" s="162"/>
      <c r="AN1552" s="162"/>
      <c r="AO1552" s="162"/>
      <c r="AP1552" s="162"/>
      <c r="AQ1552" s="162"/>
      <c r="AR1552" s="710"/>
      <c r="AV1552" s="82"/>
      <c r="AW1552" s="947"/>
      <c r="AX1552" s="947"/>
      <c r="AY1552" s="947"/>
    </row>
    <row r="1553" spans="31:51" x14ac:dyDescent="0.25">
      <c r="AE1553" s="75"/>
      <c r="AF1553" s="82"/>
      <c r="AG1553" s="82"/>
      <c r="AH1553" s="82"/>
      <c r="AI1553" s="82"/>
      <c r="AJ1553" s="166"/>
      <c r="AK1553" s="82"/>
      <c r="AL1553" s="162"/>
      <c r="AM1553" s="162"/>
      <c r="AN1553" s="162"/>
      <c r="AO1553" s="162"/>
      <c r="AP1553" s="162"/>
      <c r="AQ1553" s="162"/>
      <c r="AR1553" s="710"/>
      <c r="AV1553" s="82"/>
      <c r="AW1553" s="947"/>
      <c r="AX1553" s="947"/>
      <c r="AY1553" s="947"/>
    </row>
    <row r="1554" spans="31:51" x14ac:dyDescent="0.25">
      <c r="AE1554" s="75"/>
      <c r="AF1554" s="82"/>
      <c r="AG1554" s="82"/>
      <c r="AH1554" s="82"/>
      <c r="AI1554" s="82"/>
      <c r="AJ1554" s="166"/>
      <c r="AK1554" s="82"/>
      <c r="AL1554" s="162"/>
      <c r="AM1554" s="162"/>
      <c r="AN1554" s="162"/>
      <c r="AO1554" s="162"/>
      <c r="AP1554" s="162"/>
      <c r="AQ1554" s="162"/>
      <c r="AR1554" s="710"/>
      <c r="AV1554" s="82"/>
      <c r="AW1554" s="947"/>
      <c r="AX1554" s="947"/>
      <c r="AY1554" s="947"/>
    </row>
    <row r="1555" spans="31:51" x14ac:dyDescent="0.25">
      <c r="AE1555" s="75"/>
      <c r="AF1555" s="82"/>
      <c r="AG1555" s="82"/>
      <c r="AH1555" s="82"/>
      <c r="AI1555" s="82"/>
      <c r="AJ1555" s="166"/>
      <c r="AK1555" s="82"/>
      <c r="AL1555" s="162"/>
      <c r="AM1555" s="162"/>
      <c r="AN1555" s="162"/>
      <c r="AO1555" s="162"/>
      <c r="AP1555" s="162"/>
      <c r="AQ1555" s="162"/>
      <c r="AR1555" s="710"/>
      <c r="AV1555" s="82"/>
      <c r="AW1555" s="947"/>
      <c r="AX1555" s="947"/>
      <c r="AY1555" s="947"/>
    </row>
    <row r="1556" spans="31:51" x14ac:dyDescent="0.25">
      <c r="AE1556" s="75"/>
      <c r="AF1556" s="82"/>
      <c r="AG1556" s="82"/>
      <c r="AH1556" s="82"/>
      <c r="AI1556" s="82"/>
      <c r="AJ1556" s="166"/>
      <c r="AK1556" s="82"/>
      <c r="AL1556" s="162"/>
      <c r="AM1556" s="162"/>
      <c r="AN1556" s="162"/>
      <c r="AO1556" s="162"/>
      <c r="AP1556" s="162"/>
      <c r="AQ1556" s="162"/>
      <c r="AR1556" s="710"/>
      <c r="AV1556" s="82"/>
      <c r="AW1556" s="947"/>
      <c r="AX1556" s="947"/>
      <c r="AY1556" s="947"/>
    </row>
    <row r="1557" spans="31:51" x14ac:dyDescent="0.25">
      <c r="AE1557" s="75"/>
      <c r="AF1557" s="82"/>
      <c r="AG1557" s="82"/>
      <c r="AH1557" s="82"/>
      <c r="AI1557" s="82"/>
      <c r="AJ1557" s="166"/>
      <c r="AK1557" s="82"/>
      <c r="AL1557" s="162"/>
      <c r="AM1557" s="162"/>
      <c r="AN1557" s="162"/>
      <c r="AO1557" s="162"/>
      <c r="AP1557" s="162"/>
      <c r="AQ1557" s="162"/>
      <c r="AR1557" s="710"/>
      <c r="AV1557" s="82"/>
      <c r="AW1557" s="947"/>
      <c r="AX1557" s="947"/>
      <c r="AY1557" s="947"/>
    </row>
    <row r="1558" spans="31:51" x14ac:dyDescent="0.25">
      <c r="AE1558" s="75"/>
      <c r="AF1558" s="82"/>
      <c r="AG1558" s="82"/>
      <c r="AH1558" s="82"/>
      <c r="AI1558" s="82"/>
      <c r="AJ1558" s="166"/>
      <c r="AK1558" s="82"/>
      <c r="AL1558" s="162"/>
      <c r="AM1558" s="162"/>
      <c r="AN1558" s="162"/>
      <c r="AO1558" s="162"/>
      <c r="AP1558" s="162"/>
      <c r="AQ1558" s="162"/>
      <c r="AR1558" s="710"/>
      <c r="AV1558" s="82"/>
      <c r="AW1558" s="947"/>
      <c r="AX1558" s="947"/>
      <c r="AY1558" s="947"/>
    </row>
    <row r="1559" spans="31:51" x14ac:dyDescent="0.25">
      <c r="AE1559" s="75"/>
      <c r="AF1559" s="82"/>
      <c r="AG1559" s="82"/>
      <c r="AH1559" s="82"/>
      <c r="AI1559" s="82"/>
      <c r="AJ1559" s="166"/>
      <c r="AK1559" s="82"/>
      <c r="AL1559" s="162"/>
      <c r="AM1559" s="162"/>
      <c r="AN1559" s="162"/>
      <c r="AO1559" s="162"/>
      <c r="AP1559" s="162"/>
      <c r="AQ1559" s="162"/>
      <c r="AR1559" s="710"/>
      <c r="AV1559" s="82"/>
      <c r="AW1559" s="947"/>
      <c r="AX1559" s="947"/>
      <c r="AY1559" s="947"/>
    </row>
    <row r="1560" spans="31:51" x14ac:dyDescent="0.25">
      <c r="AE1560" s="75"/>
      <c r="AF1560" s="82"/>
      <c r="AG1560" s="82"/>
      <c r="AH1560" s="82"/>
      <c r="AI1560" s="82"/>
      <c r="AJ1560" s="166"/>
      <c r="AK1560" s="82"/>
      <c r="AL1560" s="162"/>
      <c r="AM1560" s="162"/>
      <c r="AN1560" s="162"/>
      <c r="AO1560" s="162"/>
      <c r="AP1560" s="162"/>
      <c r="AQ1560" s="162"/>
      <c r="AR1560" s="710"/>
      <c r="AV1560" s="82"/>
      <c r="AW1560" s="947"/>
      <c r="AX1560" s="947"/>
      <c r="AY1560" s="947"/>
    </row>
    <row r="1561" spans="31:51" x14ac:dyDescent="0.25">
      <c r="AE1561" s="75"/>
      <c r="AF1561" s="82"/>
      <c r="AG1561" s="82"/>
      <c r="AH1561" s="82"/>
      <c r="AI1561" s="82"/>
      <c r="AJ1561" s="166"/>
      <c r="AK1561" s="82"/>
      <c r="AL1561" s="162"/>
      <c r="AM1561" s="162"/>
      <c r="AN1561" s="162"/>
      <c r="AO1561" s="162"/>
      <c r="AP1561" s="162"/>
      <c r="AQ1561" s="162"/>
      <c r="AR1561" s="710"/>
      <c r="AV1561" s="82"/>
      <c r="AW1561" s="947"/>
      <c r="AX1561" s="947"/>
      <c r="AY1561" s="947"/>
    </row>
    <row r="1562" spans="31:51" x14ac:dyDescent="0.25">
      <c r="AE1562" s="75"/>
      <c r="AF1562" s="82"/>
      <c r="AG1562" s="82"/>
      <c r="AH1562" s="82"/>
      <c r="AI1562" s="82"/>
      <c r="AJ1562" s="166"/>
      <c r="AK1562" s="82"/>
      <c r="AL1562" s="162"/>
      <c r="AM1562" s="162"/>
      <c r="AN1562" s="162"/>
      <c r="AO1562" s="162"/>
      <c r="AP1562" s="162"/>
      <c r="AQ1562" s="162"/>
      <c r="AR1562" s="710"/>
      <c r="AV1562" s="82"/>
      <c r="AW1562" s="947"/>
      <c r="AX1562" s="947"/>
      <c r="AY1562" s="947"/>
    </row>
    <row r="1563" spans="31:51" x14ac:dyDescent="0.25">
      <c r="AE1563" s="75"/>
      <c r="AF1563" s="82"/>
      <c r="AG1563" s="82"/>
      <c r="AH1563" s="82"/>
      <c r="AI1563" s="82"/>
      <c r="AJ1563" s="166"/>
      <c r="AK1563" s="82"/>
      <c r="AL1563" s="162"/>
      <c r="AM1563" s="162"/>
      <c r="AN1563" s="162"/>
      <c r="AO1563" s="162"/>
      <c r="AP1563" s="162"/>
      <c r="AQ1563" s="162"/>
      <c r="AR1563" s="710"/>
      <c r="AV1563" s="82"/>
      <c r="AW1563" s="947"/>
      <c r="AX1563" s="947"/>
      <c r="AY1563" s="947"/>
    </row>
    <row r="1564" spans="31:51" x14ac:dyDescent="0.25">
      <c r="AE1564" s="75"/>
      <c r="AF1564" s="82"/>
      <c r="AG1564" s="82"/>
      <c r="AH1564" s="82"/>
      <c r="AI1564" s="82"/>
      <c r="AJ1564" s="166"/>
      <c r="AK1564" s="82"/>
      <c r="AL1564" s="162"/>
      <c r="AM1564" s="162"/>
      <c r="AN1564" s="162"/>
      <c r="AO1564" s="162"/>
      <c r="AP1564" s="162"/>
      <c r="AQ1564" s="162"/>
      <c r="AR1564" s="710"/>
      <c r="AV1564" s="82"/>
      <c r="AW1564" s="947"/>
      <c r="AX1564" s="947"/>
      <c r="AY1564" s="947"/>
    </row>
    <row r="1565" spans="31:51" x14ac:dyDescent="0.25">
      <c r="AE1565" s="75"/>
      <c r="AF1565" s="82"/>
      <c r="AG1565" s="82"/>
      <c r="AH1565" s="82"/>
      <c r="AI1565" s="82"/>
      <c r="AJ1565" s="166"/>
      <c r="AK1565" s="82"/>
      <c r="AL1565" s="162"/>
      <c r="AM1565" s="162"/>
      <c r="AN1565" s="162"/>
      <c r="AO1565" s="162"/>
      <c r="AP1565" s="162"/>
      <c r="AQ1565" s="162"/>
      <c r="AR1565" s="710"/>
      <c r="AV1565" s="82"/>
      <c r="AW1565" s="947"/>
      <c r="AX1565" s="947"/>
      <c r="AY1565" s="947"/>
    </row>
    <row r="1566" spans="31:51" x14ac:dyDescent="0.25">
      <c r="AE1566" s="75"/>
      <c r="AF1566" s="82"/>
      <c r="AG1566" s="82"/>
      <c r="AH1566" s="82"/>
      <c r="AI1566" s="82"/>
      <c r="AJ1566" s="166"/>
      <c r="AK1566" s="82"/>
      <c r="AL1566" s="162"/>
      <c r="AM1566" s="162"/>
      <c r="AN1566" s="162"/>
      <c r="AO1566" s="162"/>
      <c r="AP1566" s="162"/>
      <c r="AQ1566" s="162"/>
      <c r="AR1566" s="710"/>
      <c r="AV1566" s="82"/>
      <c r="AW1566" s="947"/>
      <c r="AX1566" s="947"/>
      <c r="AY1566" s="947"/>
    </row>
    <row r="1567" spans="31:51" x14ac:dyDescent="0.25">
      <c r="AE1567" s="75"/>
      <c r="AF1567" s="82"/>
      <c r="AG1567" s="82"/>
      <c r="AH1567" s="82"/>
      <c r="AI1567" s="82"/>
      <c r="AJ1567" s="166"/>
      <c r="AK1567" s="82"/>
      <c r="AL1567" s="162"/>
      <c r="AM1567" s="162"/>
      <c r="AN1567" s="162"/>
      <c r="AO1567" s="162"/>
      <c r="AP1567" s="162"/>
      <c r="AQ1567" s="162"/>
      <c r="AR1567" s="710"/>
      <c r="AV1567" s="82"/>
      <c r="AW1567" s="947"/>
      <c r="AX1567" s="947"/>
      <c r="AY1567" s="947"/>
    </row>
    <row r="1568" spans="31:51" x14ac:dyDescent="0.25">
      <c r="AE1568" s="75"/>
      <c r="AF1568" s="82"/>
      <c r="AG1568" s="82"/>
      <c r="AH1568" s="82"/>
      <c r="AI1568" s="82"/>
      <c r="AJ1568" s="166"/>
      <c r="AK1568" s="82"/>
      <c r="AL1568" s="162"/>
      <c r="AM1568" s="162"/>
      <c r="AN1568" s="162"/>
      <c r="AO1568" s="162"/>
      <c r="AP1568" s="162"/>
      <c r="AQ1568" s="162"/>
      <c r="AR1568" s="710"/>
      <c r="AV1568" s="82"/>
      <c r="AW1568" s="947"/>
      <c r="AX1568" s="947"/>
      <c r="AY1568" s="947"/>
    </row>
    <row r="1569" spans="31:51" x14ac:dyDescent="0.25">
      <c r="AE1569" s="75"/>
      <c r="AF1569" s="82"/>
      <c r="AG1569" s="82"/>
      <c r="AH1569" s="82"/>
      <c r="AI1569" s="82"/>
      <c r="AJ1569" s="166"/>
      <c r="AK1569" s="82"/>
      <c r="AL1569" s="162"/>
      <c r="AM1569" s="162"/>
      <c r="AN1569" s="162"/>
      <c r="AO1569" s="162"/>
      <c r="AP1569" s="162"/>
      <c r="AQ1569" s="162"/>
      <c r="AR1569" s="710"/>
      <c r="AV1569" s="82"/>
      <c r="AW1569" s="947"/>
      <c r="AX1569" s="947"/>
      <c r="AY1569" s="947"/>
    </row>
    <row r="1570" spans="31:51" x14ac:dyDescent="0.25">
      <c r="AE1570" s="75"/>
      <c r="AF1570" s="82"/>
      <c r="AG1570" s="82"/>
      <c r="AH1570" s="82"/>
      <c r="AI1570" s="82"/>
      <c r="AJ1570" s="166"/>
      <c r="AK1570" s="82"/>
      <c r="AL1570" s="162"/>
      <c r="AM1570" s="162"/>
      <c r="AN1570" s="162"/>
      <c r="AO1570" s="162"/>
      <c r="AP1570" s="162"/>
      <c r="AQ1570" s="162"/>
      <c r="AR1570" s="710"/>
      <c r="AV1570" s="82"/>
      <c r="AW1570" s="947"/>
      <c r="AX1570" s="947"/>
      <c r="AY1570" s="947"/>
    </row>
    <row r="1571" spans="31:51" x14ac:dyDescent="0.25">
      <c r="AE1571" s="75"/>
      <c r="AF1571" s="82"/>
      <c r="AG1571" s="82"/>
      <c r="AH1571" s="82"/>
      <c r="AI1571" s="82"/>
      <c r="AJ1571" s="166"/>
      <c r="AK1571" s="82"/>
      <c r="AL1571" s="162"/>
      <c r="AM1571" s="162"/>
      <c r="AN1571" s="162"/>
      <c r="AO1571" s="162"/>
      <c r="AP1571" s="162"/>
      <c r="AQ1571" s="162"/>
      <c r="AR1571" s="710"/>
      <c r="AV1571" s="82"/>
      <c r="AW1571" s="947"/>
      <c r="AX1571" s="947"/>
      <c r="AY1571" s="947"/>
    </row>
    <row r="1572" spans="31:51" x14ac:dyDescent="0.25">
      <c r="AE1572" s="75"/>
      <c r="AF1572" s="82"/>
      <c r="AG1572" s="82"/>
      <c r="AH1572" s="82"/>
      <c r="AI1572" s="82"/>
      <c r="AJ1572" s="166"/>
      <c r="AK1572" s="82"/>
      <c r="AL1572" s="162"/>
      <c r="AM1572" s="162"/>
      <c r="AN1572" s="162"/>
      <c r="AO1572" s="162"/>
      <c r="AP1572" s="162"/>
      <c r="AQ1572" s="162"/>
      <c r="AR1572" s="710"/>
      <c r="AV1572" s="82"/>
      <c r="AW1572" s="947"/>
      <c r="AX1572" s="947"/>
      <c r="AY1572" s="947"/>
    </row>
    <row r="1573" spans="31:51" x14ac:dyDescent="0.25">
      <c r="AE1573" s="75"/>
      <c r="AF1573" s="82"/>
      <c r="AG1573" s="82"/>
      <c r="AH1573" s="82"/>
      <c r="AI1573" s="82"/>
      <c r="AJ1573" s="166"/>
      <c r="AK1573" s="82"/>
      <c r="AL1573" s="162"/>
      <c r="AM1573" s="162"/>
      <c r="AN1573" s="162"/>
      <c r="AO1573" s="162"/>
      <c r="AP1573" s="162"/>
      <c r="AQ1573" s="162"/>
      <c r="AR1573" s="710"/>
      <c r="AV1573" s="82"/>
      <c r="AW1573" s="947"/>
      <c r="AX1573" s="947"/>
      <c r="AY1573" s="947"/>
    </row>
    <row r="1574" spans="31:51" x14ac:dyDescent="0.25">
      <c r="AE1574" s="75"/>
      <c r="AF1574" s="82"/>
      <c r="AG1574" s="82"/>
      <c r="AH1574" s="82"/>
      <c r="AI1574" s="82"/>
      <c r="AJ1574" s="166"/>
      <c r="AK1574" s="82"/>
      <c r="AL1574" s="162"/>
      <c r="AM1574" s="162"/>
      <c r="AN1574" s="162"/>
      <c r="AO1574" s="162"/>
      <c r="AP1574" s="162"/>
      <c r="AQ1574" s="162"/>
      <c r="AR1574" s="710"/>
      <c r="AV1574" s="82"/>
      <c r="AW1574" s="947"/>
      <c r="AX1574" s="947"/>
      <c r="AY1574" s="947"/>
    </row>
    <row r="1575" spans="31:51" x14ac:dyDescent="0.25">
      <c r="AE1575" s="75"/>
      <c r="AF1575" s="82"/>
      <c r="AG1575" s="82"/>
      <c r="AH1575" s="82"/>
      <c r="AI1575" s="82"/>
      <c r="AJ1575" s="166"/>
      <c r="AK1575" s="82"/>
      <c r="AL1575" s="162"/>
      <c r="AM1575" s="162"/>
      <c r="AN1575" s="162"/>
      <c r="AO1575" s="162"/>
      <c r="AP1575" s="162"/>
      <c r="AQ1575" s="162"/>
      <c r="AR1575" s="710"/>
      <c r="AV1575" s="82"/>
      <c r="AW1575" s="947"/>
      <c r="AX1575" s="947"/>
      <c r="AY1575" s="947"/>
    </row>
    <row r="1576" spans="31:51" x14ac:dyDescent="0.25">
      <c r="AE1576" s="75"/>
      <c r="AF1576" s="82"/>
      <c r="AG1576" s="82"/>
      <c r="AH1576" s="82"/>
      <c r="AI1576" s="82"/>
      <c r="AJ1576" s="166"/>
      <c r="AK1576" s="82"/>
      <c r="AL1576" s="162"/>
      <c r="AM1576" s="162"/>
      <c r="AN1576" s="162"/>
      <c r="AO1576" s="162"/>
      <c r="AP1576" s="162"/>
      <c r="AQ1576" s="162"/>
      <c r="AR1576" s="710"/>
      <c r="AV1576" s="82"/>
      <c r="AW1576" s="947"/>
      <c r="AX1576" s="947"/>
      <c r="AY1576" s="947"/>
    </row>
    <row r="1577" spans="31:51" x14ac:dyDescent="0.25">
      <c r="AE1577" s="75"/>
      <c r="AF1577" s="82"/>
      <c r="AG1577" s="82"/>
      <c r="AH1577" s="82"/>
      <c r="AI1577" s="82"/>
      <c r="AJ1577" s="166"/>
      <c r="AK1577" s="82"/>
      <c r="AL1577" s="162"/>
      <c r="AM1577" s="162"/>
      <c r="AN1577" s="162"/>
      <c r="AO1577" s="162"/>
      <c r="AP1577" s="162"/>
      <c r="AQ1577" s="162"/>
      <c r="AR1577" s="710"/>
      <c r="AV1577" s="82"/>
      <c r="AW1577" s="947"/>
      <c r="AX1577" s="947"/>
      <c r="AY1577" s="947"/>
    </row>
    <row r="1578" spans="31:51" x14ac:dyDescent="0.25">
      <c r="AE1578" s="75"/>
      <c r="AF1578" s="82"/>
      <c r="AG1578" s="82"/>
      <c r="AH1578" s="82"/>
      <c r="AI1578" s="82"/>
      <c r="AJ1578" s="166"/>
      <c r="AK1578" s="82"/>
      <c r="AL1578" s="162"/>
      <c r="AM1578" s="162"/>
      <c r="AN1578" s="162"/>
      <c r="AO1578" s="162"/>
      <c r="AP1578" s="162"/>
      <c r="AQ1578" s="162"/>
      <c r="AR1578" s="710"/>
      <c r="AV1578" s="82"/>
      <c r="AW1578" s="947"/>
      <c r="AX1578" s="947"/>
      <c r="AY1578" s="947"/>
    </row>
    <row r="1579" spans="31:51" x14ac:dyDescent="0.25">
      <c r="AE1579" s="75"/>
      <c r="AF1579" s="82"/>
      <c r="AG1579" s="82"/>
      <c r="AH1579" s="82"/>
      <c r="AI1579" s="82"/>
      <c r="AJ1579" s="166"/>
      <c r="AK1579" s="82"/>
      <c r="AL1579" s="162"/>
      <c r="AM1579" s="162"/>
      <c r="AN1579" s="162"/>
      <c r="AO1579" s="162"/>
      <c r="AP1579" s="162"/>
      <c r="AQ1579" s="162"/>
      <c r="AR1579" s="710"/>
      <c r="AV1579" s="82"/>
      <c r="AW1579" s="947"/>
      <c r="AX1579" s="947"/>
      <c r="AY1579" s="947"/>
    </row>
    <row r="1580" spans="31:51" x14ac:dyDescent="0.25">
      <c r="AE1580" s="75"/>
      <c r="AF1580" s="82"/>
      <c r="AG1580" s="82"/>
      <c r="AH1580" s="82"/>
      <c r="AI1580" s="82"/>
      <c r="AJ1580" s="166"/>
      <c r="AK1580" s="82"/>
      <c r="AL1580" s="162"/>
      <c r="AM1580" s="162"/>
      <c r="AN1580" s="162"/>
      <c r="AO1580" s="162"/>
      <c r="AP1580" s="162"/>
      <c r="AQ1580" s="162"/>
      <c r="AR1580" s="710"/>
      <c r="AV1580" s="82"/>
      <c r="AW1580" s="947"/>
      <c r="AX1580" s="947"/>
      <c r="AY1580" s="947"/>
    </row>
    <row r="1581" spans="31:51" x14ac:dyDescent="0.25">
      <c r="AE1581" s="75"/>
      <c r="AF1581" s="82"/>
      <c r="AG1581" s="82"/>
      <c r="AH1581" s="82"/>
      <c r="AI1581" s="82"/>
      <c r="AJ1581" s="166"/>
      <c r="AK1581" s="82"/>
      <c r="AL1581" s="162"/>
      <c r="AM1581" s="162"/>
      <c r="AN1581" s="162"/>
      <c r="AO1581" s="162"/>
      <c r="AP1581" s="162"/>
      <c r="AQ1581" s="162"/>
      <c r="AR1581" s="710"/>
      <c r="AV1581" s="82"/>
      <c r="AW1581" s="947"/>
      <c r="AX1581" s="947"/>
      <c r="AY1581" s="947"/>
    </row>
    <row r="1582" spans="31:51" x14ac:dyDescent="0.25">
      <c r="AE1582" s="75"/>
      <c r="AF1582" s="82"/>
      <c r="AG1582" s="82"/>
      <c r="AH1582" s="82"/>
      <c r="AI1582" s="82"/>
      <c r="AJ1582" s="166"/>
      <c r="AK1582" s="82"/>
      <c r="AL1582" s="162"/>
      <c r="AM1582" s="162"/>
      <c r="AN1582" s="162"/>
      <c r="AO1582" s="162"/>
      <c r="AP1582" s="162"/>
      <c r="AQ1582" s="162"/>
      <c r="AR1582" s="710"/>
      <c r="AV1582" s="82"/>
      <c r="AW1582" s="947"/>
      <c r="AX1582" s="947"/>
      <c r="AY1582" s="947"/>
    </row>
    <row r="1583" spans="31:51" x14ac:dyDescent="0.25">
      <c r="AE1583" s="75"/>
      <c r="AF1583" s="82"/>
      <c r="AG1583" s="82"/>
      <c r="AH1583" s="82"/>
      <c r="AI1583" s="82"/>
      <c r="AJ1583" s="166"/>
      <c r="AK1583" s="82"/>
      <c r="AL1583" s="162"/>
      <c r="AM1583" s="162"/>
      <c r="AN1583" s="162"/>
      <c r="AO1583" s="162"/>
      <c r="AP1583" s="162"/>
      <c r="AQ1583" s="162"/>
      <c r="AR1583" s="710"/>
      <c r="AV1583" s="82"/>
      <c r="AW1583" s="947"/>
      <c r="AX1583" s="947"/>
      <c r="AY1583" s="947"/>
    </row>
    <row r="1584" spans="31:51" x14ac:dyDescent="0.25">
      <c r="AE1584" s="75"/>
      <c r="AF1584" s="82"/>
      <c r="AG1584" s="82"/>
      <c r="AH1584" s="82"/>
      <c r="AI1584" s="82"/>
      <c r="AJ1584" s="166"/>
      <c r="AK1584" s="82"/>
      <c r="AL1584" s="162"/>
      <c r="AM1584" s="162"/>
      <c r="AN1584" s="162"/>
      <c r="AO1584" s="162"/>
      <c r="AP1584" s="162"/>
      <c r="AQ1584" s="162"/>
      <c r="AR1584" s="710"/>
      <c r="AV1584" s="82"/>
      <c r="AW1584" s="947"/>
      <c r="AX1584" s="947"/>
      <c r="AY1584" s="947"/>
    </row>
    <row r="1585" spans="31:51" x14ac:dyDescent="0.25">
      <c r="AE1585" s="75"/>
      <c r="AF1585" s="82"/>
      <c r="AG1585" s="82"/>
      <c r="AH1585" s="82"/>
      <c r="AI1585" s="82"/>
      <c r="AJ1585" s="166"/>
      <c r="AK1585" s="82"/>
      <c r="AL1585" s="162"/>
      <c r="AM1585" s="162"/>
      <c r="AN1585" s="162"/>
      <c r="AO1585" s="162"/>
      <c r="AP1585" s="162"/>
      <c r="AQ1585" s="162"/>
      <c r="AR1585" s="710"/>
      <c r="AV1585" s="82"/>
      <c r="AW1585" s="947"/>
      <c r="AX1585" s="947"/>
      <c r="AY1585" s="947"/>
    </row>
    <row r="1586" spans="31:51" x14ac:dyDescent="0.25">
      <c r="AE1586" s="75"/>
      <c r="AF1586" s="82"/>
      <c r="AG1586" s="82"/>
      <c r="AH1586" s="82"/>
      <c r="AI1586" s="82"/>
      <c r="AJ1586" s="166"/>
      <c r="AK1586" s="82"/>
      <c r="AL1586" s="162"/>
      <c r="AM1586" s="162"/>
      <c r="AN1586" s="162"/>
      <c r="AO1586" s="162"/>
      <c r="AP1586" s="162"/>
      <c r="AQ1586" s="162"/>
      <c r="AR1586" s="710"/>
      <c r="AV1586" s="82"/>
      <c r="AW1586" s="947"/>
      <c r="AX1586" s="947"/>
      <c r="AY1586" s="947"/>
    </row>
    <row r="1587" spans="31:51" x14ac:dyDescent="0.25">
      <c r="AE1587" s="75"/>
      <c r="AF1587" s="82"/>
      <c r="AG1587" s="82"/>
      <c r="AH1587" s="82"/>
      <c r="AI1587" s="82"/>
      <c r="AJ1587" s="166"/>
      <c r="AK1587" s="82"/>
      <c r="AL1587" s="162"/>
      <c r="AM1587" s="162"/>
      <c r="AN1587" s="162"/>
      <c r="AO1587" s="162"/>
      <c r="AP1587" s="162"/>
      <c r="AQ1587" s="162"/>
      <c r="AR1587" s="710"/>
      <c r="AV1587" s="82"/>
      <c r="AW1587" s="947"/>
      <c r="AX1587" s="947"/>
      <c r="AY1587" s="947"/>
    </row>
    <row r="1588" spans="31:51" x14ac:dyDescent="0.25">
      <c r="AE1588" s="75"/>
      <c r="AF1588" s="82"/>
      <c r="AG1588" s="82"/>
      <c r="AH1588" s="82"/>
      <c r="AI1588" s="82"/>
      <c r="AJ1588" s="166"/>
      <c r="AK1588" s="82"/>
      <c r="AL1588" s="162"/>
      <c r="AM1588" s="162"/>
      <c r="AN1588" s="162"/>
      <c r="AO1588" s="162"/>
      <c r="AP1588" s="162"/>
      <c r="AQ1588" s="162"/>
      <c r="AR1588" s="710"/>
      <c r="AV1588" s="82"/>
      <c r="AW1588" s="947"/>
      <c r="AX1588" s="947"/>
      <c r="AY1588" s="947"/>
    </row>
    <row r="1589" spans="31:51" x14ac:dyDescent="0.25">
      <c r="AE1589" s="75"/>
      <c r="AF1589" s="82"/>
      <c r="AG1589" s="82"/>
      <c r="AH1589" s="82"/>
      <c r="AI1589" s="82"/>
      <c r="AJ1589" s="166"/>
      <c r="AK1589" s="82"/>
      <c r="AL1589" s="162"/>
      <c r="AM1589" s="162"/>
      <c r="AN1589" s="162"/>
      <c r="AO1589" s="162"/>
      <c r="AP1589" s="162"/>
      <c r="AQ1589" s="162"/>
      <c r="AR1589" s="710"/>
      <c r="AV1589" s="82"/>
      <c r="AW1589" s="947"/>
      <c r="AX1589" s="947"/>
      <c r="AY1589" s="947"/>
    </row>
    <row r="1590" spans="31:51" x14ac:dyDescent="0.25">
      <c r="AE1590" s="75"/>
      <c r="AF1590" s="82"/>
      <c r="AG1590" s="82"/>
      <c r="AH1590" s="82"/>
      <c r="AI1590" s="82"/>
      <c r="AJ1590" s="166"/>
      <c r="AK1590" s="82"/>
      <c r="AL1590" s="162"/>
      <c r="AM1590" s="162"/>
      <c r="AN1590" s="162"/>
      <c r="AO1590" s="162"/>
      <c r="AP1590" s="162"/>
      <c r="AQ1590" s="162"/>
      <c r="AR1590" s="710"/>
      <c r="AV1590" s="82"/>
      <c r="AW1590" s="947"/>
      <c r="AX1590" s="947"/>
      <c r="AY1590" s="947"/>
    </row>
    <row r="1591" spans="31:51" x14ac:dyDescent="0.25">
      <c r="AE1591" s="75"/>
      <c r="AF1591" s="82"/>
      <c r="AG1591" s="82"/>
      <c r="AH1591" s="82"/>
      <c r="AI1591" s="82"/>
      <c r="AJ1591" s="166"/>
      <c r="AK1591" s="82"/>
      <c r="AL1591" s="162"/>
      <c r="AM1591" s="162"/>
      <c r="AN1591" s="162"/>
      <c r="AO1591" s="162"/>
      <c r="AP1591" s="162"/>
      <c r="AQ1591" s="162"/>
      <c r="AR1591" s="710"/>
      <c r="AV1591" s="82"/>
      <c r="AW1591" s="947"/>
      <c r="AX1591" s="947"/>
      <c r="AY1591" s="947"/>
    </row>
    <row r="1592" spans="31:51" x14ac:dyDescent="0.25">
      <c r="AE1592" s="75"/>
      <c r="AF1592" s="82"/>
      <c r="AG1592" s="82"/>
      <c r="AH1592" s="82"/>
      <c r="AI1592" s="82"/>
      <c r="AJ1592" s="166"/>
      <c r="AK1592" s="82"/>
      <c r="AL1592" s="162"/>
      <c r="AM1592" s="162"/>
      <c r="AN1592" s="162"/>
      <c r="AO1592" s="162"/>
      <c r="AP1592" s="162"/>
      <c r="AQ1592" s="162"/>
      <c r="AR1592" s="710"/>
      <c r="AV1592" s="82"/>
      <c r="AW1592" s="947"/>
      <c r="AX1592" s="947"/>
      <c r="AY1592" s="947"/>
    </row>
    <row r="1593" spans="31:51" x14ac:dyDescent="0.25">
      <c r="AE1593" s="75"/>
      <c r="AF1593" s="82"/>
      <c r="AG1593" s="82"/>
      <c r="AH1593" s="82"/>
      <c r="AI1593" s="82"/>
      <c r="AJ1593" s="166"/>
      <c r="AK1593" s="82"/>
      <c r="AL1593" s="162"/>
      <c r="AM1593" s="162"/>
      <c r="AN1593" s="162"/>
      <c r="AO1593" s="162"/>
      <c r="AP1593" s="162"/>
      <c r="AQ1593" s="162"/>
      <c r="AR1593" s="710"/>
      <c r="AV1593" s="82"/>
      <c r="AW1593" s="947"/>
      <c r="AX1593" s="947"/>
      <c r="AY1593" s="947"/>
    </row>
    <row r="1594" spans="31:51" x14ac:dyDescent="0.25">
      <c r="AE1594" s="75"/>
      <c r="AF1594" s="82"/>
      <c r="AG1594" s="82"/>
      <c r="AH1594" s="82"/>
      <c r="AI1594" s="82"/>
      <c r="AJ1594" s="166"/>
      <c r="AK1594" s="82"/>
      <c r="AL1594" s="162"/>
      <c r="AM1594" s="162"/>
      <c r="AN1594" s="162"/>
      <c r="AO1594" s="162"/>
      <c r="AP1594" s="162"/>
      <c r="AQ1594" s="162"/>
      <c r="AR1594" s="710"/>
      <c r="AV1594" s="82"/>
      <c r="AW1594" s="947"/>
      <c r="AX1594" s="947"/>
      <c r="AY1594" s="947"/>
    </row>
    <row r="1595" spans="31:51" x14ac:dyDescent="0.25">
      <c r="AE1595" s="75"/>
      <c r="AF1595" s="82"/>
      <c r="AG1595" s="82"/>
      <c r="AH1595" s="82"/>
      <c r="AI1595" s="82"/>
      <c r="AJ1595" s="166"/>
      <c r="AK1595" s="82"/>
      <c r="AL1595" s="162"/>
      <c r="AM1595" s="162"/>
      <c r="AN1595" s="162"/>
      <c r="AO1595" s="162"/>
      <c r="AP1595" s="162"/>
      <c r="AQ1595" s="162"/>
      <c r="AR1595" s="710"/>
      <c r="AV1595" s="82"/>
      <c r="AW1595" s="947"/>
      <c r="AX1595" s="947"/>
      <c r="AY1595" s="947"/>
    </row>
    <row r="1596" spans="31:51" x14ac:dyDescent="0.25">
      <c r="AE1596" s="75"/>
      <c r="AF1596" s="82"/>
      <c r="AG1596" s="82"/>
      <c r="AH1596" s="82"/>
      <c r="AI1596" s="82"/>
      <c r="AJ1596" s="166"/>
      <c r="AK1596" s="82"/>
      <c r="AL1596" s="162"/>
      <c r="AM1596" s="162"/>
      <c r="AN1596" s="162"/>
      <c r="AO1596" s="162"/>
      <c r="AP1596" s="162"/>
      <c r="AQ1596" s="162"/>
      <c r="AR1596" s="710"/>
      <c r="AV1596" s="82"/>
      <c r="AW1596" s="947"/>
      <c r="AX1596" s="947"/>
      <c r="AY1596" s="947"/>
    </row>
    <row r="1597" spans="31:51" x14ac:dyDescent="0.25">
      <c r="AE1597" s="75"/>
      <c r="AF1597" s="82"/>
      <c r="AG1597" s="82"/>
      <c r="AH1597" s="82"/>
      <c r="AI1597" s="82"/>
      <c r="AJ1597" s="166"/>
      <c r="AK1597" s="82"/>
      <c r="AL1597" s="162"/>
      <c r="AM1597" s="162"/>
      <c r="AN1597" s="162"/>
      <c r="AO1597" s="162"/>
      <c r="AP1597" s="162"/>
      <c r="AQ1597" s="162"/>
      <c r="AR1597" s="710"/>
      <c r="AV1597" s="82"/>
      <c r="AW1597" s="947"/>
      <c r="AX1597" s="947"/>
      <c r="AY1597" s="947"/>
    </row>
    <row r="1598" spans="31:51" x14ac:dyDescent="0.25">
      <c r="AE1598" s="75"/>
      <c r="AF1598" s="82"/>
      <c r="AG1598" s="82"/>
      <c r="AH1598" s="82"/>
      <c r="AI1598" s="82"/>
      <c r="AJ1598" s="166"/>
      <c r="AK1598" s="82"/>
      <c r="AL1598" s="162"/>
      <c r="AM1598" s="162"/>
      <c r="AN1598" s="162"/>
      <c r="AO1598" s="162"/>
      <c r="AP1598" s="162"/>
      <c r="AQ1598" s="162"/>
      <c r="AR1598" s="710"/>
      <c r="AV1598" s="82"/>
      <c r="AW1598" s="947"/>
      <c r="AX1598" s="947"/>
      <c r="AY1598" s="947"/>
    </row>
    <row r="1599" spans="31:51" x14ac:dyDescent="0.25">
      <c r="AE1599" s="75"/>
      <c r="AF1599" s="82"/>
      <c r="AG1599" s="82"/>
      <c r="AH1599" s="82"/>
      <c r="AI1599" s="82"/>
      <c r="AJ1599" s="166"/>
      <c r="AK1599" s="82"/>
      <c r="AL1599" s="162"/>
      <c r="AM1599" s="162"/>
      <c r="AN1599" s="162"/>
      <c r="AO1599" s="162"/>
      <c r="AP1599" s="162"/>
      <c r="AQ1599" s="162"/>
      <c r="AR1599" s="710"/>
      <c r="AV1599" s="82"/>
      <c r="AW1599" s="947"/>
      <c r="AX1599" s="947"/>
      <c r="AY1599" s="947"/>
    </row>
    <row r="1600" spans="31:51" x14ac:dyDescent="0.25">
      <c r="AE1600" s="75"/>
      <c r="AF1600" s="82"/>
      <c r="AG1600" s="82"/>
      <c r="AH1600" s="82"/>
      <c r="AI1600" s="82"/>
      <c r="AJ1600" s="166"/>
      <c r="AK1600" s="82"/>
      <c r="AL1600" s="162"/>
      <c r="AM1600" s="162"/>
      <c r="AN1600" s="162"/>
      <c r="AO1600" s="162"/>
      <c r="AP1600" s="162"/>
      <c r="AQ1600" s="162"/>
      <c r="AR1600" s="710"/>
      <c r="AV1600" s="82"/>
      <c r="AW1600" s="947"/>
      <c r="AX1600" s="947"/>
      <c r="AY1600" s="947"/>
    </row>
    <row r="1601" spans="31:51" x14ac:dyDescent="0.25">
      <c r="AE1601" s="75"/>
      <c r="AF1601" s="82"/>
      <c r="AG1601" s="82"/>
      <c r="AH1601" s="82"/>
      <c r="AI1601" s="82"/>
      <c r="AJ1601" s="166"/>
      <c r="AK1601" s="82"/>
      <c r="AL1601" s="162"/>
      <c r="AM1601" s="162"/>
      <c r="AN1601" s="162"/>
      <c r="AO1601" s="162"/>
      <c r="AP1601" s="162"/>
      <c r="AQ1601" s="162"/>
      <c r="AR1601" s="710"/>
      <c r="AV1601" s="82"/>
      <c r="AW1601" s="947"/>
      <c r="AX1601" s="947"/>
      <c r="AY1601" s="947"/>
    </row>
    <row r="1602" spans="31:51" x14ac:dyDescent="0.25">
      <c r="AE1602" s="75"/>
      <c r="AF1602" s="82"/>
      <c r="AG1602" s="82"/>
      <c r="AH1602" s="82"/>
      <c r="AI1602" s="82"/>
      <c r="AJ1602" s="166"/>
      <c r="AK1602" s="82"/>
      <c r="AL1602" s="162"/>
      <c r="AM1602" s="162"/>
      <c r="AN1602" s="162"/>
      <c r="AO1602" s="162"/>
      <c r="AP1602" s="162"/>
      <c r="AQ1602" s="162"/>
      <c r="AR1602" s="710"/>
      <c r="AV1602" s="82"/>
      <c r="AW1602" s="947"/>
      <c r="AX1602" s="947"/>
      <c r="AY1602" s="947"/>
    </row>
    <row r="1603" spans="31:51" x14ac:dyDescent="0.25">
      <c r="AE1603" s="75"/>
      <c r="AF1603" s="82"/>
      <c r="AG1603" s="82"/>
      <c r="AH1603" s="82"/>
      <c r="AI1603" s="82"/>
      <c r="AJ1603" s="166"/>
      <c r="AK1603" s="82"/>
      <c r="AL1603" s="162"/>
      <c r="AM1603" s="162"/>
      <c r="AN1603" s="162"/>
      <c r="AO1603" s="162"/>
      <c r="AP1603" s="162"/>
      <c r="AQ1603" s="162"/>
      <c r="AR1603" s="710"/>
      <c r="AV1603" s="82"/>
      <c r="AW1603" s="947"/>
      <c r="AX1603" s="947"/>
      <c r="AY1603" s="947"/>
    </row>
    <row r="1604" spans="31:51" x14ac:dyDescent="0.25">
      <c r="AE1604" s="75"/>
      <c r="AF1604" s="82"/>
      <c r="AG1604" s="82"/>
      <c r="AH1604" s="82"/>
      <c r="AI1604" s="82"/>
      <c r="AJ1604" s="166"/>
      <c r="AK1604" s="82"/>
      <c r="AL1604" s="162"/>
      <c r="AM1604" s="162"/>
      <c r="AN1604" s="162"/>
      <c r="AO1604" s="162"/>
      <c r="AP1604" s="162"/>
      <c r="AQ1604" s="162"/>
      <c r="AR1604" s="710"/>
      <c r="AV1604" s="82"/>
      <c r="AW1604" s="947"/>
      <c r="AX1604" s="947"/>
      <c r="AY1604" s="947"/>
    </row>
    <row r="1605" spans="31:51" x14ac:dyDescent="0.25">
      <c r="AE1605" s="75"/>
      <c r="AF1605" s="82"/>
      <c r="AG1605" s="82"/>
      <c r="AH1605" s="82"/>
      <c r="AI1605" s="82"/>
      <c r="AJ1605" s="166"/>
      <c r="AK1605" s="82"/>
      <c r="AL1605" s="162"/>
      <c r="AM1605" s="162"/>
      <c r="AN1605" s="162"/>
      <c r="AO1605" s="162"/>
      <c r="AP1605" s="162"/>
      <c r="AQ1605" s="162"/>
      <c r="AR1605" s="710"/>
      <c r="AV1605" s="82"/>
      <c r="AW1605" s="947"/>
      <c r="AX1605" s="947"/>
      <c r="AY1605" s="947"/>
    </row>
    <row r="1606" spans="31:51" x14ac:dyDescent="0.25">
      <c r="AE1606" s="75"/>
      <c r="AF1606" s="82"/>
      <c r="AG1606" s="82"/>
      <c r="AH1606" s="82"/>
      <c r="AI1606" s="82"/>
      <c r="AJ1606" s="166"/>
      <c r="AK1606" s="82"/>
      <c r="AL1606" s="162"/>
      <c r="AM1606" s="162"/>
      <c r="AN1606" s="162"/>
      <c r="AO1606" s="162"/>
      <c r="AP1606" s="162"/>
      <c r="AQ1606" s="162"/>
      <c r="AR1606" s="710"/>
      <c r="AV1606" s="82"/>
      <c r="AW1606" s="947"/>
      <c r="AX1606" s="947"/>
      <c r="AY1606" s="947"/>
    </row>
    <row r="1607" spans="31:51" x14ac:dyDescent="0.25">
      <c r="AE1607" s="75"/>
      <c r="AF1607" s="82"/>
      <c r="AG1607" s="82"/>
      <c r="AH1607" s="82"/>
      <c r="AI1607" s="82"/>
      <c r="AJ1607" s="166"/>
      <c r="AK1607" s="82"/>
      <c r="AL1607" s="162"/>
      <c r="AM1607" s="162"/>
      <c r="AN1607" s="162"/>
      <c r="AO1607" s="162"/>
      <c r="AP1607" s="162"/>
      <c r="AQ1607" s="162"/>
      <c r="AR1607" s="710"/>
      <c r="AV1607" s="82"/>
      <c r="AW1607" s="947"/>
      <c r="AX1607" s="947"/>
      <c r="AY1607" s="947"/>
    </row>
    <row r="1608" spans="31:51" x14ac:dyDescent="0.25">
      <c r="AE1608" s="75"/>
      <c r="AF1608" s="82"/>
      <c r="AG1608" s="82"/>
      <c r="AH1608" s="82"/>
      <c r="AI1608" s="82"/>
      <c r="AJ1608" s="166"/>
      <c r="AK1608" s="82"/>
      <c r="AL1608" s="162"/>
      <c r="AM1608" s="162"/>
      <c r="AN1608" s="162"/>
      <c r="AO1608" s="162"/>
      <c r="AP1608" s="162"/>
      <c r="AQ1608" s="162"/>
      <c r="AR1608" s="710"/>
      <c r="AV1608" s="82"/>
      <c r="AW1608" s="947"/>
      <c r="AX1608" s="947"/>
      <c r="AY1608" s="947"/>
    </row>
    <row r="1609" spans="31:51" x14ac:dyDescent="0.25">
      <c r="AE1609" s="75"/>
      <c r="AF1609" s="82"/>
      <c r="AG1609" s="82"/>
      <c r="AH1609" s="82"/>
      <c r="AI1609" s="82"/>
      <c r="AJ1609" s="166"/>
      <c r="AK1609" s="82"/>
      <c r="AL1609" s="162"/>
      <c r="AM1609" s="162"/>
      <c r="AN1609" s="162"/>
      <c r="AO1609" s="162"/>
      <c r="AP1609" s="162"/>
      <c r="AQ1609" s="162"/>
      <c r="AR1609" s="710"/>
      <c r="AV1609" s="82"/>
      <c r="AW1609" s="947"/>
      <c r="AX1609" s="947"/>
      <c r="AY1609" s="947"/>
    </row>
    <row r="1610" spans="31:51" x14ac:dyDescent="0.25">
      <c r="AE1610" s="75"/>
      <c r="AF1610" s="82"/>
      <c r="AG1610" s="82"/>
      <c r="AH1610" s="82"/>
      <c r="AI1610" s="82"/>
      <c r="AJ1610" s="166"/>
      <c r="AK1610" s="82"/>
      <c r="AL1610" s="162"/>
      <c r="AM1610" s="162"/>
      <c r="AN1610" s="162"/>
      <c r="AO1610" s="162"/>
      <c r="AP1610" s="162"/>
      <c r="AQ1610" s="162"/>
      <c r="AR1610" s="710"/>
      <c r="AV1610" s="82"/>
      <c r="AW1610" s="947"/>
      <c r="AX1610" s="947"/>
      <c r="AY1610" s="947"/>
    </row>
    <row r="1611" spans="31:51" x14ac:dyDescent="0.25">
      <c r="AE1611" s="75"/>
      <c r="AF1611" s="82"/>
      <c r="AG1611" s="82"/>
      <c r="AH1611" s="82"/>
      <c r="AI1611" s="82"/>
      <c r="AJ1611" s="166"/>
      <c r="AK1611" s="82"/>
      <c r="AL1611" s="162"/>
      <c r="AM1611" s="162"/>
      <c r="AN1611" s="162"/>
      <c r="AO1611" s="162"/>
      <c r="AP1611" s="162"/>
      <c r="AQ1611" s="162"/>
      <c r="AR1611" s="710"/>
      <c r="AV1611" s="82"/>
      <c r="AW1611" s="947"/>
      <c r="AX1611" s="947"/>
      <c r="AY1611" s="947"/>
    </row>
    <row r="1612" spans="31:51" x14ac:dyDescent="0.25">
      <c r="AE1612" s="75"/>
      <c r="AF1612" s="82"/>
      <c r="AG1612" s="82"/>
      <c r="AH1612" s="82"/>
      <c r="AI1612" s="82"/>
      <c r="AJ1612" s="166"/>
      <c r="AK1612" s="82"/>
      <c r="AL1612" s="162"/>
      <c r="AM1612" s="162"/>
      <c r="AN1612" s="162"/>
      <c r="AO1612" s="162"/>
      <c r="AP1612" s="162"/>
      <c r="AQ1612" s="162"/>
      <c r="AR1612" s="710"/>
      <c r="AV1612" s="82"/>
      <c r="AW1612" s="947"/>
      <c r="AX1612" s="947"/>
      <c r="AY1612" s="947"/>
    </row>
    <row r="1613" spans="31:51" x14ac:dyDescent="0.25">
      <c r="AE1613" s="75"/>
      <c r="AF1613" s="82"/>
      <c r="AG1613" s="82"/>
      <c r="AH1613" s="82"/>
      <c r="AI1613" s="82"/>
      <c r="AJ1613" s="166"/>
      <c r="AK1613" s="82"/>
      <c r="AL1613" s="162"/>
      <c r="AM1613" s="162"/>
      <c r="AN1613" s="162"/>
      <c r="AO1613" s="162"/>
      <c r="AP1613" s="162"/>
      <c r="AQ1613" s="162"/>
      <c r="AR1613" s="710"/>
      <c r="AV1613" s="82"/>
      <c r="AW1613" s="947"/>
      <c r="AX1613" s="947"/>
      <c r="AY1613" s="947"/>
    </row>
    <row r="1614" spans="31:51" x14ac:dyDescent="0.25">
      <c r="AE1614" s="75"/>
      <c r="AF1614" s="82"/>
      <c r="AG1614" s="82"/>
      <c r="AH1614" s="82"/>
      <c r="AI1614" s="82"/>
      <c r="AJ1614" s="166"/>
      <c r="AK1614" s="82"/>
      <c r="AL1614" s="162"/>
      <c r="AM1614" s="162"/>
      <c r="AN1614" s="162"/>
      <c r="AO1614" s="162"/>
      <c r="AP1614" s="162"/>
      <c r="AQ1614" s="162"/>
      <c r="AR1614" s="710"/>
      <c r="AV1614" s="82"/>
      <c r="AW1614" s="947"/>
      <c r="AX1614" s="947"/>
      <c r="AY1614" s="947"/>
    </row>
    <row r="1615" spans="31:51" x14ac:dyDescent="0.25">
      <c r="AE1615" s="75"/>
      <c r="AF1615" s="82"/>
      <c r="AG1615" s="82"/>
      <c r="AH1615" s="82"/>
      <c r="AI1615" s="82"/>
      <c r="AJ1615" s="166"/>
      <c r="AK1615" s="82"/>
      <c r="AL1615" s="162"/>
      <c r="AM1615" s="162"/>
      <c r="AN1615" s="162"/>
      <c r="AO1615" s="162"/>
      <c r="AP1615" s="162"/>
      <c r="AQ1615" s="162"/>
      <c r="AR1615" s="710"/>
      <c r="AV1615" s="82"/>
      <c r="AW1615" s="947"/>
      <c r="AX1615" s="947"/>
      <c r="AY1615" s="947"/>
    </row>
    <row r="1616" spans="31:51" x14ac:dyDescent="0.25">
      <c r="AE1616" s="75"/>
      <c r="AF1616" s="82"/>
      <c r="AG1616" s="82"/>
      <c r="AH1616" s="82"/>
      <c r="AI1616" s="82"/>
      <c r="AJ1616" s="166"/>
      <c r="AK1616" s="82"/>
      <c r="AL1616" s="162"/>
      <c r="AM1616" s="162"/>
      <c r="AN1616" s="162"/>
      <c r="AO1616" s="162"/>
      <c r="AP1616" s="162"/>
      <c r="AQ1616" s="162"/>
      <c r="AR1616" s="710"/>
      <c r="AV1616" s="82"/>
      <c r="AW1616" s="947"/>
      <c r="AX1616" s="947"/>
      <c r="AY1616" s="947"/>
    </row>
    <row r="1617" spans="31:51" x14ac:dyDescent="0.25">
      <c r="AE1617" s="75"/>
      <c r="AF1617" s="82"/>
      <c r="AG1617" s="82"/>
      <c r="AH1617" s="82"/>
      <c r="AI1617" s="82"/>
      <c r="AJ1617" s="166"/>
      <c r="AK1617" s="82"/>
      <c r="AL1617" s="162"/>
      <c r="AM1617" s="162"/>
      <c r="AN1617" s="162"/>
      <c r="AO1617" s="162"/>
      <c r="AP1617" s="162"/>
      <c r="AQ1617" s="162"/>
      <c r="AR1617" s="710"/>
      <c r="AV1617" s="82"/>
      <c r="AW1617" s="947"/>
      <c r="AX1617" s="947"/>
      <c r="AY1617" s="947"/>
    </row>
    <row r="1618" spans="31:51" x14ac:dyDescent="0.25">
      <c r="AE1618" s="75"/>
      <c r="AF1618" s="82"/>
      <c r="AG1618" s="82"/>
      <c r="AH1618" s="82"/>
      <c r="AI1618" s="82"/>
      <c r="AJ1618" s="166"/>
      <c r="AK1618" s="82"/>
      <c r="AL1618" s="162"/>
      <c r="AM1618" s="162"/>
      <c r="AN1618" s="162"/>
      <c r="AO1618" s="162"/>
      <c r="AP1618" s="162"/>
      <c r="AQ1618" s="162"/>
      <c r="AR1618" s="710"/>
      <c r="AV1618" s="82"/>
      <c r="AW1618" s="947"/>
      <c r="AX1618" s="947"/>
      <c r="AY1618" s="947"/>
    </row>
    <row r="1619" spans="31:51" x14ac:dyDescent="0.25">
      <c r="AE1619" s="75"/>
      <c r="AF1619" s="82"/>
      <c r="AG1619" s="82"/>
      <c r="AH1619" s="82"/>
      <c r="AI1619" s="82"/>
      <c r="AJ1619" s="166"/>
      <c r="AK1619" s="82"/>
      <c r="AL1619" s="162"/>
      <c r="AM1619" s="162"/>
      <c r="AN1619" s="162"/>
      <c r="AO1619" s="162"/>
      <c r="AP1619" s="162"/>
      <c r="AQ1619" s="162"/>
      <c r="AR1619" s="710"/>
      <c r="AV1619" s="82"/>
      <c r="AW1619" s="947"/>
      <c r="AX1619" s="947"/>
      <c r="AY1619" s="947"/>
    </row>
    <row r="1620" spans="31:51" x14ac:dyDescent="0.25">
      <c r="AE1620" s="75"/>
      <c r="AF1620" s="82"/>
      <c r="AG1620" s="82"/>
      <c r="AH1620" s="82"/>
      <c r="AI1620" s="82"/>
      <c r="AJ1620" s="166"/>
      <c r="AK1620" s="82"/>
      <c r="AL1620" s="162"/>
      <c r="AM1620" s="162"/>
      <c r="AN1620" s="162"/>
      <c r="AO1620" s="162"/>
      <c r="AP1620" s="162"/>
      <c r="AQ1620" s="162"/>
      <c r="AR1620" s="710"/>
      <c r="AV1620" s="82"/>
      <c r="AW1620" s="947"/>
      <c r="AX1620" s="947"/>
      <c r="AY1620" s="947"/>
    </row>
    <row r="1621" spans="31:51" x14ac:dyDescent="0.25">
      <c r="AE1621" s="75"/>
      <c r="AF1621" s="82"/>
      <c r="AG1621" s="82"/>
      <c r="AH1621" s="82"/>
      <c r="AI1621" s="82"/>
      <c r="AJ1621" s="166"/>
      <c r="AK1621" s="82"/>
      <c r="AL1621" s="162"/>
      <c r="AM1621" s="162"/>
      <c r="AN1621" s="162"/>
      <c r="AO1621" s="162"/>
      <c r="AP1621" s="162"/>
      <c r="AQ1621" s="162"/>
      <c r="AR1621" s="710"/>
      <c r="AV1621" s="82"/>
      <c r="AW1621" s="947"/>
      <c r="AX1621" s="947"/>
      <c r="AY1621" s="947"/>
    </row>
    <row r="1622" spans="31:51" x14ac:dyDescent="0.25">
      <c r="AE1622" s="75"/>
      <c r="AF1622" s="82"/>
      <c r="AG1622" s="82"/>
      <c r="AH1622" s="82"/>
      <c r="AI1622" s="82"/>
      <c r="AJ1622" s="166"/>
      <c r="AK1622" s="82"/>
      <c r="AL1622" s="162"/>
      <c r="AM1622" s="162"/>
      <c r="AN1622" s="162"/>
      <c r="AO1622" s="162"/>
      <c r="AP1622" s="162"/>
      <c r="AQ1622" s="162"/>
      <c r="AR1622" s="710"/>
      <c r="AV1622" s="82"/>
      <c r="AW1622" s="947"/>
      <c r="AX1622" s="947"/>
      <c r="AY1622" s="947"/>
    </row>
    <row r="1623" spans="31:51" x14ac:dyDescent="0.25">
      <c r="AE1623" s="75"/>
      <c r="AF1623" s="82"/>
      <c r="AG1623" s="82"/>
      <c r="AH1623" s="82"/>
      <c r="AI1623" s="82"/>
      <c r="AJ1623" s="166"/>
      <c r="AK1623" s="82"/>
      <c r="AL1623" s="162"/>
      <c r="AM1623" s="162"/>
      <c r="AN1623" s="162"/>
      <c r="AO1623" s="162"/>
      <c r="AP1623" s="162"/>
      <c r="AQ1623" s="162"/>
      <c r="AR1623" s="710"/>
      <c r="AV1623" s="82"/>
      <c r="AW1623" s="947"/>
      <c r="AX1623" s="947"/>
      <c r="AY1623" s="947"/>
    </row>
    <row r="1624" spans="31:51" x14ac:dyDescent="0.25">
      <c r="AE1624" s="75"/>
      <c r="AF1624" s="82"/>
      <c r="AG1624" s="82"/>
      <c r="AH1624" s="82"/>
      <c r="AI1624" s="82"/>
      <c r="AJ1624" s="166"/>
      <c r="AK1624" s="82"/>
      <c r="AL1624" s="162"/>
      <c r="AM1624" s="162"/>
      <c r="AN1624" s="162"/>
      <c r="AO1624" s="162"/>
      <c r="AP1624" s="162"/>
      <c r="AQ1624" s="162"/>
      <c r="AR1624" s="710"/>
      <c r="AV1624" s="82"/>
      <c r="AW1624" s="947"/>
      <c r="AX1624" s="947"/>
      <c r="AY1624" s="947"/>
    </row>
    <row r="1625" spans="31:51" x14ac:dyDescent="0.25">
      <c r="AE1625" s="75"/>
      <c r="AF1625" s="82"/>
      <c r="AG1625" s="82"/>
      <c r="AH1625" s="82"/>
      <c r="AI1625" s="82"/>
      <c r="AJ1625" s="166"/>
      <c r="AK1625" s="82"/>
      <c r="AL1625" s="162"/>
      <c r="AM1625" s="162"/>
      <c r="AN1625" s="162"/>
      <c r="AO1625" s="162"/>
      <c r="AP1625" s="162"/>
      <c r="AQ1625" s="162"/>
      <c r="AR1625" s="710"/>
      <c r="AV1625" s="82"/>
      <c r="AW1625" s="947"/>
      <c r="AX1625" s="947"/>
      <c r="AY1625" s="947"/>
    </row>
    <row r="1626" spans="31:51" x14ac:dyDescent="0.25">
      <c r="AE1626" s="75"/>
      <c r="AF1626" s="82"/>
      <c r="AG1626" s="82"/>
      <c r="AH1626" s="82"/>
      <c r="AI1626" s="82"/>
      <c r="AJ1626" s="166"/>
      <c r="AK1626" s="82"/>
      <c r="AL1626" s="162"/>
      <c r="AM1626" s="162"/>
      <c r="AN1626" s="162"/>
      <c r="AO1626" s="162"/>
      <c r="AP1626" s="162"/>
      <c r="AQ1626" s="162"/>
      <c r="AR1626" s="710"/>
      <c r="AV1626" s="82"/>
      <c r="AW1626" s="947"/>
      <c r="AX1626" s="947"/>
      <c r="AY1626" s="947"/>
    </row>
    <row r="1627" spans="31:51" x14ac:dyDescent="0.25">
      <c r="AE1627" s="75"/>
      <c r="AF1627" s="82"/>
      <c r="AG1627" s="82"/>
      <c r="AH1627" s="82"/>
      <c r="AI1627" s="82"/>
      <c r="AJ1627" s="166"/>
      <c r="AK1627" s="82"/>
      <c r="AL1627" s="162"/>
      <c r="AM1627" s="162"/>
      <c r="AN1627" s="162"/>
      <c r="AO1627" s="162"/>
      <c r="AP1627" s="162"/>
      <c r="AQ1627" s="162"/>
      <c r="AR1627" s="710"/>
      <c r="AV1627" s="82"/>
      <c r="AW1627" s="947"/>
      <c r="AX1627" s="947"/>
      <c r="AY1627" s="947"/>
    </row>
    <row r="1628" spans="31:51" x14ac:dyDescent="0.25">
      <c r="AE1628" s="75"/>
      <c r="AF1628" s="82"/>
      <c r="AG1628" s="82"/>
      <c r="AH1628" s="82"/>
      <c r="AI1628" s="82"/>
      <c r="AJ1628" s="166"/>
      <c r="AK1628" s="82"/>
      <c r="AL1628" s="162"/>
      <c r="AM1628" s="162"/>
      <c r="AN1628" s="162"/>
      <c r="AO1628" s="162"/>
      <c r="AP1628" s="162"/>
      <c r="AQ1628" s="162"/>
      <c r="AR1628" s="710"/>
      <c r="AV1628" s="82"/>
      <c r="AW1628" s="947"/>
      <c r="AX1628" s="947"/>
      <c r="AY1628" s="947"/>
    </row>
    <row r="1629" spans="31:51" x14ac:dyDescent="0.25">
      <c r="AE1629" s="75"/>
      <c r="AF1629" s="82"/>
      <c r="AG1629" s="82"/>
      <c r="AH1629" s="82"/>
      <c r="AI1629" s="82"/>
      <c r="AJ1629" s="166"/>
      <c r="AK1629" s="82"/>
      <c r="AL1629" s="162"/>
      <c r="AM1629" s="162"/>
      <c r="AN1629" s="162"/>
      <c r="AO1629" s="162"/>
      <c r="AP1629" s="162"/>
      <c r="AQ1629" s="162"/>
      <c r="AR1629" s="710"/>
      <c r="AV1629" s="82"/>
      <c r="AW1629" s="947"/>
      <c r="AX1629" s="947"/>
      <c r="AY1629" s="947"/>
    </row>
    <row r="1630" spans="31:51" x14ac:dyDescent="0.25">
      <c r="AE1630" s="75"/>
      <c r="AF1630" s="82"/>
      <c r="AG1630" s="82"/>
      <c r="AH1630" s="82"/>
      <c r="AI1630" s="82"/>
      <c r="AJ1630" s="166"/>
      <c r="AK1630" s="82"/>
      <c r="AL1630" s="162"/>
      <c r="AM1630" s="162"/>
      <c r="AN1630" s="162"/>
      <c r="AO1630" s="162"/>
      <c r="AP1630" s="162"/>
      <c r="AQ1630" s="162"/>
      <c r="AR1630" s="710"/>
      <c r="AV1630" s="82"/>
      <c r="AW1630" s="947"/>
      <c r="AX1630" s="947"/>
      <c r="AY1630" s="947"/>
    </row>
    <row r="1631" spans="31:51" x14ac:dyDescent="0.25">
      <c r="AE1631" s="75"/>
      <c r="AF1631" s="82"/>
      <c r="AG1631" s="82"/>
      <c r="AH1631" s="82"/>
      <c r="AI1631" s="82"/>
      <c r="AJ1631" s="166"/>
      <c r="AK1631" s="82"/>
      <c r="AL1631" s="162"/>
      <c r="AM1631" s="162"/>
      <c r="AN1631" s="162"/>
      <c r="AO1631" s="162"/>
      <c r="AP1631" s="162"/>
      <c r="AQ1631" s="162"/>
      <c r="AR1631" s="710"/>
      <c r="AV1631" s="82"/>
      <c r="AW1631" s="947"/>
      <c r="AX1631" s="947"/>
      <c r="AY1631" s="947"/>
    </row>
    <row r="1632" spans="31:51" x14ac:dyDescent="0.25">
      <c r="AE1632" s="75"/>
      <c r="AF1632" s="82"/>
      <c r="AG1632" s="82"/>
      <c r="AH1632" s="82"/>
      <c r="AI1632" s="82"/>
      <c r="AJ1632" s="166"/>
      <c r="AK1632" s="82"/>
      <c r="AL1632" s="162"/>
      <c r="AM1632" s="162"/>
      <c r="AN1632" s="162"/>
      <c r="AO1632" s="162"/>
      <c r="AP1632" s="162"/>
      <c r="AQ1632" s="162"/>
      <c r="AR1632" s="710"/>
      <c r="AV1632" s="82"/>
      <c r="AW1632" s="947"/>
      <c r="AX1632" s="947"/>
      <c r="AY1632" s="947"/>
    </row>
    <row r="1633" spans="31:51" x14ac:dyDescent="0.25">
      <c r="AE1633" s="75"/>
      <c r="AF1633" s="82"/>
      <c r="AG1633" s="82"/>
      <c r="AH1633" s="82"/>
      <c r="AI1633" s="82"/>
      <c r="AJ1633" s="166"/>
      <c r="AK1633" s="82"/>
      <c r="AL1633" s="162"/>
      <c r="AM1633" s="162"/>
      <c r="AN1633" s="162"/>
      <c r="AO1633" s="162"/>
      <c r="AP1633" s="162"/>
      <c r="AQ1633" s="162"/>
      <c r="AR1633" s="710"/>
      <c r="AV1633" s="82"/>
      <c r="AW1633" s="947"/>
      <c r="AX1633" s="947"/>
      <c r="AY1633" s="947"/>
    </row>
    <row r="1634" spans="31:51" x14ac:dyDescent="0.25">
      <c r="AE1634" s="75"/>
      <c r="AF1634" s="82"/>
      <c r="AG1634" s="82"/>
      <c r="AH1634" s="82"/>
      <c r="AI1634" s="82"/>
      <c r="AJ1634" s="166"/>
      <c r="AK1634" s="82"/>
      <c r="AL1634" s="162"/>
      <c r="AM1634" s="162"/>
      <c r="AN1634" s="162"/>
      <c r="AO1634" s="162"/>
      <c r="AP1634" s="162"/>
      <c r="AQ1634" s="162"/>
      <c r="AR1634" s="710"/>
      <c r="AV1634" s="82"/>
      <c r="AW1634" s="947"/>
      <c r="AX1634" s="947"/>
      <c r="AY1634" s="947"/>
    </row>
    <row r="1635" spans="31:51" x14ac:dyDescent="0.25">
      <c r="AE1635" s="75"/>
      <c r="AF1635" s="82"/>
      <c r="AG1635" s="82"/>
      <c r="AH1635" s="82"/>
      <c r="AI1635" s="82"/>
      <c r="AJ1635" s="166"/>
      <c r="AK1635" s="82"/>
      <c r="AL1635" s="162"/>
      <c r="AM1635" s="162"/>
      <c r="AN1635" s="162"/>
      <c r="AO1635" s="162"/>
      <c r="AP1635" s="162"/>
      <c r="AQ1635" s="162"/>
      <c r="AR1635" s="710"/>
      <c r="AV1635" s="82"/>
      <c r="AW1635" s="947"/>
      <c r="AX1635" s="947"/>
      <c r="AY1635" s="947"/>
    </row>
    <row r="1636" spans="31:51" x14ac:dyDescent="0.25">
      <c r="AE1636" s="75"/>
      <c r="AF1636" s="82"/>
      <c r="AG1636" s="82"/>
      <c r="AH1636" s="82"/>
      <c r="AI1636" s="82"/>
      <c r="AJ1636" s="166"/>
      <c r="AK1636" s="82"/>
      <c r="AL1636" s="162"/>
      <c r="AM1636" s="162"/>
      <c r="AN1636" s="162"/>
      <c r="AO1636" s="162"/>
      <c r="AP1636" s="162"/>
      <c r="AQ1636" s="162"/>
      <c r="AR1636" s="710"/>
      <c r="AV1636" s="82"/>
      <c r="AW1636" s="947"/>
      <c r="AX1636" s="947"/>
      <c r="AY1636" s="947"/>
    </row>
    <row r="1637" spans="31:51" x14ac:dyDescent="0.25">
      <c r="AE1637" s="75"/>
      <c r="AF1637" s="82"/>
      <c r="AG1637" s="82"/>
      <c r="AH1637" s="82"/>
      <c r="AI1637" s="82"/>
      <c r="AJ1637" s="166"/>
      <c r="AK1637" s="82"/>
      <c r="AL1637" s="162"/>
      <c r="AM1637" s="162"/>
      <c r="AN1637" s="162"/>
      <c r="AO1637" s="162"/>
      <c r="AP1637" s="162"/>
      <c r="AQ1637" s="162"/>
      <c r="AR1637" s="710"/>
      <c r="AV1637" s="82"/>
      <c r="AW1637" s="947"/>
      <c r="AX1637" s="947"/>
      <c r="AY1637" s="947"/>
    </row>
    <row r="1638" spans="31:51" x14ac:dyDescent="0.25">
      <c r="AE1638" s="75"/>
      <c r="AF1638" s="82"/>
      <c r="AG1638" s="82"/>
      <c r="AH1638" s="82"/>
      <c r="AI1638" s="82"/>
      <c r="AJ1638" s="166"/>
      <c r="AK1638" s="82"/>
      <c r="AL1638" s="162"/>
      <c r="AM1638" s="162"/>
      <c r="AN1638" s="162"/>
      <c r="AO1638" s="162"/>
      <c r="AP1638" s="162"/>
      <c r="AQ1638" s="162"/>
      <c r="AR1638" s="710"/>
      <c r="AV1638" s="82"/>
      <c r="AW1638" s="947"/>
      <c r="AX1638" s="947"/>
      <c r="AY1638" s="947"/>
    </row>
    <row r="1639" spans="31:51" x14ac:dyDescent="0.25">
      <c r="AE1639" s="75"/>
      <c r="AF1639" s="82"/>
      <c r="AG1639" s="82"/>
      <c r="AH1639" s="82"/>
      <c r="AI1639" s="82"/>
      <c r="AJ1639" s="166"/>
      <c r="AK1639" s="82"/>
      <c r="AL1639" s="162"/>
      <c r="AM1639" s="162"/>
      <c r="AN1639" s="162"/>
      <c r="AO1639" s="162"/>
      <c r="AP1639" s="162"/>
      <c r="AQ1639" s="162"/>
      <c r="AR1639" s="710"/>
      <c r="AV1639" s="82"/>
      <c r="AW1639" s="947"/>
      <c r="AX1639" s="947"/>
      <c r="AY1639" s="947"/>
    </row>
    <row r="1640" spans="31:51" x14ac:dyDescent="0.25">
      <c r="AE1640" s="75"/>
      <c r="AF1640" s="82"/>
      <c r="AG1640" s="82"/>
      <c r="AH1640" s="82"/>
      <c r="AI1640" s="82"/>
      <c r="AJ1640" s="166"/>
      <c r="AK1640" s="82"/>
      <c r="AL1640" s="162"/>
      <c r="AM1640" s="162"/>
      <c r="AN1640" s="162"/>
      <c r="AO1640" s="162"/>
      <c r="AP1640" s="162"/>
      <c r="AQ1640" s="162"/>
      <c r="AR1640" s="710"/>
      <c r="AV1640" s="82"/>
      <c r="AW1640" s="947"/>
      <c r="AX1640" s="947"/>
      <c r="AY1640" s="947"/>
    </row>
    <row r="1641" spans="31:51" x14ac:dyDescent="0.25">
      <c r="AE1641" s="75"/>
      <c r="AF1641" s="82"/>
      <c r="AG1641" s="82"/>
      <c r="AH1641" s="82"/>
      <c r="AI1641" s="82"/>
      <c r="AJ1641" s="166"/>
      <c r="AK1641" s="82"/>
      <c r="AL1641" s="162"/>
      <c r="AM1641" s="162"/>
      <c r="AN1641" s="162"/>
      <c r="AO1641" s="162"/>
      <c r="AP1641" s="162"/>
      <c r="AQ1641" s="162"/>
      <c r="AR1641" s="710"/>
      <c r="AV1641" s="82"/>
      <c r="AW1641" s="947"/>
      <c r="AX1641" s="947"/>
      <c r="AY1641" s="947"/>
    </row>
    <row r="1642" spans="31:51" x14ac:dyDescent="0.25">
      <c r="AE1642" s="75"/>
      <c r="AF1642" s="82"/>
      <c r="AG1642" s="82"/>
      <c r="AH1642" s="82"/>
      <c r="AI1642" s="82"/>
      <c r="AJ1642" s="166"/>
      <c r="AK1642" s="82"/>
      <c r="AL1642" s="162"/>
      <c r="AM1642" s="162"/>
      <c r="AN1642" s="162"/>
      <c r="AO1642" s="162"/>
      <c r="AP1642" s="162"/>
      <c r="AQ1642" s="162"/>
      <c r="AR1642" s="710"/>
      <c r="AV1642" s="82"/>
      <c r="AW1642" s="947"/>
      <c r="AX1642" s="947"/>
      <c r="AY1642" s="947"/>
    </row>
    <row r="1643" spans="31:51" x14ac:dyDescent="0.25">
      <c r="AE1643" s="75"/>
      <c r="AF1643" s="82"/>
      <c r="AG1643" s="82"/>
      <c r="AH1643" s="82"/>
      <c r="AI1643" s="82"/>
      <c r="AJ1643" s="166"/>
      <c r="AK1643" s="82"/>
      <c r="AL1643" s="162"/>
      <c r="AM1643" s="162"/>
      <c r="AN1643" s="162"/>
      <c r="AO1643" s="162"/>
      <c r="AP1643" s="162"/>
      <c r="AQ1643" s="162"/>
      <c r="AR1643" s="710"/>
      <c r="AV1643" s="82"/>
      <c r="AW1643" s="947"/>
      <c r="AX1643" s="947"/>
      <c r="AY1643" s="947"/>
    </row>
    <row r="1644" spans="31:51" x14ac:dyDescent="0.25">
      <c r="AE1644" s="75"/>
      <c r="AF1644" s="82"/>
      <c r="AG1644" s="82"/>
      <c r="AH1644" s="82"/>
      <c r="AI1644" s="82"/>
      <c r="AJ1644" s="166"/>
      <c r="AK1644" s="82"/>
      <c r="AL1644" s="162"/>
      <c r="AM1644" s="162"/>
      <c r="AN1644" s="162"/>
      <c r="AO1644" s="162"/>
      <c r="AP1644" s="162"/>
      <c r="AQ1644" s="162"/>
      <c r="AR1644" s="710"/>
      <c r="AV1644" s="82"/>
      <c r="AW1644" s="947"/>
      <c r="AX1644" s="947"/>
      <c r="AY1644" s="947"/>
    </row>
    <row r="1645" spans="31:51" x14ac:dyDescent="0.25">
      <c r="AE1645" s="75"/>
      <c r="AF1645" s="82"/>
      <c r="AG1645" s="82"/>
      <c r="AH1645" s="82"/>
      <c r="AI1645" s="82"/>
      <c r="AJ1645" s="166"/>
      <c r="AK1645" s="82"/>
      <c r="AL1645" s="162"/>
      <c r="AM1645" s="162"/>
      <c r="AN1645" s="162"/>
      <c r="AO1645" s="162"/>
      <c r="AP1645" s="162"/>
      <c r="AQ1645" s="162"/>
      <c r="AR1645" s="710"/>
      <c r="AV1645" s="82"/>
      <c r="AW1645" s="947"/>
      <c r="AX1645" s="947"/>
      <c r="AY1645" s="947"/>
    </row>
    <row r="1646" spans="31:51" x14ac:dyDescent="0.25">
      <c r="AE1646" s="75"/>
      <c r="AF1646" s="82"/>
      <c r="AG1646" s="82"/>
      <c r="AH1646" s="82"/>
      <c r="AI1646" s="82"/>
      <c r="AJ1646" s="166"/>
      <c r="AK1646" s="82"/>
      <c r="AL1646" s="162"/>
      <c r="AM1646" s="162"/>
      <c r="AN1646" s="162"/>
      <c r="AO1646" s="162"/>
      <c r="AP1646" s="162"/>
      <c r="AQ1646" s="162"/>
      <c r="AR1646" s="710"/>
      <c r="AV1646" s="82"/>
      <c r="AW1646" s="947"/>
      <c r="AX1646" s="947"/>
      <c r="AY1646" s="947"/>
    </row>
    <row r="1647" spans="31:51" x14ac:dyDescent="0.25">
      <c r="AE1647" s="75"/>
      <c r="AF1647" s="82"/>
      <c r="AG1647" s="82"/>
      <c r="AH1647" s="82"/>
      <c r="AI1647" s="82"/>
      <c r="AJ1647" s="166"/>
      <c r="AK1647" s="82"/>
      <c r="AL1647" s="162"/>
      <c r="AM1647" s="162"/>
      <c r="AN1647" s="162"/>
      <c r="AO1647" s="162"/>
      <c r="AP1647" s="162"/>
      <c r="AQ1647" s="162"/>
      <c r="AR1647" s="710"/>
      <c r="AV1647" s="82"/>
      <c r="AW1647" s="947"/>
      <c r="AX1647" s="947"/>
      <c r="AY1647" s="947"/>
    </row>
    <row r="1648" spans="31:51" x14ac:dyDescent="0.25">
      <c r="AE1648" s="75"/>
      <c r="AF1648" s="82"/>
      <c r="AG1648" s="82"/>
      <c r="AH1648" s="82"/>
      <c r="AI1648" s="82"/>
      <c r="AJ1648" s="166"/>
      <c r="AK1648" s="82"/>
      <c r="AL1648" s="162"/>
      <c r="AM1648" s="162"/>
      <c r="AN1648" s="162"/>
      <c r="AO1648" s="162"/>
      <c r="AP1648" s="162"/>
      <c r="AQ1648" s="162"/>
      <c r="AR1648" s="710"/>
      <c r="AV1648" s="82"/>
      <c r="AW1648" s="947"/>
      <c r="AX1648" s="947"/>
      <c r="AY1648" s="947"/>
    </row>
    <row r="1649" spans="31:51" x14ac:dyDescent="0.25">
      <c r="AE1649" s="75"/>
      <c r="AF1649" s="82"/>
      <c r="AG1649" s="82"/>
      <c r="AH1649" s="82"/>
      <c r="AI1649" s="82"/>
      <c r="AJ1649" s="166"/>
      <c r="AK1649" s="82"/>
      <c r="AL1649" s="162"/>
      <c r="AM1649" s="162"/>
      <c r="AN1649" s="162"/>
      <c r="AO1649" s="162"/>
      <c r="AP1649" s="162"/>
      <c r="AQ1649" s="162"/>
      <c r="AR1649" s="710"/>
      <c r="AV1649" s="82"/>
      <c r="AW1649" s="947"/>
      <c r="AX1649" s="947"/>
      <c r="AY1649" s="947"/>
    </row>
    <row r="1650" spans="31:51" x14ac:dyDescent="0.25">
      <c r="AE1650" s="75"/>
      <c r="AF1650" s="82"/>
      <c r="AG1650" s="82"/>
      <c r="AH1650" s="82"/>
      <c r="AI1650" s="82"/>
      <c r="AJ1650" s="166"/>
      <c r="AK1650" s="82"/>
      <c r="AL1650" s="162"/>
      <c r="AM1650" s="162"/>
      <c r="AN1650" s="162"/>
      <c r="AO1650" s="162"/>
      <c r="AP1650" s="162"/>
      <c r="AQ1650" s="162"/>
      <c r="AR1650" s="710"/>
      <c r="AV1650" s="82"/>
      <c r="AW1650" s="947"/>
      <c r="AX1650" s="947"/>
      <c r="AY1650" s="947"/>
    </row>
    <row r="1651" spans="31:51" x14ac:dyDescent="0.25">
      <c r="AE1651" s="75"/>
      <c r="AF1651" s="82"/>
      <c r="AG1651" s="82"/>
      <c r="AH1651" s="82"/>
      <c r="AI1651" s="82"/>
      <c r="AJ1651" s="166"/>
      <c r="AK1651" s="82"/>
      <c r="AL1651" s="162"/>
      <c r="AM1651" s="162"/>
      <c r="AN1651" s="162"/>
      <c r="AO1651" s="162"/>
      <c r="AP1651" s="162"/>
      <c r="AQ1651" s="162"/>
      <c r="AR1651" s="710"/>
      <c r="AV1651" s="82"/>
      <c r="AW1651" s="947"/>
      <c r="AX1651" s="947"/>
      <c r="AY1651" s="947"/>
    </row>
    <row r="1652" spans="31:51" x14ac:dyDescent="0.25">
      <c r="AE1652" s="75"/>
      <c r="AF1652" s="82"/>
      <c r="AG1652" s="82"/>
      <c r="AH1652" s="82"/>
      <c r="AI1652" s="82"/>
      <c r="AJ1652" s="166"/>
      <c r="AK1652" s="82"/>
      <c r="AL1652" s="162"/>
      <c r="AM1652" s="162"/>
      <c r="AN1652" s="162"/>
      <c r="AO1652" s="162"/>
      <c r="AP1652" s="162"/>
      <c r="AQ1652" s="162"/>
      <c r="AR1652" s="710"/>
      <c r="AV1652" s="82"/>
      <c r="AW1652" s="947"/>
      <c r="AX1652" s="947"/>
      <c r="AY1652" s="947"/>
    </row>
    <row r="1653" spans="31:51" x14ac:dyDescent="0.25">
      <c r="AE1653" s="75"/>
      <c r="AF1653" s="82"/>
      <c r="AG1653" s="82"/>
      <c r="AH1653" s="82"/>
      <c r="AI1653" s="82"/>
      <c r="AJ1653" s="166"/>
      <c r="AK1653" s="82"/>
      <c r="AL1653" s="162"/>
      <c r="AM1653" s="162"/>
      <c r="AN1653" s="162"/>
      <c r="AO1653" s="162"/>
      <c r="AP1653" s="162"/>
      <c r="AQ1653" s="162"/>
      <c r="AR1653" s="710"/>
      <c r="AV1653" s="82"/>
      <c r="AW1653" s="947"/>
      <c r="AX1653" s="947"/>
      <c r="AY1653" s="947"/>
    </row>
    <row r="1654" spans="31:51" x14ac:dyDescent="0.25">
      <c r="AE1654" s="75"/>
      <c r="AF1654" s="82"/>
      <c r="AG1654" s="82"/>
      <c r="AH1654" s="82"/>
      <c r="AI1654" s="82"/>
      <c r="AJ1654" s="166"/>
      <c r="AK1654" s="82"/>
      <c r="AL1654" s="162"/>
      <c r="AM1654" s="162"/>
      <c r="AN1654" s="162"/>
      <c r="AO1654" s="162"/>
      <c r="AP1654" s="162"/>
      <c r="AQ1654" s="162"/>
      <c r="AR1654" s="710"/>
      <c r="AV1654" s="82"/>
      <c r="AW1654" s="947"/>
      <c r="AX1654" s="947"/>
      <c r="AY1654" s="947"/>
    </row>
    <row r="1655" spans="31:51" x14ac:dyDescent="0.25">
      <c r="AE1655" s="75"/>
      <c r="AF1655" s="82"/>
      <c r="AG1655" s="82"/>
      <c r="AH1655" s="82"/>
      <c r="AI1655" s="82"/>
      <c r="AJ1655" s="166"/>
      <c r="AK1655" s="82"/>
      <c r="AL1655" s="162"/>
      <c r="AM1655" s="162"/>
      <c r="AN1655" s="162"/>
      <c r="AO1655" s="162"/>
      <c r="AP1655" s="162"/>
      <c r="AQ1655" s="162"/>
      <c r="AR1655" s="710"/>
      <c r="AV1655" s="82"/>
      <c r="AW1655" s="947"/>
      <c r="AX1655" s="947"/>
      <c r="AY1655" s="947"/>
    </row>
    <row r="1656" spans="31:51" x14ac:dyDescent="0.25">
      <c r="AE1656" s="75"/>
      <c r="AF1656" s="82"/>
      <c r="AG1656" s="82"/>
      <c r="AH1656" s="82"/>
      <c r="AI1656" s="82"/>
      <c r="AJ1656" s="166"/>
      <c r="AK1656" s="82"/>
      <c r="AL1656" s="162"/>
      <c r="AM1656" s="162"/>
      <c r="AN1656" s="162"/>
      <c r="AO1656" s="162"/>
      <c r="AP1656" s="162"/>
      <c r="AQ1656" s="162"/>
      <c r="AR1656" s="710"/>
      <c r="AV1656" s="82"/>
      <c r="AW1656" s="947"/>
      <c r="AX1656" s="947"/>
      <c r="AY1656" s="947"/>
    </row>
    <row r="1657" spans="31:51" x14ac:dyDescent="0.25">
      <c r="AE1657" s="75"/>
      <c r="AF1657" s="82"/>
      <c r="AG1657" s="82"/>
      <c r="AH1657" s="82"/>
      <c r="AI1657" s="82"/>
      <c r="AJ1657" s="166"/>
      <c r="AK1657" s="82"/>
      <c r="AL1657" s="162"/>
      <c r="AM1657" s="162"/>
      <c r="AN1657" s="162"/>
      <c r="AO1657" s="162"/>
      <c r="AP1657" s="162"/>
      <c r="AQ1657" s="162"/>
      <c r="AR1657" s="710"/>
      <c r="AV1657" s="82"/>
      <c r="AW1657" s="947"/>
      <c r="AX1657" s="947"/>
      <c r="AY1657" s="947"/>
    </row>
    <row r="1658" spans="31:51" x14ac:dyDescent="0.25">
      <c r="AE1658" s="75"/>
      <c r="AF1658" s="82"/>
      <c r="AG1658" s="82"/>
      <c r="AH1658" s="82"/>
      <c r="AI1658" s="82"/>
      <c r="AJ1658" s="166"/>
      <c r="AK1658" s="82"/>
      <c r="AL1658" s="162"/>
      <c r="AM1658" s="162"/>
      <c r="AN1658" s="162"/>
      <c r="AO1658" s="162"/>
      <c r="AP1658" s="162"/>
      <c r="AQ1658" s="162"/>
      <c r="AR1658" s="710"/>
      <c r="AV1658" s="82"/>
      <c r="AW1658" s="947"/>
      <c r="AX1658" s="947"/>
      <c r="AY1658" s="947"/>
    </row>
    <row r="1659" spans="31:51" x14ac:dyDescent="0.25">
      <c r="AE1659" s="75"/>
      <c r="AF1659" s="82"/>
      <c r="AG1659" s="82"/>
      <c r="AH1659" s="82"/>
      <c r="AI1659" s="82"/>
      <c r="AJ1659" s="166"/>
      <c r="AK1659" s="82"/>
      <c r="AL1659" s="162"/>
      <c r="AM1659" s="162"/>
      <c r="AN1659" s="162"/>
      <c r="AO1659" s="162"/>
      <c r="AP1659" s="162"/>
      <c r="AQ1659" s="162"/>
      <c r="AR1659" s="710"/>
      <c r="AV1659" s="82"/>
      <c r="AW1659" s="947"/>
      <c r="AX1659" s="947"/>
      <c r="AY1659" s="947"/>
    </row>
    <row r="1660" spans="31:51" x14ac:dyDescent="0.25">
      <c r="AE1660" s="75"/>
      <c r="AF1660" s="82"/>
      <c r="AG1660" s="82"/>
      <c r="AH1660" s="82"/>
      <c r="AI1660" s="82"/>
      <c r="AJ1660" s="166"/>
      <c r="AK1660" s="82"/>
      <c r="AL1660" s="162"/>
      <c r="AM1660" s="162"/>
      <c r="AN1660" s="162"/>
      <c r="AO1660" s="162"/>
      <c r="AP1660" s="162"/>
      <c r="AQ1660" s="162"/>
      <c r="AR1660" s="710"/>
      <c r="AV1660" s="82"/>
      <c r="AW1660" s="947"/>
      <c r="AX1660" s="947"/>
      <c r="AY1660" s="947"/>
    </row>
    <row r="1661" spans="31:51" x14ac:dyDescent="0.25">
      <c r="AE1661" s="75"/>
      <c r="AF1661" s="82"/>
      <c r="AG1661" s="82"/>
      <c r="AH1661" s="82"/>
      <c r="AI1661" s="82"/>
      <c r="AJ1661" s="166"/>
      <c r="AK1661" s="82"/>
      <c r="AL1661" s="162"/>
      <c r="AM1661" s="162"/>
      <c r="AN1661" s="162"/>
      <c r="AO1661" s="162"/>
      <c r="AP1661" s="162"/>
      <c r="AQ1661" s="162"/>
      <c r="AR1661" s="710"/>
      <c r="AV1661" s="82"/>
      <c r="AW1661" s="947"/>
      <c r="AX1661" s="947"/>
      <c r="AY1661" s="947"/>
    </row>
    <row r="1662" spans="31:51" x14ac:dyDescent="0.25">
      <c r="AE1662" s="75"/>
      <c r="AF1662" s="82"/>
      <c r="AG1662" s="82"/>
      <c r="AH1662" s="82"/>
      <c r="AI1662" s="82"/>
      <c r="AJ1662" s="166"/>
      <c r="AK1662" s="82"/>
      <c r="AL1662" s="162"/>
      <c r="AM1662" s="162"/>
      <c r="AN1662" s="162"/>
      <c r="AO1662" s="162"/>
      <c r="AP1662" s="162"/>
      <c r="AQ1662" s="162"/>
      <c r="AR1662" s="710"/>
      <c r="AV1662" s="82"/>
      <c r="AW1662" s="947"/>
      <c r="AX1662" s="947"/>
      <c r="AY1662" s="947"/>
    </row>
    <row r="1663" spans="31:51" x14ac:dyDescent="0.25">
      <c r="AE1663" s="75"/>
      <c r="AF1663" s="82"/>
      <c r="AG1663" s="82"/>
      <c r="AH1663" s="82"/>
      <c r="AI1663" s="82"/>
      <c r="AJ1663" s="166"/>
      <c r="AK1663" s="82"/>
      <c r="AL1663" s="162"/>
      <c r="AM1663" s="162"/>
      <c r="AN1663" s="162"/>
      <c r="AO1663" s="162"/>
      <c r="AP1663" s="162"/>
      <c r="AQ1663" s="162"/>
      <c r="AR1663" s="710"/>
      <c r="AV1663" s="82"/>
      <c r="AW1663" s="947"/>
      <c r="AX1663" s="947"/>
      <c r="AY1663" s="947"/>
    </row>
    <row r="1664" spans="31:51" x14ac:dyDescent="0.25">
      <c r="AE1664" s="75"/>
      <c r="AF1664" s="82"/>
      <c r="AG1664" s="82"/>
      <c r="AH1664" s="82"/>
      <c r="AI1664" s="82"/>
      <c r="AJ1664" s="166"/>
      <c r="AK1664" s="82"/>
      <c r="AL1664" s="162"/>
      <c r="AM1664" s="162"/>
      <c r="AN1664" s="162"/>
      <c r="AO1664" s="162"/>
      <c r="AP1664" s="162"/>
      <c r="AQ1664" s="162"/>
      <c r="AR1664" s="710"/>
      <c r="AV1664" s="82"/>
      <c r="AW1664" s="947"/>
      <c r="AX1664" s="947"/>
      <c r="AY1664" s="947"/>
    </row>
    <row r="1665" spans="31:51" x14ac:dyDescent="0.25">
      <c r="AE1665" s="75"/>
      <c r="AF1665" s="82"/>
      <c r="AG1665" s="82"/>
      <c r="AH1665" s="82"/>
      <c r="AI1665" s="82"/>
      <c r="AJ1665" s="166"/>
      <c r="AK1665" s="82"/>
      <c r="AL1665" s="162"/>
      <c r="AM1665" s="162"/>
      <c r="AN1665" s="162"/>
      <c r="AO1665" s="162"/>
      <c r="AP1665" s="162"/>
      <c r="AQ1665" s="162"/>
      <c r="AR1665" s="710"/>
      <c r="AV1665" s="82"/>
      <c r="AW1665" s="947"/>
      <c r="AX1665" s="947"/>
      <c r="AY1665" s="947"/>
    </row>
    <row r="1666" spans="31:51" x14ac:dyDescent="0.25">
      <c r="AE1666" s="75"/>
      <c r="AF1666" s="82"/>
      <c r="AG1666" s="82"/>
      <c r="AH1666" s="82"/>
      <c r="AI1666" s="82"/>
      <c r="AJ1666" s="166"/>
      <c r="AK1666" s="82"/>
      <c r="AL1666" s="162"/>
      <c r="AM1666" s="162"/>
      <c r="AN1666" s="162"/>
      <c r="AO1666" s="162"/>
      <c r="AP1666" s="162"/>
      <c r="AQ1666" s="162"/>
      <c r="AR1666" s="710"/>
      <c r="AV1666" s="82"/>
      <c r="AW1666" s="947"/>
      <c r="AX1666" s="947"/>
      <c r="AY1666" s="947"/>
    </row>
    <row r="1667" spans="31:51" x14ac:dyDescent="0.25">
      <c r="AE1667" s="75"/>
      <c r="AF1667" s="82"/>
      <c r="AG1667" s="82"/>
      <c r="AH1667" s="82"/>
      <c r="AI1667" s="82"/>
      <c r="AJ1667" s="166"/>
      <c r="AK1667" s="82"/>
      <c r="AL1667" s="162"/>
      <c r="AM1667" s="162"/>
      <c r="AN1667" s="162"/>
      <c r="AO1667" s="162"/>
      <c r="AP1667" s="162"/>
      <c r="AQ1667" s="162"/>
      <c r="AR1667" s="710"/>
      <c r="AV1667" s="82"/>
      <c r="AW1667" s="947"/>
      <c r="AX1667" s="947"/>
      <c r="AY1667" s="947"/>
    </row>
    <row r="1668" spans="31:51" x14ac:dyDescent="0.25">
      <c r="AE1668" s="75"/>
      <c r="AF1668" s="82"/>
      <c r="AG1668" s="82"/>
      <c r="AH1668" s="82"/>
      <c r="AI1668" s="82"/>
      <c r="AJ1668" s="166"/>
      <c r="AK1668" s="82"/>
      <c r="AL1668" s="162"/>
      <c r="AM1668" s="162"/>
      <c r="AN1668" s="162"/>
      <c r="AO1668" s="162"/>
      <c r="AP1668" s="162"/>
      <c r="AQ1668" s="162"/>
      <c r="AR1668" s="710"/>
      <c r="AV1668" s="82"/>
      <c r="AW1668" s="947"/>
      <c r="AX1668" s="947"/>
      <c r="AY1668" s="947"/>
    </row>
    <row r="1669" spans="31:51" x14ac:dyDescent="0.25">
      <c r="AE1669" s="75"/>
      <c r="AF1669" s="82"/>
      <c r="AG1669" s="82"/>
      <c r="AH1669" s="82"/>
      <c r="AI1669" s="82"/>
      <c r="AJ1669" s="166"/>
      <c r="AK1669" s="82"/>
      <c r="AL1669" s="162"/>
      <c r="AM1669" s="162"/>
      <c r="AN1669" s="162"/>
      <c r="AO1669" s="162"/>
      <c r="AP1669" s="162"/>
      <c r="AQ1669" s="162"/>
      <c r="AR1669" s="710"/>
      <c r="AV1669" s="82"/>
      <c r="AW1669" s="947"/>
      <c r="AX1669" s="947"/>
      <c r="AY1669" s="947"/>
    </row>
    <row r="1670" spans="31:51" x14ac:dyDescent="0.25">
      <c r="AE1670" s="75"/>
      <c r="AF1670" s="82"/>
      <c r="AG1670" s="82"/>
      <c r="AH1670" s="82"/>
      <c r="AI1670" s="82"/>
      <c r="AJ1670" s="166"/>
      <c r="AK1670" s="82"/>
      <c r="AL1670" s="162"/>
      <c r="AM1670" s="162"/>
      <c r="AN1670" s="162"/>
      <c r="AO1670" s="162"/>
      <c r="AP1670" s="162"/>
      <c r="AQ1670" s="162"/>
      <c r="AR1670" s="710"/>
      <c r="AV1670" s="82"/>
      <c r="AW1670" s="947"/>
      <c r="AX1670" s="947"/>
      <c r="AY1670" s="947"/>
    </row>
    <row r="1671" spans="31:51" x14ac:dyDescent="0.25">
      <c r="AE1671" s="75"/>
      <c r="AF1671" s="82"/>
      <c r="AG1671" s="82"/>
      <c r="AH1671" s="82"/>
      <c r="AI1671" s="82"/>
      <c r="AJ1671" s="166"/>
      <c r="AK1671" s="82"/>
      <c r="AL1671" s="162"/>
      <c r="AM1671" s="162"/>
      <c r="AN1671" s="162"/>
      <c r="AO1671" s="162"/>
      <c r="AP1671" s="162"/>
      <c r="AQ1671" s="162"/>
      <c r="AR1671" s="710"/>
      <c r="AV1671" s="82"/>
      <c r="AW1671" s="947"/>
      <c r="AX1671" s="947"/>
      <c r="AY1671" s="947"/>
    </row>
    <row r="1672" spans="31:51" x14ac:dyDescent="0.25">
      <c r="AE1672" s="75"/>
      <c r="AF1672" s="82"/>
      <c r="AG1672" s="82"/>
      <c r="AH1672" s="82"/>
      <c r="AI1672" s="82"/>
      <c r="AJ1672" s="166"/>
      <c r="AK1672" s="82"/>
      <c r="AL1672" s="162"/>
      <c r="AM1672" s="162"/>
      <c r="AN1672" s="162"/>
      <c r="AO1672" s="162"/>
      <c r="AP1672" s="162"/>
      <c r="AQ1672" s="162"/>
      <c r="AR1672" s="710"/>
      <c r="AV1672" s="82"/>
      <c r="AW1672" s="947"/>
      <c r="AX1672" s="947"/>
      <c r="AY1672" s="947"/>
    </row>
    <row r="1673" spans="31:51" x14ac:dyDescent="0.25">
      <c r="AE1673" s="75"/>
      <c r="AF1673" s="82"/>
      <c r="AG1673" s="82"/>
      <c r="AH1673" s="82"/>
      <c r="AI1673" s="82"/>
      <c r="AJ1673" s="166"/>
      <c r="AK1673" s="82"/>
      <c r="AL1673" s="162"/>
      <c r="AM1673" s="162"/>
      <c r="AN1673" s="162"/>
      <c r="AO1673" s="162"/>
      <c r="AP1673" s="162"/>
      <c r="AQ1673" s="162"/>
      <c r="AR1673" s="710"/>
      <c r="AV1673" s="82"/>
      <c r="AW1673" s="947"/>
      <c r="AX1673" s="947"/>
      <c r="AY1673" s="947"/>
    </row>
    <row r="1674" spans="31:51" x14ac:dyDescent="0.25">
      <c r="AE1674" s="75"/>
      <c r="AF1674" s="82"/>
      <c r="AG1674" s="82"/>
      <c r="AH1674" s="82"/>
      <c r="AI1674" s="82"/>
      <c r="AJ1674" s="166"/>
      <c r="AK1674" s="82"/>
      <c r="AL1674" s="162"/>
      <c r="AM1674" s="162"/>
      <c r="AN1674" s="162"/>
      <c r="AO1674" s="162"/>
      <c r="AP1674" s="162"/>
      <c r="AQ1674" s="162"/>
      <c r="AR1674" s="710"/>
      <c r="AV1674" s="82"/>
      <c r="AW1674" s="947"/>
      <c r="AX1674" s="947"/>
      <c r="AY1674" s="947"/>
    </row>
    <row r="1675" spans="31:51" x14ac:dyDescent="0.25">
      <c r="AE1675" s="75"/>
      <c r="AF1675" s="82"/>
      <c r="AG1675" s="82"/>
      <c r="AH1675" s="82"/>
      <c r="AI1675" s="82"/>
      <c r="AJ1675" s="166"/>
      <c r="AK1675" s="82"/>
      <c r="AL1675" s="162"/>
      <c r="AM1675" s="162"/>
      <c r="AN1675" s="162"/>
      <c r="AO1675" s="162"/>
      <c r="AP1675" s="162"/>
      <c r="AQ1675" s="162"/>
      <c r="AR1675" s="710"/>
      <c r="AV1675" s="82"/>
      <c r="AW1675" s="947"/>
      <c r="AX1675" s="947"/>
      <c r="AY1675" s="947"/>
    </row>
    <row r="1676" spans="31:51" x14ac:dyDescent="0.25">
      <c r="AE1676" s="75"/>
      <c r="AF1676" s="82"/>
      <c r="AG1676" s="82"/>
      <c r="AH1676" s="82"/>
      <c r="AI1676" s="82"/>
      <c r="AJ1676" s="166"/>
      <c r="AK1676" s="82"/>
      <c r="AL1676" s="162"/>
      <c r="AM1676" s="162"/>
      <c r="AN1676" s="162"/>
      <c r="AO1676" s="162"/>
      <c r="AP1676" s="162"/>
      <c r="AQ1676" s="162"/>
      <c r="AR1676" s="710"/>
      <c r="AV1676" s="82"/>
      <c r="AW1676" s="947"/>
      <c r="AX1676" s="947"/>
      <c r="AY1676" s="947"/>
    </row>
    <row r="1677" spans="31:51" x14ac:dyDescent="0.25">
      <c r="AE1677" s="75"/>
      <c r="AF1677" s="82"/>
      <c r="AG1677" s="82"/>
      <c r="AH1677" s="82"/>
      <c r="AI1677" s="82"/>
      <c r="AJ1677" s="166"/>
      <c r="AK1677" s="82"/>
      <c r="AL1677" s="162"/>
      <c r="AM1677" s="162"/>
      <c r="AN1677" s="162"/>
      <c r="AO1677" s="162"/>
      <c r="AP1677" s="162"/>
      <c r="AQ1677" s="162"/>
      <c r="AR1677" s="710"/>
      <c r="AV1677" s="82"/>
      <c r="AW1677" s="947"/>
      <c r="AX1677" s="947"/>
      <c r="AY1677" s="947"/>
    </row>
    <row r="1678" spans="31:51" x14ac:dyDescent="0.25">
      <c r="AE1678" s="75"/>
      <c r="AF1678" s="82"/>
      <c r="AG1678" s="82"/>
      <c r="AH1678" s="82"/>
      <c r="AI1678" s="82"/>
      <c r="AJ1678" s="166"/>
      <c r="AK1678" s="82"/>
      <c r="AL1678" s="162"/>
      <c r="AM1678" s="162"/>
      <c r="AN1678" s="162"/>
      <c r="AO1678" s="162"/>
      <c r="AP1678" s="162"/>
      <c r="AQ1678" s="162"/>
      <c r="AR1678" s="710"/>
      <c r="AV1678" s="82"/>
      <c r="AW1678" s="947"/>
      <c r="AX1678" s="947"/>
      <c r="AY1678" s="947"/>
    </row>
    <row r="1679" spans="31:51" x14ac:dyDescent="0.25">
      <c r="AE1679" s="75"/>
      <c r="AF1679" s="82"/>
      <c r="AG1679" s="82"/>
      <c r="AH1679" s="82"/>
      <c r="AI1679" s="82"/>
      <c r="AJ1679" s="166"/>
      <c r="AK1679" s="82"/>
      <c r="AL1679" s="162"/>
      <c r="AM1679" s="162"/>
      <c r="AN1679" s="162"/>
      <c r="AO1679" s="162"/>
      <c r="AP1679" s="162"/>
      <c r="AQ1679" s="162"/>
      <c r="AR1679" s="710"/>
      <c r="AV1679" s="82"/>
      <c r="AW1679" s="947"/>
      <c r="AX1679" s="947"/>
      <c r="AY1679" s="947"/>
    </row>
    <row r="1680" spans="31:51" x14ac:dyDescent="0.25">
      <c r="AE1680" s="75"/>
      <c r="AF1680" s="82"/>
      <c r="AG1680" s="82"/>
      <c r="AH1680" s="82"/>
      <c r="AI1680" s="82"/>
      <c r="AJ1680" s="166"/>
      <c r="AK1680" s="82"/>
      <c r="AL1680" s="162"/>
      <c r="AM1680" s="162"/>
      <c r="AN1680" s="162"/>
      <c r="AO1680" s="162"/>
      <c r="AP1680" s="162"/>
      <c r="AQ1680" s="162"/>
      <c r="AR1680" s="710"/>
      <c r="AV1680" s="82"/>
      <c r="AW1680" s="947"/>
      <c r="AX1680" s="947"/>
      <c r="AY1680" s="947"/>
    </row>
    <row r="1681" spans="31:51" x14ac:dyDescent="0.25">
      <c r="AE1681" s="75"/>
      <c r="AF1681" s="82"/>
      <c r="AG1681" s="82"/>
      <c r="AH1681" s="82"/>
      <c r="AI1681" s="82"/>
      <c r="AJ1681" s="166"/>
      <c r="AK1681" s="82"/>
      <c r="AL1681" s="162"/>
      <c r="AM1681" s="162"/>
      <c r="AN1681" s="162"/>
      <c r="AO1681" s="162"/>
      <c r="AP1681" s="162"/>
      <c r="AQ1681" s="162"/>
      <c r="AR1681" s="710"/>
      <c r="AV1681" s="82"/>
      <c r="AW1681" s="947"/>
      <c r="AX1681" s="947"/>
      <c r="AY1681" s="947"/>
    </row>
    <row r="1682" spans="31:51" x14ac:dyDescent="0.25">
      <c r="AE1682" s="75"/>
      <c r="AF1682" s="82"/>
      <c r="AG1682" s="82"/>
      <c r="AH1682" s="82"/>
      <c r="AI1682" s="82"/>
      <c r="AJ1682" s="166"/>
      <c r="AK1682" s="82"/>
      <c r="AL1682" s="162"/>
      <c r="AM1682" s="162"/>
      <c r="AN1682" s="162"/>
      <c r="AO1682" s="162"/>
      <c r="AP1682" s="162"/>
      <c r="AQ1682" s="162"/>
      <c r="AR1682" s="710"/>
      <c r="AV1682" s="82"/>
      <c r="AW1682" s="947"/>
      <c r="AX1682" s="947"/>
      <c r="AY1682" s="947"/>
    </row>
    <row r="1683" spans="31:51" x14ac:dyDescent="0.25">
      <c r="AE1683" s="75"/>
      <c r="AF1683" s="82"/>
      <c r="AG1683" s="82"/>
      <c r="AH1683" s="82"/>
      <c r="AI1683" s="82"/>
      <c r="AJ1683" s="166"/>
      <c r="AK1683" s="82"/>
      <c r="AL1683" s="162"/>
      <c r="AM1683" s="162"/>
      <c r="AN1683" s="162"/>
      <c r="AO1683" s="162"/>
      <c r="AP1683" s="162"/>
      <c r="AQ1683" s="162"/>
      <c r="AR1683" s="710"/>
      <c r="AV1683" s="82"/>
      <c r="AW1683" s="947"/>
      <c r="AX1683" s="947"/>
      <c r="AY1683" s="947"/>
    </row>
    <row r="1684" spans="31:51" x14ac:dyDescent="0.25">
      <c r="AE1684" s="75"/>
      <c r="AF1684" s="82"/>
      <c r="AG1684" s="82"/>
      <c r="AH1684" s="82"/>
      <c r="AI1684" s="82"/>
      <c r="AJ1684" s="166"/>
      <c r="AK1684" s="82"/>
      <c r="AL1684" s="162"/>
      <c r="AM1684" s="162"/>
      <c r="AN1684" s="162"/>
      <c r="AO1684" s="162"/>
      <c r="AP1684" s="162"/>
      <c r="AQ1684" s="162"/>
      <c r="AR1684" s="710"/>
      <c r="AV1684" s="82"/>
      <c r="AW1684" s="947"/>
      <c r="AX1684" s="947"/>
      <c r="AY1684" s="947"/>
    </row>
    <row r="1685" spans="31:51" x14ac:dyDescent="0.25">
      <c r="AE1685" s="75"/>
      <c r="AF1685" s="82"/>
      <c r="AG1685" s="82"/>
      <c r="AH1685" s="82"/>
      <c r="AI1685" s="82"/>
      <c r="AJ1685" s="166"/>
      <c r="AK1685" s="82"/>
      <c r="AL1685" s="162"/>
      <c r="AM1685" s="162"/>
      <c r="AN1685" s="162"/>
      <c r="AO1685" s="162"/>
      <c r="AP1685" s="162"/>
      <c r="AQ1685" s="162"/>
      <c r="AR1685" s="710"/>
      <c r="AV1685" s="82"/>
      <c r="AW1685" s="947"/>
      <c r="AX1685" s="947"/>
      <c r="AY1685" s="947"/>
    </row>
    <row r="1686" spans="31:51" x14ac:dyDescent="0.25">
      <c r="AE1686" s="75"/>
      <c r="AF1686" s="82"/>
      <c r="AG1686" s="82"/>
      <c r="AH1686" s="82"/>
      <c r="AI1686" s="82"/>
      <c r="AJ1686" s="166"/>
      <c r="AK1686" s="82"/>
      <c r="AL1686" s="162"/>
      <c r="AM1686" s="162"/>
      <c r="AN1686" s="162"/>
      <c r="AO1686" s="162"/>
      <c r="AP1686" s="162"/>
      <c r="AQ1686" s="162"/>
      <c r="AR1686" s="710"/>
      <c r="AV1686" s="82"/>
      <c r="AW1686" s="947"/>
      <c r="AX1686" s="947"/>
      <c r="AY1686" s="947"/>
    </row>
    <row r="1687" spans="31:51" x14ac:dyDescent="0.25">
      <c r="AE1687" s="75"/>
      <c r="AF1687" s="82"/>
      <c r="AG1687" s="82"/>
      <c r="AH1687" s="82"/>
      <c r="AI1687" s="82"/>
      <c r="AJ1687" s="166"/>
      <c r="AK1687" s="82"/>
      <c r="AL1687" s="162"/>
      <c r="AM1687" s="162"/>
      <c r="AN1687" s="162"/>
      <c r="AO1687" s="162"/>
      <c r="AP1687" s="162"/>
      <c r="AQ1687" s="162"/>
      <c r="AR1687" s="710"/>
      <c r="AV1687" s="82"/>
      <c r="AW1687" s="947"/>
      <c r="AX1687" s="947"/>
      <c r="AY1687" s="947"/>
    </row>
    <row r="1688" spans="31:51" x14ac:dyDescent="0.25">
      <c r="AE1688" s="75"/>
      <c r="AF1688" s="82"/>
      <c r="AG1688" s="82"/>
      <c r="AH1688" s="82"/>
      <c r="AI1688" s="82"/>
      <c r="AJ1688" s="166"/>
      <c r="AK1688" s="82"/>
      <c r="AL1688" s="162"/>
      <c r="AM1688" s="162"/>
      <c r="AN1688" s="162"/>
      <c r="AO1688" s="162"/>
      <c r="AP1688" s="162"/>
      <c r="AQ1688" s="162"/>
      <c r="AR1688" s="710"/>
      <c r="AV1688" s="82"/>
      <c r="AW1688" s="947"/>
      <c r="AX1688" s="947"/>
      <c r="AY1688" s="947"/>
    </row>
    <row r="1689" spans="31:51" x14ac:dyDescent="0.25">
      <c r="AE1689" s="75"/>
      <c r="AF1689" s="82"/>
      <c r="AG1689" s="82"/>
      <c r="AH1689" s="82"/>
      <c r="AI1689" s="82"/>
      <c r="AJ1689" s="166"/>
      <c r="AK1689" s="82"/>
      <c r="AL1689" s="162"/>
      <c r="AM1689" s="162"/>
      <c r="AN1689" s="162"/>
      <c r="AO1689" s="162"/>
      <c r="AP1689" s="162"/>
      <c r="AQ1689" s="162"/>
      <c r="AR1689" s="710"/>
      <c r="AV1689" s="82"/>
      <c r="AW1689" s="947"/>
      <c r="AX1689" s="947"/>
      <c r="AY1689" s="947"/>
    </row>
    <row r="1690" spans="31:51" x14ac:dyDescent="0.25">
      <c r="AE1690" s="75"/>
      <c r="AF1690" s="82"/>
      <c r="AG1690" s="82"/>
      <c r="AH1690" s="82"/>
      <c r="AI1690" s="82"/>
      <c r="AJ1690" s="166"/>
      <c r="AK1690" s="82"/>
      <c r="AL1690" s="162"/>
      <c r="AM1690" s="162"/>
      <c r="AN1690" s="162"/>
      <c r="AO1690" s="162"/>
      <c r="AP1690" s="162"/>
      <c r="AQ1690" s="162"/>
      <c r="AR1690" s="710"/>
      <c r="AV1690" s="82"/>
      <c r="AW1690" s="947"/>
      <c r="AX1690" s="947"/>
      <c r="AY1690" s="947"/>
    </row>
    <row r="1691" spans="31:51" x14ac:dyDescent="0.25">
      <c r="AE1691" s="75"/>
      <c r="AF1691" s="82"/>
      <c r="AG1691" s="82"/>
      <c r="AH1691" s="82"/>
      <c r="AI1691" s="82"/>
      <c r="AJ1691" s="166"/>
      <c r="AK1691" s="82"/>
      <c r="AL1691" s="162"/>
      <c r="AM1691" s="162"/>
      <c r="AN1691" s="162"/>
      <c r="AO1691" s="162"/>
      <c r="AP1691" s="162"/>
      <c r="AQ1691" s="162"/>
      <c r="AR1691" s="710"/>
      <c r="AV1691" s="82"/>
      <c r="AW1691" s="947"/>
      <c r="AX1691" s="947"/>
      <c r="AY1691" s="947"/>
    </row>
    <row r="1692" spans="31:51" x14ac:dyDescent="0.25">
      <c r="AE1692" s="75"/>
      <c r="AF1692" s="82"/>
      <c r="AG1692" s="82"/>
      <c r="AH1692" s="82"/>
      <c r="AI1692" s="82"/>
      <c r="AJ1692" s="166"/>
      <c r="AK1692" s="82"/>
      <c r="AL1692" s="162"/>
      <c r="AM1692" s="162"/>
      <c r="AN1692" s="162"/>
      <c r="AO1692" s="162"/>
      <c r="AP1692" s="162"/>
      <c r="AQ1692" s="162"/>
      <c r="AR1692" s="710"/>
      <c r="AV1692" s="82"/>
      <c r="AW1692" s="947"/>
      <c r="AX1692" s="947"/>
      <c r="AY1692" s="947"/>
    </row>
    <row r="1693" spans="31:51" x14ac:dyDescent="0.25">
      <c r="AE1693" s="75"/>
      <c r="AF1693" s="82"/>
      <c r="AG1693" s="82"/>
      <c r="AH1693" s="82"/>
      <c r="AI1693" s="82"/>
      <c r="AJ1693" s="166"/>
      <c r="AK1693" s="82"/>
      <c r="AL1693" s="162"/>
      <c r="AM1693" s="162"/>
      <c r="AN1693" s="162"/>
      <c r="AO1693" s="162"/>
      <c r="AP1693" s="162"/>
      <c r="AQ1693" s="162"/>
      <c r="AR1693" s="710"/>
      <c r="AV1693" s="82"/>
      <c r="AW1693" s="947"/>
      <c r="AX1693" s="947"/>
      <c r="AY1693" s="947"/>
    </row>
    <row r="1694" spans="31:51" x14ac:dyDescent="0.25">
      <c r="AE1694" s="75"/>
      <c r="AF1694" s="82"/>
      <c r="AG1694" s="82"/>
      <c r="AH1694" s="82"/>
      <c r="AI1694" s="82"/>
      <c r="AJ1694" s="166"/>
      <c r="AK1694" s="82"/>
      <c r="AL1694" s="162"/>
      <c r="AM1694" s="162"/>
      <c r="AN1694" s="162"/>
      <c r="AO1694" s="162"/>
      <c r="AP1694" s="162"/>
      <c r="AQ1694" s="162"/>
      <c r="AR1694" s="710"/>
      <c r="AV1694" s="82"/>
      <c r="AW1694" s="947"/>
      <c r="AX1694" s="947"/>
      <c r="AY1694" s="947"/>
    </row>
    <row r="1695" spans="31:51" x14ac:dyDescent="0.25">
      <c r="AE1695" s="75"/>
      <c r="AF1695" s="82"/>
      <c r="AG1695" s="82"/>
      <c r="AH1695" s="82"/>
      <c r="AI1695" s="82"/>
      <c r="AJ1695" s="166"/>
      <c r="AK1695" s="82"/>
      <c r="AL1695" s="162"/>
      <c r="AM1695" s="162"/>
      <c r="AN1695" s="162"/>
      <c r="AO1695" s="162"/>
      <c r="AP1695" s="162"/>
      <c r="AQ1695" s="162"/>
      <c r="AR1695" s="710"/>
      <c r="AV1695" s="82"/>
      <c r="AW1695" s="947"/>
      <c r="AX1695" s="947"/>
      <c r="AY1695" s="947"/>
    </row>
    <row r="1696" spans="31:51" x14ac:dyDescent="0.25">
      <c r="AE1696" s="75"/>
      <c r="AF1696" s="82"/>
      <c r="AG1696" s="82"/>
      <c r="AH1696" s="82"/>
      <c r="AI1696" s="82"/>
      <c r="AJ1696" s="166"/>
      <c r="AK1696" s="82"/>
      <c r="AL1696" s="162"/>
      <c r="AM1696" s="162"/>
      <c r="AN1696" s="162"/>
      <c r="AO1696" s="162"/>
      <c r="AP1696" s="162"/>
      <c r="AQ1696" s="162"/>
      <c r="AR1696" s="710"/>
      <c r="AV1696" s="82"/>
      <c r="AW1696" s="947"/>
      <c r="AX1696" s="947"/>
      <c r="AY1696" s="947"/>
    </row>
    <row r="1697" spans="31:51" x14ac:dyDescent="0.25">
      <c r="AE1697" s="75"/>
      <c r="AF1697" s="82"/>
      <c r="AG1697" s="82"/>
      <c r="AH1697" s="82"/>
      <c r="AI1697" s="82"/>
      <c r="AJ1697" s="166"/>
      <c r="AK1697" s="82"/>
      <c r="AL1697" s="162"/>
      <c r="AM1697" s="162"/>
      <c r="AN1697" s="162"/>
      <c r="AO1697" s="162"/>
      <c r="AP1697" s="162"/>
      <c r="AQ1697" s="162"/>
      <c r="AR1697" s="710"/>
      <c r="AV1697" s="82"/>
      <c r="AW1697" s="947"/>
      <c r="AX1697" s="947"/>
      <c r="AY1697" s="947"/>
    </row>
    <row r="1698" spans="31:51" x14ac:dyDescent="0.25">
      <c r="AE1698" s="75"/>
      <c r="AF1698" s="82"/>
      <c r="AG1698" s="82"/>
      <c r="AH1698" s="82"/>
      <c r="AI1698" s="82"/>
      <c r="AJ1698" s="166"/>
      <c r="AK1698" s="82"/>
      <c r="AL1698" s="162"/>
      <c r="AM1698" s="162"/>
      <c r="AN1698" s="162"/>
      <c r="AO1698" s="162"/>
      <c r="AP1698" s="162"/>
      <c r="AQ1698" s="162"/>
      <c r="AR1698" s="710"/>
      <c r="AV1698" s="82"/>
      <c r="AW1698" s="947"/>
      <c r="AX1698" s="947"/>
      <c r="AY1698" s="947"/>
    </row>
    <row r="1699" spans="31:51" x14ac:dyDescent="0.25">
      <c r="AE1699" s="75"/>
      <c r="AF1699" s="82"/>
      <c r="AG1699" s="82"/>
      <c r="AH1699" s="82"/>
      <c r="AI1699" s="82"/>
      <c r="AJ1699" s="166"/>
      <c r="AK1699" s="82"/>
      <c r="AL1699" s="162"/>
      <c r="AM1699" s="162"/>
      <c r="AN1699" s="162"/>
      <c r="AO1699" s="162"/>
      <c r="AP1699" s="162"/>
      <c r="AQ1699" s="162"/>
      <c r="AR1699" s="710"/>
      <c r="AV1699" s="82"/>
      <c r="AW1699" s="947"/>
      <c r="AX1699" s="947"/>
      <c r="AY1699" s="947"/>
    </row>
    <row r="1700" spans="31:51" x14ac:dyDescent="0.25">
      <c r="AE1700" s="75"/>
      <c r="AF1700" s="82"/>
      <c r="AG1700" s="82"/>
      <c r="AH1700" s="82"/>
      <c r="AI1700" s="82"/>
      <c r="AJ1700" s="166"/>
      <c r="AK1700" s="82"/>
      <c r="AL1700" s="162"/>
      <c r="AM1700" s="162"/>
      <c r="AN1700" s="162"/>
      <c r="AO1700" s="162"/>
      <c r="AP1700" s="162"/>
      <c r="AQ1700" s="162"/>
      <c r="AR1700" s="710"/>
      <c r="AV1700" s="82"/>
      <c r="AW1700" s="947"/>
      <c r="AX1700" s="947"/>
      <c r="AY1700" s="947"/>
    </row>
    <row r="1701" spans="31:51" x14ac:dyDescent="0.25">
      <c r="AE1701" s="75"/>
      <c r="AF1701" s="82"/>
      <c r="AG1701" s="82"/>
      <c r="AH1701" s="82"/>
      <c r="AI1701" s="82"/>
      <c r="AJ1701" s="166"/>
      <c r="AK1701" s="82"/>
      <c r="AL1701" s="162"/>
      <c r="AM1701" s="162"/>
      <c r="AN1701" s="162"/>
      <c r="AO1701" s="162"/>
      <c r="AP1701" s="162"/>
      <c r="AQ1701" s="162"/>
      <c r="AR1701" s="710"/>
      <c r="AV1701" s="82"/>
      <c r="AW1701" s="947"/>
      <c r="AX1701" s="947"/>
      <c r="AY1701" s="947"/>
    </row>
    <row r="1702" spans="31:51" x14ac:dyDescent="0.25">
      <c r="AE1702" s="75"/>
      <c r="AF1702" s="82"/>
      <c r="AG1702" s="82"/>
      <c r="AH1702" s="82"/>
      <c r="AI1702" s="82"/>
      <c r="AJ1702" s="166"/>
      <c r="AK1702" s="82"/>
      <c r="AL1702" s="162"/>
      <c r="AM1702" s="162"/>
      <c r="AN1702" s="162"/>
      <c r="AO1702" s="162"/>
      <c r="AP1702" s="162"/>
      <c r="AQ1702" s="162"/>
      <c r="AR1702" s="710"/>
      <c r="AV1702" s="82"/>
      <c r="AW1702" s="947"/>
      <c r="AX1702" s="947"/>
      <c r="AY1702" s="947"/>
    </row>
    <row r="1703" spans="31:51" x14ac:dyDescent="0.25">
      <c r="AE1703" s="75"/>
      <c r="AF1703" s="82"/>
      <c r="AG1703" s="82"/>
      <c r="AH1703" s="82"/>
      <c r="AI1703" s="82"/>
      <c r="AJ1703" s="166"/>
      <c r="AK1703" s="82"/>
      <c r="AL1703" s="162"/>
      <c r="AM1703" s="162"/>
      <c r="AN1703" s="162"/>
      <c r="AO1703" s="162"/>
      <c r="AP1703" s="162"/>
      <c r="AQ1703" s="162"/>
      <c r="AR1703" s="710"/>
      <c r="AV1703" s="82"/>
      <c r="AW1703" s="947"/>
      <c r="AX1703" s="947"/>
      <c r="AY1703" s="947"/>
    </row>
    <row r="1704" spans="31:51" x14ac:dyDescent="0.25">
      <c r="AE1704" s="75"/>
      <c r="AF1704" s="82"/>
      <c r="AG1704" s="82"/>
      <c r="AH1704" s="82"/>
      <c r="AI1704" s="82"/>
      <c r="AJ1704" s="166"/>
      <c r="AK1704" s="82"/>
      <c r="AL1704" s="162"/>
      <c r="AM1704" s="162"/>
      <c r="AN1704" s="162"/>
      <c r="AO1704" s="162"/>
      <c r="AP1704" s="162"/>
      <c r="AQ1704" s="162"/>
      <c r="AR1704" s="710"/>
      <c r="AV1704" s="82"/>
      <c r="AW1704" s="947"/>
      <c r="AX1704" s="947"/>
      <c r="AY1704" s="947"/>
    </row>
    <row r="1705" spans="31:51" x14ac:dyDescent="0.25">
      <c r="AE1705" s="75"/>
      <c r="AF1705" s="82"/>
      <c r="AG1705" s="82"/>
      <c r="AH1705" s="82"/>
      <c r="AI1705" s="82"/>
      <c r="AJ1705" s="166"/>
      <c r="AK1705" s="82"/>
      <c r="AL1705" s="162"/>
      <c r="AM1705" s="162"/>
      <c r="AN1705" s="162"/>
      <c r="AO1705" s="162"/>
      <c r="AP1705" s="162"/>
      <c r="AQ1705" s="162"/>
      <c r="AR1705" s="710"/>
      <c r="AV1705" s="82"/>
      <c r="AW1705" s="947"/>
      <c r="AX1705" s="947"/>
      <c r="AY1705" s="947"/>
    </row>
    <row r="1706" spans="31:51" x14ac:dyDescent="0.25">
      <c r="AE1706" s="75"/>
      <c r="AF1706" s="82"/>
      <c r="AG1706" s="82"/>
      <c r="AH1706" s="82"/>
      <c r="AI1706" s="82"/>
      <c r="AJ1706" s="166"/>
      <c r="AK1706" s="82"/>
      <c r="AL1706" s="162"/>
      <c r="AM1706" s="162"/>
      <c r="AN1706" s="162"/>
      <c r="AO1706" s="162"/>
      <c r="AP1706" s="162"/>
      <c r="AQ1706" s="162"/>
      <c r="AR1706" s="710"/>
      <c r="AV1706" s="82"/>
      <c r="AW1706" s="947"/>
      <c r="AX1706" s="947"/>
      <c r="AY1706" s="947"/>
    </row>
    <row r="1707" spans="31:51" x14ac:dyDescent="0.25">
      <c r="AE1707" s="75"/>
      <c r="AF1707" s="82"/>
      <c r="AG1707" s="82"/>
      <c r="AH1707" s="82"/>
      <c r="AI1707" s="82"/>
      <c r="AJ1707" s="166"/>
      <c r="AK1707" s="82"/>
      <c r="AL1707" s="162"/>
      <c r="AM1707" s="162"/>
      <c r="AN1707" s="162"/>
      <c r="AO1707" s="162"/>
      <c r="AP1707" s="162"/>
      <c r="AQ1707" s="162"/>
      <c r="AR1707" s="710"/>
      <c r="AV1707" s="82"/>
      <c r="AW1707" s="947"/>
      <c r="AX1707" s="947"/>
      <c r="AY1707" s="947"/>
    </row>
    <row r="1708" spans="31:51" x14ac:dyDescent="0.25">
      <c r="AE1708" s="75"/>
      <c r="AF1708" s="82"/>
      <c r="AG1708" s="82"/>
      <c r="AH1708" s="82"/>
      <c r="AI1708" s="82"/>
      <c r="AJ1708" s="166"/>
      <c r="AK1708" s="82"/>
      <c r="AL1708" s="162"/>
      <c r="AM1708" s="162"/>
      <c r="AN1708" s="162"/>
      <c r="AO1708" s="162"/>
      <c r="AP1708" s="162"/>
      <c r="AQ1708" s="162"/>
      <c r="AR1708" s="710"/>
      <c r="AV1708" s="82"/>
      <c r="AW1708" s="947"/>
      <c r="AX1708" s="947"/>
      <c r="AY1708" s="947"/>
    </row>
    <row r="1709" spans="31:51" x14ac:dyDescent="0.25">
      <c r="AE1709" s="75"/>
      <c r="AF1709" s="82"/>
      <c r="AG1709" s="82"/>
      <c r="AH1709" s="82"/>
      <c r="AI1709" s="82"/>
      <c r="AJ1709" s="166"/>
      <c r="AK1709" s="82"/>
      <c r="AL1709" s="162"/>
      <c r="AM1709" s="162"/>
      <c r="AN1709" s="162"/>
      <c r="AO1709" s="162"/>
      <c r="AP1709" s="162"/>
      <c r="AQ1709" s="162"/>
      <c r="AR1709" s="710"/>
      <c r="AV1709" s="82"/>
      <c r="AW1709" s="947"/>
      <c r="AX1709" s="947"/>
      <c r="AY1709" s="947"/>
    </row>
    <row r="1710" spans="31:51" x14ac:dyDescent="0.25">
      <c r="AE1710" s="75"/>
      <c r="AF1710" s="82"/>
      <c r="AG1710" s="82"/>
      <c r="AH1710" s="82"/>
      <c r="AI1710" s="82"/>
      <c r="AJ1710" s="166"/>
      <c r="AK1710" s="82"/>
      <c r="AL1710" s="162"/>
      <c r="AM1710" s="162"/>
      <c r="AN1710" s="162"/>
      <c r="AO1710" s="162"/>
      <c r="AP1710" s="162"/>
      <c r="AQ1710" s="162"/>
      <c r="AR1710" s="710"/>
      <c r="AV1710" s="82"/>
      <c r="AW1710" s="947"/>
      <c r="AX1710" s="947"/>
      <c r="AY1710" s="947"/>
    </row>
    <row r="1711" spans="31:51" x14ac:dyDescent="0.25">
      <c r="AE1711" s="75"/>
      <c r="AF1711" s="82"/>
      <c r="AG1711" s="82"/>
      <c r="AH1711" s="82"/>
      <c r="AI1711" s="82"/>
      <c r="AJ1711" s="166"/>
      <c r="AK1711" s="82"/>
      <c r="AL1711" s="162"/>
      <c r="AM1711" s="162"/>
      <c r="AN1711" s="162"/>
      <c r="AO1711" s="162"/>
      <c r="AP1711" s="162"/>
      <c r="AQ1711" s="162"/>
      <c r="AR1711" s="710"/>
      <c r="AV1711" s="82"/>
      <c r="AW1711" s="947"/>
      <c r="AX1711" s="947"/>
      <c r="AY1711" s="947"/>
    </row>
    <row r="1712" spans="31:51" x14ac:dyDescent="0.25">
      <c r="AE1712" s="75"/>
      <c r="AF1712" s="82"/>
      <c r="AG1712" s="82"/>
      <c r="AH1712" s="82"/>
      <c r="AI1712" s="82"/>
      <c r="AJ1712" s="166"/>
      <c r="AK1712" s="82"/>
      <c r="AL1712" s="162"/>
      <c r="AM1712" s="162"/>
      <c r="AN1712" s="162"/>
      <c r="AO1712" s="162"/>
      <c r="AP1712" s="162"/>
      <c r="AQ1712" s="162"/>
      <c r="AR1712" s="710"/>
      <c r="AV1712" s="82"/>
      <c r="AW1712" s="947"/>
      <c r="AX1712" s="947"/>
      <c r="AY1712" s="947"/>
    </row>
    <row r="1713" spans="31:51" x14ac:dyDescent="0.25">
      <c r="AE1713" s="75"/>
      <c r="AF1713" s="82"/>
      <c r="AG1713" s="82"/>
      <c r="AH1713" s="82"/>
      <c r="AI1713" s="82"/>
      <c r="AJ1713" s="166"/>
      <c r="AK1713" s="82"/>
      <c r="AL1713" s="162"/>
      <c r="AM1713" s="162"/>
      <c r="AN1713" s="162"/>
      <c r="AO1713" s="162"/>
      <c r="AP1713" s="162"/>
      <c r="AQ1713" s="162"/>
      <c r="AR1713" s="710"/>
      <c r="AV1713" s="82"/>
      <c r="AW1713" s="947"/>
      <c r="AX1713" s="947"/>
      <c r="AY1713" s="947"/>
    </row>
    <row r="1714" spans="31:51" x14ac:dyDescent="0.25">
      <c r="AE1714" s="75"/>
      <c r="AF1714" s="82"/>
      <c r="AG1714" s="82"/>
      <c r="AH1714" s="82"/>
      <c r="AI1714" s="82"/>
      <c r="AJ1714" s="166"/>
      <c r="AK1714" s="82"/>
      <c r="AL1714" s="162"/>
      <c r="AM1714" s="162"/>
      <c r="AN1714" s="162"/>
      <c r="AO1714" s="162"/>
      <c r="AP1714" s="162"/>
      <c r="AQ1714" s="162"/>
      <c r="AR1714" s="710"/>
      <c r="AV1714" s="82"/>
      <c r="AW1714" s="947"/>
      <c r="AX1714" s="947"/>
      <c r="AY1714" s="947"/>
    </row>
    <row r="1715" spans="31:51" x14ac:dyDescent="0.25">
      <c r="AE1715" s="75"/>
      <c r="AF1715" s="82"/>
      <c r="AG1715" s="82"/>
      <c r="AH1715" s="82"/>
      <c r="AI1715" s="82"/>
      <c r="AJ1715" s="166"/>
      <c r="AK1715" s="82"/>
      <c r="AL1715" s="162"/>
      <c r="AM1715" s="162"/>
      <c r="AN1715" s="162"/>
      <c r="AO1715" s="162"/>
      <c r="AP1715" s="162"/>
      <c r="AQ1715" s="162"/>
      <c r="AR1715" s="710"/>
      <c r="AV1715" s="82"/>
      <c r="AW1715" s="947"/>
      <c r="AX1715" s="947"/>
      <c r="AY1715" s="947"/>
    </row>
    <row r="1716" spans="31:51" x14ac:dyDescent="0.25">
      <c r="AE1716" s="75"/>
      <c r="AF1716" s="82"/>
      <c r="AG1716" s="82"/>
      <c r="AH1716" s="82"/>
      <c r="AI1716" s="82"/>
      <c r="AJ1716" s="166"/>
      <c r="AK1716" s="82"/>
      <c r="AL1716" s="162"/>
      <c r="AM1716" s="162"/>
      <c r="AN1716" s="162"/>
      <c r="AO1716" s="162"/>
      <c r="AP1716" s="162"/>
      <c r="AQ1716" s="162"/>
      <c r="AR1716" s="710"/>
      <c r="AV1716" s="82"/>
      <c r="AW1716" s="947"/>
      <c r="AX1716" s="947"/>
      <c r="AY1716" s="947"/>
    </row>
    <row r="1717" spans="31:51" x14ac:dyDescent="0.25">
      <c r="AE1717" s="75"/>
      <c r="AF1717" s="82"/>
      <c r="AG1717" s="82"/>
      <c r="AH1717" s="82"/>
      <c r="AI1717" s="82"/>
      <c r="AJ1717" s="166"/>
      <c r="AK1717" s="82"/>
      <c r="AL1717" s="162"/>
      <c r="AM1717" s="162"/>
      <c r="AN1717" s="162"/>
      <c r="AO1717" s="162"/>
      <c r="AP1717" s="162"/>
      <c r="AQ1717" s="162"/>
      <c r="AR1717" s="710"/>
      <c r="AV1717" s="82"/>
      <c r="AW1717" s="947"/>
      <c r="AX1717" s="947"/>
      <c r="AY1717" s="947"/>
    </row>
    <row r="1718" spans="31:51" x14ac:dyDescent="0.25">
      <c r="AE1718" s="75"/>
      <c r="AF1718" s="82"/>
      <c r="AG1718" s="82"/>
      <c r="AH1718" s="82"/>
      <c r="AI1718" s="82"/>
      <c r="AJ1718" s="166"/>
      <c r="AK1718" s="82"/>
      <c r="AL1718" s="162"/>
      <c r="AM1718" s="162"/>
      <c r="AN1718" s="162"/>
      <c r="AO1718" s="162"/>
      <c r="AP1718" s="162"/>
      <c r="AQ1718" s="162"/>
      <c r="AR1718" s="710"/>
      <c r="AV1718" s="82"/>
      <c r="AW1718" s="947"/>
      <c r="AX1718" s="947"/>
      <c r="AY1718" s="947"/>
    </row>
    <row r="1719" spans="31:51" x14ac:dyDescent="0.25">
      <c r="AE1719" s="75"/>
      <c r="AF1719" s="82"/>
      <c r="AG1719" s="82"/>
      <c r="AH1719" s="82"/>
      <c r="AI1719" s="82"/>
      <c r="AJ1719" s="166"/>
      <c r="AK1719" s="82"/>
      <c r="AL1719" s="162"/>
      <c r="AM1719" s="162"/>
      <c r="AN1719" s="162"/>
      <c r="AO1719" s="162"/>
      <c r="AP1719" s="162"/>
      <c r="AQ1719" s="162"/>
      <c r="AR1719" s="710"/>
      <c r="AV1719" s="82"/>
      <c r="AW1719" s="947"/>
      <c r="AX1719" s="947"/>
      <c r="AY1719" s="947"/>
    </row>
    <row r="1720" spans="31:51" x14ac:dyDescent="0.25">
      <c r="AE1720" s="75"/>
      <c r="AF1720" s="82"/>
      <c r="AG1720" s="82"/>
      <c r="AH1720" s="82"/>
      <c r="AI1720" s="82"/>
      <c r="AJ1720" s="166"/>
      <c r="AK1720" s="82"/>
      <c r="AL1720" s="162"/>
      <c r="AM1720" s="162"/>
      <c r="AN1720" s="162"/>
      <c r="AO1720" s="162"/>
      <c r="AP1720" s="162"/>
      <c r="AQ1720" s="162"/>
      <c r="AR1720" s="710"/>
      <c r="AV1720" s="82"/>
      <c r="AW1720" s="947"/>
      <c r="AX1720" s="947"/>
      <c r="AY1720" s="947"/>
    </row>
    <row r="1721" spans="31:51" x14ac:dyDescent="0.25">
      <c r="AE1721" s="75"/>
      <c r="AF1721" s="82"/>
      <c r="AG1721" s="82"/>
      <c r="AH1721" s="82"/>
      <c r="AI1721" s="82"/>
      <c r="AJ1721" s="166"/>
      <c r="AK1721" s="82"/>
      <c r="AL1721" s="162"/>
      <c r="AM1721" s="162"/>
      <c r="AN1721" s="162"/>
      <c r="AO1721" s="162"/>
      <c r="AP1721" s="162"/>
      <c r="AQ1721" s="162"/>
      <c r="AR1721" s="710"/>
      <c r="AV1721" s="82"/>
      <c r="AW1721" s="947"/>
      <c r="AX1721" s="947"/>
      <c r="AY1721" s="947"/>
    </row>
    <row r="1722" spans="31:51" x14ac:dyDescent="0.25">
      <c r="AE1722" s="75"/>
      <c r="AF1722" s="82"/>
      <c r="AG1722" s="82"/>
      <c r="AH1722" s="82"/>
      <c r="AI1722" s="82"/>
      <c r="AJ1722" s="166"/>
      <c r="AK1722" s="82"/>
      <c r="AL1722" s="162"/>
      <c r="AM1722" s="162"/>
      <c r="AN1722" s="162"/>
      <c r="AO1722" s="162"/>
      <c r="AP1722" s="162"/>
      <c r="AQ1722" s="162"/>
      <c r="AR1722" s="710"/>
      <c r="AV1722" s="82"/>
      <c r="AW1722" s="947"/>
      <c r="AX1722" s="947"/>
      <c r="AY1722" s="947"/>
    </row>
    <row r="1723" spans="31:51" x14ac:dyDescent="0.25">
      <c r="AE1723" s="75"/>
      <c r="AF1723" s="82"/>
      <c r="AG1723" s="82"/>
      <c r="AH1723" s="82"/>
      <c r="AI1723" s="82"/>
      <c r="AJ1723" s="166"/>
      <c r="AK1723" s="82"/>
      <c r="AL1723" s="162"/>
      <c r="AM1723" s="162"/>
      <c r="AN1723" s="162"/>
      <c r="AO1723" s="162"/>
      <c r="AP1723" s="162"/>
      <c r="AQ1723" s="162"/>
      <c r="AR1723" s="710"/>
      <c r="AV1723" s="82"/>
      <c r="AW1723" s="947"/>
      <c r="AX1723" s="947"/>
      <c r="AY1723" s="947"/>
    </row>
    <row r="1724" spans="31:51" x14ac:dyDescent="0.25">
      <c r="AE1724" s="75"/>
      <c r="AF1724" s="82"/>
      <c r="AG1724" s="82"/>
      <c r="AH1724" s="82"/>
      <c r="AI1724" s="82"/>
      <c r="AJ1724" s="166"/>
      <c r="AK1724" s="82"/>
      <c r="AL1724" s="162"/>
      <c r="AM1724" s="162"/>
      <c r="AN1724" s="162"/>
      <c r="AO1724" s="162"/>
      <c r="AP1724" s="162"/>
      <c r="AQ1724" s="162"/>
      <c r="AR1724" s="710"/>
      <c r="AV1724" s="82"/>
      <c r="AW1724" s="947"/>
      <c r="AX1724" s="947"/>
      <c r="AY1724" s="947"/>
    </row>
    <row r="1725" spans="31:51" x14ac:dyDescent="0.25">
      <c r="AE1725" s="75"/>
      <c r="AF1725" s="82"/>
      <c r="AG1725" s="82"/>
      <c r="AH1725" s="82"/>
      <c r="AI1725" s="82"/>
      <c r="AJ1725" s="166"/>
      <c r="AK1725" s="82"/>
      <c r="AL1725" s="162"/>
      <c r="AM1725" s="162"/>
      <c r="AN1725" s="162"/>
      <c r="AO1725" s="162"/>
      <c r="AP1725" s="162"/>
      <c r="AQ1725" s="162"/>
      <c r="AR1725" s="710"/>
      <c r="AV1725" s="82"/>
      <c r="AW1725" s="947"/>
      <c r="AX1725" s="947"/>
      <c r="AY1725" s="947"/>
    </row>
    <row r="1726" spans="31:51" x14ac:dyDescent="0.25">
      <c r="AE1726" s="75"/>
      <c r="AF1726" s="82"/>
      <c r="AG1726" s="82"/>
      <c r="AH1726" s="82"/>
      <c r="AI1726" s="82"/>
      <c r="AJ1726" s="166"/>
      <c r="AK1726" s="82"/>
      <c r="AL1726" s="162"/>
      <c r="AM1726" s="162"/>
      <c r="AN1726" s="162"/>
      <c r="AO1726" s="162"/>
      <c r="AP1726" s="162"/>
      <c r="AQ1726" s="162"/>
      <c r="AR1726" s="710"/>
      <c r="AV1726" s="82"/>
      <c r="AW1726" s="947"/>
      <c r="AX1726" s="947"/>
      <c r="AY1726" s="947"/>
    </row>
    <row r="1727" spans="31:51" x14ac:dyDescent="0.25">
      <c r="AE1727" s="75"/>
      <c r="AF1727" s="82"/>
      <c r="AG1727" s="82"/>
      <c r="AH1727" s="82"/>
      <c r="AI1727" s="82"/>
      <c r="AJ1727" s="166"/>
      <c r="AK1727" s="82"/>
      <c r="AL1727" s="162"/>
      <c r="AM1727" s="162"/>
      <c r="AN1727" s="162"/>
      <c r="AO1727" s="162"/>
      <c r="AP1727" s="162"/>
      <c r="AQ1727" s="162"/>
      <c r="AR1727" s="710"/>
      <c r="AV1727" s="82"/>
      <c r="AW1727" s="947"/>
      <c r="AX1727" s="947"/>
      <c r="AY1727" s="947"/>
    </row>
    <row r="1728" spans="31:51" x14ac:dyDescent="0.25">
      <c r="AE1728" s="75"/>
      <c r="AF1728" s="82"/>
      <c r="AG1728" s="82"/>
      <c r="AH1728" s="82"/>
      <c r="AI1728" s="82"/>
      <c r="AJ1728" s="166"/>
      <c r="AK1728" s="82"/>
      <c r="AL1728" s="162"/>
      <c r="AM1728" s="162"/>
      <c r="AN1728" s="162"/>
      <c r="AO1728" s="162"/>
      <c r="AP1728" s="162"/>
      <c r="AQ1728" s="162"/>
      <c r="AR1728" s="710"/>
      <c r="AV1728" s="82"/>
      <c r="AW1728" s="947"/>
      <c r="AX1728" s="947"/>
      <c r="AY1728" s="947"/>
    </row>
    <row r="1729" spans="31:51" x14ac:dyDescent="0.25">
      <c r="AE1729" s="75"/>
      <c r="AF1729" s="82"/>
      <c r="AG1729" s="82"/>
      <c r="AH1729" s="82"/>
      <c r="AI1729" s="82"/>
      <c r="AJ1729" s="166"/>
      <c r="AK1729" s="82"/>
      <c r="AL1729" s="162"/>
      <c r="AM1729" s="162"/>
      <c r="AN1729" s="162"/>
      <c r="AO1729" s="162"/>
      <c r="AP1729" s="162"/>
      <c r="AQ1729" s="162"/>
      <c r="AR1729" s="710"/>
      <c r="AV1729" s="82"/>
      <c r="AW1729" s="947"/>
      <c r="AX1729" s="947"/>
      <c r="AY1729" s="947"/>
    </row>
    <row r="1730" spans="31:51" x14ac:dyDescent="0.25">
      <c r="AE1730" s="75"/>
      <c r="AF1730" s="82"/>
      <c r="AG1730" s="82"/>
      <c r="AH1730" s="82"/>
      <c r="AI1730" s="82"/>
      <c r="AJ1730" s="166"/>
      <c r="AK1730" s="82"/>
      <c r="AL1730" s="162"/>
      <c r="AM1730" s="162"/>
      <c r="AN1730" s="162"/>
      <c r="AO1730" s="162"/>
      <c r="AP1730" s="162"/>
      <c r="AQ1730" s="162"/>
      <c r="AR1730" s="710"/>
      <c r="AV1730" s="82"/>
      <c r="AW1730" s="947"/>
      <c r="AX1730" s="947"/>
      <c r="AY1730" s="947"/>
    </row>
    <row r="1731" spans="31:51" x14ac:dyDescent="0.25">
      <c r="AE1731" s="75"/>
      <c r="AF1731" s="82"/>
      <c r="AG1731" s="82"/>
      <c r="AH1731" s="82"/>
      <c r="AI1731" s="82"/>
      <c r="AJ1731" s="166"/>
      <c r="AK1731" s="82"/>
      <c r="AL1731" s="162"/>
      <c r="AM1731" s="162"/>
      <c r="AN1731" s="162"/>
      <c r="AO1731" s="162"/>
      <c r="AP1731" s="162"/>
      <c r="AQ1731" s="162"/>
      <c r="AR1731" s="710"/>
      <c r="AV1731" s="82"/>
      <c r="AW1731" s="947"/>
      <c r="AX1731" s="947"/>
      <c r="AY1731" s="947"/>
    </row>
    <row r="1732" spans="31:51" x14ac:dyDescent="0.25">
      <c r="AE1732" s="75"/>
      <c r="AF1732" s="82"/>
      <c r="AG1732" s="82"/>
      <c r="AH1732" s="82"/>
      <c r="AI1732" s="82"/>
      <c r="AJ1732" s="166"/>
      <c r="AK1732" s="82"/>
      <c r="AL1732" s="162"/>
      <c r="AM1732" s="162"/>
      <c r="AN1732" s="162"/>
      <c r="AO1732" s="162"/>
      <c r="AP1732" s="162"/>
      <c r="AQ1732" s="162"/>
      <c r="AR1732" s="710"/>
      <c r="AV1732" s="82"/>
      <c r="AW1732" s="947"/>
      <c r="AX1732" s="947"/>
      <c r="AY1732" s="947"/>
    </row>
    <row r="1733" spans="31:51" x14ac:dyDescent="0.25">
      <c r="AE1733" s="75"/>
      <c r="AF1733" s="82"/>
      <c r="AG1733" s="82"/>
      <c r="AH1733" s="82"/>
      <c r="AI1733" s="82"/>
      <c r="AJ1733" s="166"/>
      <c r="AK1733" s="82"/>
      <c r="AL1733" s="162"/>
      <c r="AM1733" s="162"/>
      <c r="AN1733" s="162"/>
      <c r="AO1733" s="162"/>
      <c r="AP1733" s="162"/>
      <c r="AQ1733" s="162"/>
      <c r="AR1733" s="710"/>
      <c r="AV1733" s="82"/>
      <c r="AW1733" s="947"/>
      <c r="AX1733" s="947"/>
      <c r="AY1733" s="947"/>
    </row>
    <row r="1734" spans="31:51" x14ac:dyDescent="0.25">
      <c r="AE1734" s="75"/>
      <c r="AF1734" s="82"/>
      <c r="AG1734" s="82"/>
      <c r="AH1734" s="82"/>
      <c r="AI1734" s="82"/>
      <c r="AJ1734" s="166"/>
      <c r="AK1734" s="82"/>
      <c r="AL1734" s="162"/>
      <c r="AM1734" s="162"/>
      <c r="AN1734" s="162"/>
      <c r="AO1734" s="162"/>
      <c r="AP1734" s="162"/>
      <c r="AQ1734" s="162"/>
      <c r="AR1734" s="710"/>
      <c r="AV1734" s="82"/>
      <c r="AW1734" s="947"/>
      <c r="AX1734" s="947"/>
      <c r="AY1734" s="947"/>
    </row>
    <row r="1735" spans="31:51" x14ac:dyDescent="0.25">
      <c r="AE1735" s="75"/>
      <c r="AF1735" s="82"/>
      <c r="AG1735" s="82"/>
      <c r="AH1735" s="82"/>
      <c r="AI1735" s="82"/>
      <c r="AJ1735" s="166"/>
      <c r="AK1735" s="82"/>
      <c r="AL1735" s="162"/>
      <c r="AM1735" s="162"/>
      <c r="AN1735" s="162"/>
      <c r="AO1735" s="162"/>
      <c r="AP1735" s="162"/>
      <c r="AQ1735" s="162"/>
      <c r="AR1735" s="710"/>
      <c r="AV1735" s="82"/>
      <c r="AW1735" s="947"/>
      <c r="AX1735" s="947"/>
      <c r="AY1735" s="947"/>
    </row>
    <row r="1736" spans="31:51" x14ac:dyDescent="0.25">
      <c r="AE1736" s="75"/>
      <c r="AF1736" s="82"/>
      <c r="AG1736" s="82"/>
      <c r="AH1736" s="82"/>
      <c r="AI1736" s="82"/>
      <c r="AJ1736" s="166"/>
      <c r="AK1736" s="82"/>
      <c r="AL1736" s="162"/>
      <c r="AM1736" s="162"/>
      <c r="AN1736" s="162"/>
      <c r="AO1736" s="162"/>
      <c r="AP1736" s="162"/>
      <c r="AQ1736" s="162"/>
      <c r="AR1736" s="710"/>
      <c r="AV1736" s="82"/>
      <c r="AW1736" s="947"/>
      <c r="AX1736" s="947"/>
      <c r="AY1736" s="947"/>
    </row>
    <row r="1737" spans="31:51" x14ac:dyDescent="0.25">
      <c r="AE1737" s="75"/>
      <c r="AF1737" s="82"/>
      <c r="AG1737" s="82"/>
      <c r="AH1737" s="82"/>
      <c r="AI1737" s="82"/>
      <c r="AJ1737" s="166"/>
      <c r="AK1737" s="82"/>
      <c r="AL1737" s="162"/>
      <c r="AM1737" s="162"/>
      <c r="AN1737" s="162"/>
      <c r="AO1737" s="162"/>
      <c r="AP1737" s="162"/>
      <c r="AQ1737" s="162"/>
      <c r="AR1737" s="710"/>
      <c r="AV1737" s="82"/>
      <c r="AW1737" s="947"/>
      <c r="AX1737" s="947"/>
      <c r="AY1737" s="947"/>
    </row>
    <row r="1738" spans="31:51" x14ac:dyDescent="0.25">
      <c r="AE1738" s="75"/>
      <c r="AF1738" s="82"/>
      <c r="AG1738" s="82"/>
      <c r="AH1738" s="82"/>
      <c r="AI1738" s="82"/>
      <c r="AJ1738" s="166"/>
      <c r="AK1738" s="82"/>
      <c r="AL1738" s="162"/>
      <c r="AM1738" s="162"/>
      <c r="AN1738" s="162"/>
      <c r="AO1738" s="162"/>
      <c r="AP1738" s="162"/>
      <c r="AQ1738" s="162"/>
      <c r="AR1738" s="710"/>
      <c r="AV1738" s="82"/>
      <c r="AW1738" s="947"/>
      <c r="AX1738" s="947"/>
      <c r="AY1738" s="947"/>
    </row>
    <row r="1739" spans="31:51" x14ac:dyDescent="0.25">
      <c r="AE1739" s="75"/>
      <c r="AF1739" s="82"/>
      <c r="AG1739" s="82"/>
      <c r="AH1739" s="82"/>
      <c r="AI1739" s="82"/>
      <c r="AJ1739" s="166"/>
      <c r="AK1739" s="82"/>
      <c r="AL1739" s="162"/>
      <c r="AM1739" s="162"/>
      <c r="AN1739" s="162"/>
      <c r="AO1739" s="162"/>
      <c r="AP1739" s="162"/>
      <c r="AQ1739" s="162"/>
      <c r="AR1739" s="710"/>
      <c r="AV1739" s="82"/>
      <c r="AW1739" s="947"/>
      <c r="AX1739" s="947"/>
      <c r="AY1739" s="947"/>
    </row>
    <row r="1740" spans="31:51" x14ac:dyDescent="0.25">
      <c r="AE1740" s="75"/>
      <c r="AF1740" s="82"/>
      <c r="AG1740" s="82"/>
      <c r="AH1740" s="82"/>
      <c r="AI1740" s="82"/>
      <c r="AJ1740" s="166"/>
      <c r="AK1740" s="82"/>
      <c r="AL1740" s="162"/>
      <c r="AM1740" s="162"/>
      <c r="AN1740" s="162"/>
      <c r="AO1740" s="162"/>
      <c r="AP1740" s="162"/>
      <c r="AQ1740" s="162"/>
      <c r="AR1740" s="710"/>
      <c r="AV1740" s="82"/>
      <c r="AW1740" s="947"/>
      <c r="AX1740" s="947"/>
      <c r="AY1740" s="947"/>
    </row>
    <row r="1741" spans="31:51" x14ac:dyDescent="0.25">
      <c r="AE1741" s="75"/>
      <c r="AF1741" s="82"/>
      <c r="AG1741" s="82"/>
      <c r="AH1741" s="82"/>
      <c r="AI1741" s="82"/>
      <c r="AJ1741" s="166"/>
      <c r="AK1741" s="82"/>
      <c r="AL1741" s="162"/>
      <c r="AM1741" s="162"/>
      <c r="AN1741" s="162"/>
      <c r="AO1741" s="162"/>
      <c r="AP1741" s="162"/>
      <c r="AQ1741" s="162"/>
      <c r="AR1741" s="710"/>
      <c r="AV1741" s="82"/>
      <c r="AW1741" s="947"/>
      <c r="AX1741" s="947"/>
      <c r="AY1741" s="947"/>
    </row>
    <row r="1742" spans="31:51" x14ac:dyDescent="0.25">
      <c r="AE1742" s="75"/>
      <c r="AF1742" s="82"/>
      <c r="AG1742" s="82"/>
      <c r="AH1742" s="82"/>
      <c r="AI1742" s="82"/>
      <c r="AJ1742" s="166"/>
      <c r="AK1742" s="82"/>
      <c r="AL1742" s="162"/>
      <c r="AM1742" s="162"/>
      <c r="AN1742" s="162"/>
      <c r="AO1742" s="162"/>
      <c r="AP1742" s="162"/>
      <c r="AQ1742" s="162"/>
      <c r="AR1742" s="710"/>
      <c r="AV1742" s="82"/>
      <c r="AW1742" s="947"/>
      <c r="AX1742" s="947"/>
      <c r="AY1742" s="947"/>
    </row>
    <row r="1743" spans="31:51" x14ac:dyDescent="0.25">
      <c r="AE1743" s="75"/>
      <c r="AF1743" s="82"/>
      <c r="AG1743" s="82"/>
      <c r="AH1743" s="82"/>
      <c r="AI1743" s="82"/>
      <c r="AJ1743" s="166"/>
      <c r="AK1743" s="82"/>
      <c r="AL1743" s="162"/>
      <c r="AM1743" s="162"/>
      <c r="AN1743" s="162"/>
      <c r="AO1743" s="162"/>
      <c r="AP1743" s="162"/>
      <c r="AQ1743" s="162"/>
      <c r="AR1743" s="710"/>
      <c r="AV1743" s="82"/>
      <c r="AW1743" s="947"/>
      <c r="AX1743" s="947"/>
      <c r="AY1743" s="947"/>
    </row>
    <row r="1744" spans="31:51" x14ac:dyDescent="0.25">
      <c r="AE1744" s="75"/>
      <c r="AF1744" s="82"/>
      <c r="AG1744" s="82"/>
      <c r="AH1744" s="82"/>
      <c r="AI1744" s="82"/>
      <c r="AJ1744" s="166"/>
      <c r="AK1744" s="82"/>
      <c r="AL1744" s="162"/>
      <c r="AM1744" s="162"/>
      <c r="AN1744" s="162"/>
      <c r="AO1744" s="162"/>
      <c r="AP1744" s="162"/>
      <c r="AQ1744" s="162"/>
      <c r="AR1744" s="710"/>
      <c r="AV1744" s="82"/>
      <c r="AW1744" s="947"/>
      <c r="AX1744" s="947"/>
      <c r="AY1744" s="947"/>
    </row>
    <row r="1745" spans="31:51" x14ac:dyDescent="0.25">
      <c r="AE1745" s="75"/>
      <c r="AF1745" s="82"/>
      <c r="AG1745" s="82"/>
      <c r="AH1745" s="82"/>
      <c r="AI1745" s="82"/>
      <c r="AJ1745" s="166"/>
      <c r="AK1745" s="82"/>
      <c r="AL1745" s="162"/>
      <c r="AM1745" s="162"/>
      <c r="AN1745" s="162"/>
      <c r="AO1745" s="162"/>
      <c r="AP1745" s="162"/>
      <c r="AQ1745" s="162"/>
      <c r="AR1745" s="710"/>
      <c r="AV1745" s="82"/>
      <c r="AW1745" s="947"/>
      <c r="AX1745" s="947"/>
      <c r="AY1745" s="947"/>
    </row>
    <row r="1746" spans="31:51" x14ac:dyDescent="0.25">
      <c r="AE1746" s="75"/>
      <c r="AF1746" s="82"/>
      <c r="AG1746" s="82"/>
      <c r="AH1746" s="82"/>
      <c r="AI1746" s="82"/>
      <c r="AJ1746" s="166"/>
      <c r="AK1746" s="82"/>
      <c r="AL1746" s="162"/>
      <c r="AM1746" s="162"/>
      <c r="AN1746" s="162"/>
      <c r="AO1746" s="162"/>
      <c r="AP1746" s="162"/>
      <c r="AQ1746" s="162"/>
      <c r="AR1746" s="710"/>
      <c r="AV1746" s="82"/>
      <c r="AW1746" s="947"/>
      <c r="AX1746" s="947"/>
      <c r="AY1746" s="947"/>
    </row>
    <row r="1747" spans="31:51" x14ac:dyDescent="0.25">
      <c r="AE1747" s="75"/>
      <c r="AF1747" s="82"/>
      <c r="AG1747" s="82"/>
      <c r="AH1747" s="82"/>
      <c r="AI1747" s="82"/>
      <c r="AJ1747" s="166"/>
      <c r="AK1747" s="82"/>
      <c r="AL1747" s="162"/>
      <c r="AM1747" s="162"/>
      <c r="AN1747" s="162"/>
      <c r="AO1747" s="162"/>
      <c r="AP1747" s="162"/>
      <c r="AQ1747" s="162"/>
      <c r="AR1747" s="710"/>
      <c r="AV1747" s="82"/>
      <c r="AW1747" s="947"/>
      <c r="AX1747" s="947"/>
      <c r="AY1747" s="947"/>
    </row>
    <row r="1748" spans="31:51" x14ac:dyDescent="0.25">
      <c r="AE1748" s="75"/>
      <c r="AF1748" s="82"/>
      <c r="AG1748" s="82"/>
      <c r="AH1748" s="82"/>
      <c r="AI1748" s="82"/>
      <c r="AJ1748" s="166"/>
      <c r="AK1748" s="82"/>
      <c r="AL1748" s="162"/>
      <c r="AM1748" s="162"/>
      <c r="AN1748" s="162"/>
      <c r="AO1748" s="162"/>
      <c r="AP1748" s="162"/>
      <c r="AQ1748" s="162"/>
      <c r="AR1748" s="710"/>
      <c r="AV1748" s="82"/>
      <c r="AW1748" s="947"/>
      <c r="AX1748" s="947"/>
      <c r="AY1748" s="947"/>
    </row>
    <row r="1749" spans="31:51" x14ac:dyDescent="0.25">
      <c r="AE1749" s="75"/>
      <c r="AF1749" s="82"/>
      <c r="AG1749" s="82"/>
      <c r="AH1749" s="82"/>
      <c r="AI1749" s="82"/>
      <c r="AJ1749" s="166"/>
      <c r="AK1749" s="82"/>
      <c r="AL1749" s="162"/>
      <c r="AM1749" s="162"/>
      <c r="AN1749" s="162"/>
      <c r="AO1749" s="162"/>
      <c r="AP1749" s="162"/>
      <c r="AQ1749" s="162"/>
      <c r="AR1749" s="710"/>
      <c r="AV1749" s="82"/>
      <c r="AW1749" s="947"/>
      <c r="AX1749" s="947"/>
      <c r="AY1749" s="947"/>
    </row>
    <row r="1750" spans="31:51" x14ac:dyDescent="0.25">
      <c r="AE1750" s="75"/>
      <c r="AF1750" s="82"/>
      <c r="AG1750" s="82"/>
      <c r="AH1750" s="82"/>
      <c r="AI1750" s="82"/>
      <c r="AJ1750" s="166"/>
      <c r="AK1750" s="82"/>
      <c r="AL1750" s="162"/>
      <c r="AM1750" s="162"/>
      <c r="AN1750" s="162"/>
      <c r="AO1750" s="162"/>
      <c r="AP1750" s="162"/>
      <c r="AQ1750" s="162"/>
      <c r="AR1750" s="710"/>
      <c r="AV1750" s="82"/>
      <c r="AW1750" s="947"/>
      <c r="AX1750" s="947"/>
      <c r="AY1750" s="947"/>
    </row>
    <row r="1751" spans="31:51" x14ac:dyDescent="0.25">
      <c r="AE1751" s="75"/>
      <c r="AF1751" s="82"/>
      <c r="AG1751" s="82"/>
      <c r="AH1751" s="82"/>
      <c r="AI1751" s="82"/>
      <c r="AJ1751" s="166"/>
      <c r="AK1751" s="82"/>
      <c r="AL1751" s="162"/>
      <c r="AM1751" s="162"/>
      <c r="AN1751" s="162"/>
      <c r="AO1751" s="162"/>
      <c r="AP1751" s="162"/>
      <c r="AQ1751" s="162"/>
      <c r="AR1751" s="710"/>
      <c r="AV1751" s="82"/>
      <c r="AW1751" s="947"/>
      <c r="AX1751" s="947"/>
      <c r="AY1751" s="947"/>
    </row>
    <row r="1752" spans="31:51" x14ac:dyDescent="0.25">
      <c r="AE1752" s="75"/>
      <c r="AF1752" s="82"/>
      <c r="AG1752" s="82"/>
      <c r="AH1752" s="82"/>
      <c r="AI1752" s="82"/>
      <c r="AJ1752" s="166"/>
      <c r="AK1752" s="82"/>
      <c r="AL1752" s="162"/>
      <c r="AM1752" s="162"/>
      <c r="AN1752" s="162"/>
      <c r="AO1752" s="162"/>
      <c r="AP1752" s="162"/>
      <c r="AQ1752" s="162"/>
      <c r="AR1752" s="710"/>
      <c r="AV1752" s="82"/>
      <c r="AW1752" s="947"/>
      <c r="AX1752" s="947"/>
      <c r="AY1752" s="947"/>
    </row>
    <row r="1753" spans="31:51" x14ac:dyDescent="0.25">
      <c r="AE1753" s="75"/>
      <c r="AF1753" s="82"/>
      <c r="AG1753" s="82"/>
      <c r="AH1753" s="82"/>
      <c r="AI1753" s="82"/>
      <c r="AJ1753" s="166"/>
      <c r="AK1753" s="82"/>
      <c r="AL1753" s="162"/>
      <c r="AM1753" s="162"/>
      <c r="AN1753" s="162"/>
      <c r="AO1753" s="162"/>
      <c r="AP1753" s="162"/>
      <c r="AQ1753" s="162"/>
      <c r="AR1753" s="710"/>
      <c r="AV1753" s="82"/>
      <c r="AW1753" s="947"/>
      <c r="AX1753" s="947"/>
      <c r="AY1753" s="947"/>
    </row>
    <row r="1754" spans="31:51" x14ac:dyDescent="0.25">
      <c r="AE1754" s="75"/>
      <c r="AF1754" s="82"/>
      <c r="AG1754" s="82"/>
      <c r="AH1754" s="82"/>
      <c r="AI1754" s="82"/>
      <c r="AJ1754" s="166"/>
      <c r="AK1754" s="82"/>
      <c r="AL1754" s="162"/>
      <c r="AM1754" s="162"/>
      <c r="AN1754" s="162"/>
      <c r="AO1754" s="162"/>
      <c r="AP1754" s="162"/>
      <c r="AQ1754" s="162"/>
      <c r="AR1754" s="710"/>
      <c r="AV1754" s="82"/>
      <c r="AW1754" s="947"/>
      <c r="AX1754" s="947"/>
      <c r="AY1754" s="947"/>
    </row>
    <row r="1755" spans="31:51" x14ac:dyDescent="0.25">
      <c r="AE1755" s="75"/>
      <c r="AF1755" s="82"/>
      <c r="AG1755" s="82"/>
      <c r="AH1755" s="82"/>
      <c r="AI1755" s="82"/>
      <c r="AJ1755" s="166"/>
      <c r="AK1755" s="82"/>
      <c r="AL1755" s="162"/>
      <c r="AM1755" s="162"/>
      <c r="AN1755" s="162"/>
      <c r="AO1755" s="162"/>
      <c r="AP1755" s="162"/>
      <c r="AQ1755" s="162"/>
      <c r="AR1755" s="710"/>
      <c r="AV1755" s="82"/>
      <c r="AW1755" s="947"/>
      <c r="AX1755" s="947"/>
      <c r="AY1755" s="947"/>
    </row>
    <row r="1756" spans="31:51" x14ac:dyDescent="0.25">
      <c r="AE1756" s="75"/>
      <c r="AF1756" s="82"/>
      <c r="AG1756" s="82"/>
      <c r="AH1756" s="82"/>
      <c r="AI1756" s="82"/>
      <c r="AJ1756" s="166"/>
      <c r="AK1756" s="82"/>
      <c r="AL1756" s="162"/>
      <c r="AM1756" s="162"/>
      <c r="AN1756" s="162"/>
      <c r="AO1756" s="162"/>
      <c r="AP1756" s="162"/>
      <c r="AQ1756" s="162"/>
      <c r="AR1756" s="710"/>
      <c r="AV1756" s="82"/>
      <c r="AW1756" s="947"/>
      <c r="AX1756" s="947"/>
      <c r="AY1756" s="947"/>
    </row>
    <row r="1757" spans="31:51" x14ac:dyDescent="0.25">
      <c r="AE1757" s="75"/>
      <c r="AF1757" s="82"/>
      <c r="AG1757" s="82"/>
      <c r="AH1757" s="82"/>
      <c r="AI1757" s="82"/>
      <c r="AJ1757" s="166"/>
      <c r="AK1757" s="82"/>
      <c r="AL1757" s="162"/>
      <c r="AM1757" s="162"/>
      <c r="AN1757" s="162"/>
      <c r="AO1757" s="162"/>
      <c r="AP1757" s="162"/>
      <c r="AQ1757" s="162"/>
      <c r="AR1757" s="710"/>
      <c r="AV1757" s="82"/>
      <c r="AW1757" s="947"/>
      <c r="AX1757" s="947"/>
      <c r="AY1757" s="947"/>
    </row>
    <row r="1758" spans="31:51" x14ac:dyDescent="0.25">
      <c r="AE1758" s="75"/>
      <c r="AF1758" s="82"/>
      <c r="AG1758" s="82"/>
      <c r="AH1758" s="82"/>
      <c r="AI1758" s="82"/>
      <c r="AJ1758" s="166"/>
      <c r="AK1758" s="82"/>
      <c r="AL1758" s="162"/>
      <c r="AM1758" s="162"/>
      <c r="AN1758" s="162"/>
      <c r="AO1758" s="162"/>
      <c r="AP1758" s="162"/>
      <c r="AQ1758" s="162"/>
      <c r="AR1758" s="710"/>
      <c r="AV1758" s="82"/>
      <c r="AW1758" s="947"/>
      <c r="AX1758" s="947"/>
      <c r="AY1758" s="947"/>
    </row>
    <row r="1759" spans="31:51" x14ac:dyDescent="0.25">
      <c r="AE1759" s="75"/>
      <c r="AF1759" s="82"/>
      <c r="AG1759" s="82"/>
      <c r="AH1759" s="82"/>
      <c r="AI1759" s="82"/>
      <c r="AJ1759" s="166"/>
      <c r="AK1759" s="82"/>
      <c r="AL1759" s="162"/>
      <c r="AM1759" s="162"/>
      <c r="AN1759" s="162"/>
      <c r="AO1759" s="162"/>
      <c r="AP1759" s="162"/>
      <c r="AQ1759" s="162"/>
      <c r="AR1759" s="710"/>
      <c r="AV1759" s="82"/>
      <c r="AW1759" s="947"/>
      <c r="AX1759" s="947"/>
      <c r="AY1759" s="947"/>
    </row>
    <row r="1760" spans="31:51" x14ac:dyDescent="0.25">
      <c r="AE1760" s="75"/>
      <c r="AF1760" s="82"/>
      <c r="AG1760" s="82"/>
      <c r="AH1760" s="82"/>
      <c r="AI1760" s="82"/>
      <c r="AJ1760" s="166"/>
      <c r="AK1760" s="82"/>
      <c r="AL1760" s="162"/>
      <c r="AM1760" s="162"/>
      <c r="AN1760" s="162"/>
      <c r="AO1760" s="162"/>
      <c r="AP1760" s="162"/>
      <c r="AQ1760" s="162"/>
      <c r="AR1760" s="710"/>
      <c r="AV1760" s="82"/>
      <c r="AW1760" s="947"/>
      <c r="AX1760" s="947"/>
      <c r="AY1760" s="947"/>
    </row>
    <row r="1761" spans="31:51" x14ac:dyDescent="0.25">
      <c r="AE1761" s="75"/>
      <c r="AF1761" s="82"/>
      <c r="AG1761" s="82"/>
      <c r="AH1761" s="82"/>
      <c r="AI1761" s="82"/>
      <c r="AJ1761" s="166"/>
      <c r="AK1761" s="82"/>
      <c r="AL1761" s="162"/>
      <c r="AM1761" s="162"/>
      <c r="AN1761" s="162"/>
      <c r="AO1761" s="162"/>
      <c r="AP1761" s="162"/>
      <c r="AQ1761" s="162"/>
      <c r="AR1761" s="710"/>
      <c r="AV1761" s="82"/>
      <c r="AW1761" s="947"/>
      <c r="AX1761" s="947"/>
      <c r="AY1761" s="947"/>
    </row>
    <row r="1762" spans="31:51" x14ac:dyDescent="0.25">
      <c r="AE1762" s="75"/>
      <c r="AF1762" s="82"/>
      <c r="AG1762" s="82"/>
      <c r="AH1762" s="82"/>
      <c r="AI1762" s="82"/>
      <c r="AJ1762" s="166"/>
      <c r="AK1762" s="82"/>
      <c r="AL1762" s="162"/>
      <c r="AM1762" s="162"/>
      <c r="AN1762" s="162"/>
      <c r="AO1762" s="162"/>
      <c r="AP1762" s="162"/>
      <c r="AQ1762" s="162"/>
      <c r="AR1762" s="710"/>
      <c r="AV1762" s="82"/>
      <c r="AW1762" s="947"/>
      <c r="AX1762" s="947"/>
      <c r="AY1762" s="947"/>
    </row>
    <row r="1763" spans="31:51" x14ac:dyDescent="0.25">
      <c r="AE1763" s="75"/>
      <c r="AF1763" s="82"/>
      <c r="AG1763" s="82"/>
      <c r="AH1763" s="82"/>
      <c r="AI1763" s="82"/>
      <c r="AJ1763" s="166"/>
      <c r="AK1763" s="82"/>
      <c r="AL1763" s="162"/>
      <c r="AM1763" s="162"/>
      <c r="AN1763" s="162"/>
      <c r="AO1763" s="162"/>
      <c r="AP1763" s="162"/>
      <c r="AQ1763" s="162"/>
      <c r="AR1763" s="710"/>
      <c r="AV1763" s="82"/>
      <c r="AW1763" s="947"/>
      <c r="AX1763" s="947"/>
      <c r="AY1763" s="947"/>
    </row>
    <row r="1764" spans="31:51" x14ac:dyDescent="0.25">
      <c r="AE1764" s="75"/>
      <c r="AF1764" s="82"/>
      <c r="AG1764" s="82"/>
      <c r="AH1764" s="82"/>
      <c r="AI1764" s="82"/>
      <c r="AJ1764" s="166"/>
      <c r="AK1764" s="82"/>
      <c r="AL1764" s="162"/>
      <c r="AM1764" s="162"/>
      <c r="AN1764" s="162"/>
      <c r="AO1764" s="162"/>
      <c r="AP1764" s="162"/>
      <c r="AQ1764" s="162"/>
      <c r="AR1764" s="710"/>
      <c r="AV1764" s="82"/>
      <c r="AW1764" s="947"/>
      <c r="AX1764" s="947"/>
      <c r="AY1764" s="947"/>
    </row>
    <row r="1765" spans="31:51" x14ac:dyDescent="0.25">
      <c r="AE1765" s="75"/>
      <c r="AF1765" s="82"/>
      <c r="AG1765" s="82"/>
      <c r="AH1765" s="82"/>
      <c r="AI1765" s="82"/>
      <c r="AJ1765" s="166"/>
      <c r="AK1765" s="82"/>
      <c r="AL1765" s="162"/>
      <c r="AM1765" s="162"/>
      <c r="AN1765" s="162"/>
      <c r="AO1765" s="162"/>
      <c r="AP1765" s="162"/>
      <c r="AQ1765" s="162"/>
      <c r="AR1765" s="710"/>
      <c r="AV1765" s="82"/>
      <c r="AW1765" s="947"/>
      <c r="AX1765" s="947"/>
      <c r="AY1765" s="947"/>
    </row>
    <row r="1766" spans="31:51" x14ac:dyDescent="0.25">
      <c r="AE1766" s="75"/>
      <c r="AF1766" s="82"/>
      <c r="AG1766" s="82"/>
      <c r="AH1766" s="82"/>
      <c r="AI1766" s="82"/>
      <c r="AJ1766" s="166"/>
      <c r="AK1766" s="82"/>
      <c r="AL1766" s="162"/>
      <c r="AM1766" s="162"/>
      <c r="AN1766" s="162"/>
      <c r="AO1766" s="162"/>
      <c r="AP1766" s="162"/>
      <c r="AQ1766" s="162"/>
      <c r="AR1766" s="710"/>
      <c r="AV1766" s="82"/>
      <c r="AW1766" s="947"/>
      <c r="AX1766" s="947"/>
      <c r="AY1766" s="947"/>
    </row>
    <row r="1767" spans="31:51" x14ac:dyDescent="0.25">
      <c r="AE1767" s="75"/>
      <c r="AF1767" s="82"/>
      <c r="AG1767" s="82"/>
      <c r="AH1767" s="82"/>
      <c r="AI1767" s="82"/>
      <c r="AJ1767" s="166"/>
      <c r="AK1767" s="82"/>
      <c r="AL1767" s="162"/>
      <c r="AM1767" s="162"/>
      <c r="AN1767" s="162"/>
      <c r="AO1767" s="162"/>
      <c r="AP1767" s="162"/>
      <c r="AQ1767" s="162"/>
      <c r="AR1767" s="710"/>
      <c r="AV1767" s="82"/>
      <c r="AW1767" s="947"/>
      <c r="AX1767" s="947"/>
      <c r="AY1767" s="947"/>
    </row>
    <row r="1768" spans="31:51" x14ac:dyDescent="0.25">
      <c r="AE1768" s="75"/>
      <c r="AF1768" s="82"/>
      <c r="AG1768" s="82"/>
      <c r="AH1768" s="82"/>
      <c r="AI1768" s="82"/>
      <c r="AJ1768" s="166"/>
      <c r="AK1768" s="82"/>
      <c r="AL1768" s="162"/>
      <c r="AM1768" s="162"/>
      <c r="AN1768" s="162"/>
      <c r="AO1768" s="162"/>
      <c r="AP1768" s="162"/>
      <c r="AQ1768" s="162"/>
      <c r="AR1768" s="710"/>
      <c r="AV1768" s="82"/>
      <c r="AW1768" s="947"/>
      <c r="AX1768" s="947"/>
      <c r="AY1768" s="947"/>
    </row>
    <row r="1769" spans="31:51" x14ac:dyDescent="0.25">
      <c r="AE1769" s="75"/>
      <c r="AF1769" s="82"/>
      <c r="AG1769" s="82"/>
      <c r="AH1769" s="82"/>
      <c r="AI1769" s="82"/>
      <c r="AJ1769" s="166"/>
      <c r="AK1769" s="82"/>
      <c r="AL1769" s="162"/>
      <c r="AM1769" s="162"/>
      <c r="AN1769" s="162"/>
      <c r="AO1769" s="162"/>
      <c r="AP1769" s="162"/>
      <c r="AQ1769" s="162"/>
      <c r="AR1769" s="710"/>
      <c r="AV1769" s="82"/>
      <c r="AW1769" s="947"/>
      <c r="AX1769" s="947"/>
      <c r="AY1769" s="947"/>
    </row>
    <row r="1770" spans="31:51" x14ac:dyDescent="0.25">
      <c r="AE1770" s="75"/>
      <c r="AF1770" s="82"/>
      <c r="AG1770" s="82"/>
      <c r="AH1770" s="82"/>
      <c r="AI1770" s="82"/>
      <c r="AJ1770" s="166"/>
      <c r="AK1770" s="82"/>
      <c r="AL1770" s="162"/>
      <c r="AM1770" s="162"/>
      <c r="AN1770" s="162"/>
      <c r="AO1770" s="162"/>
      <c r="AP1770" s="162"/>
      <c r="AQ1770" s="162"/>
      <c r="AR1770" s="710"/>
      <c r="AV1770" s="82"/>
      <c r="AW1770" s="947"/>
      <c r="AX1770" s="947"/>
      <c r="AY1770" s="947"/>
    </row>
    <row r="1771" spans="31:51" x14ac:dyDescent="0.25">
      <c r="AE1771" s="75"/>
      <c r="AF1771" s="82"/>
      <c r="AG1771" s="82"/>
      <c r="AH1771" s="82"/>
      <c r="AI1771" s="82"/>
      <c r="AJ1771" s="166"/>
      <c r="AK1771" s="82"/>
      <c r="AL1771" s="162"/>
      <c r="AM1771" s="162"/>
      <c r="AN1771" s="162"/>
      <c r="AO1771" s="162"/>
      <c r="AP1771" s="162"/>
      <c r="AQ1771" s="162"/>
      <c r="AR1771" s="710"/>
      <c r="AV1771" s="82"/>
      <c r="AW1771" s="947"/>
      <c r="AX1771" s="947"/>
      <c r="AY1771" s="947"/>
    </row>
    <row r="1772" spans="31:51" x14ac:dyDescent="0.25">
      <c r="AE1772" s="75"/>
      <c r="AF1772" s="82"/>
      <c r="AG1772" s="82"/>
      <c r="AH1772" s="82"/>
      <c r="AI1772" s="82"/>
      <c r="AJ1772" s="166"/>
      <c r="AK1772" s="82"/>
      <c r="AL1772" s="162"/>
      <c r="AM1772" s="162"/>
      <c r="AN1772" s="162"/>
      <c r="AO1772" s="162"/>
      <c r="AP1772" s="162"/>
      <c r="AQ1772" s="162"/>
      <c r="AR1772" s="710"/>
      <c r="AV1772" s="82"/>
      <c r="AW1772" s="947"/>
      <c r="AX1772" s="947"/>
      <c r="AY1772" s="947"/>
    </row>
    <row r="1773" spans="31:51" x14ac:dyDescent="0.25">
      <c r="AE1773" s="75"/>
      <c r="AF1773" s="82"/>
      <c r="AG1773" s="82"/>
      <c r="AH1773" s="82"/>
      <c r="AI1773" s="82"/>
      <c r="AJ1773" s="166"/>
      <c r="AK1773" s="82"/>
      <c r="AL1773" s="162"/>
      <c r="AM1773" s="162"/>
      <c r="AN1773" s="162"/>
      <c r="AO1773" s="162"/>
      <c r="AP1773" s="162"/>
      <c r="AQ1773" s="162"/>
      <c r="AR1773" s="710"/>
      <c r="AV1773" s="82"/>
      <c r="AW1773" s="947"/>
      <c r="AX1773" s="947"/>
      <c r="AY1773" s="947"/>
    </row>
    <row r="1774" spans="31:51" x14ac:dyDescent="0.25">
      <c r="AE1774" s="75"/>
      <c r="AF1774" s="82"/>
      <c r="AG1774" s="82"/>
      <c r="AH1774" s="82"/>
      <c r="AI1774" s="82"/>
      <c r="AJ1774" s="166"/>
      <c r="AK1774" s="82"/>
      <c r="AL1774" s="162"/>
      <c r="AM1774" s="162"/>
      <c r="AN1774" s="162"/>
      <c r="AO1774" s="162"/>
      <c r="AP1774" s="162"/>
      <c r="AQ1774" s="162"/>
      <c r="AR1774" s="710"/>
      <c r="AV1774" s="82"/>
      <c r="AW1774" s="947"/>
      <c r="AX1774" s="947"/>
      <c r="AY1774" s="947"/>
    </row>
    <row r="1775" spans="31:51" x14ac:dyDescent="0.25">
      <c r="AE1775" s="75"/>
      <c r="AF1775" s="82"/>
      <c r="AG1775" s="82"/>
      <c r="AH1775" s="82"/>
      <c r="AI1775" s="82"/>
      <c r="AJ1775" s="166"/>
      <c r="AK1775" s="82"/>
      <c r="AL1775" s="162"/>
      <c r="AM1775" s="162"/>
      <c r="AN1775" s="162"/>
      <c r="AO1775" s="162"/>
      <c r="AP1775" s="162"/>
      <c r="AQ1775" s="162"/>
      <c r="AR1775" s="710"/>
      <c r="AV1775" s="82"/>
      <c r="AW1775" s="947"/>
      <c r="AX1775" s="947"/>
      <c r="AY1775" s="947"/>
    </row>
    <row r="1776" spans="31:51" x14ac:dyDescent="0.25">
      <c r="AE1776" s="75"/>
      <c r="AF1776" s="82"/>
      <c r="AG1776" s="82"/>
      <c r="AH1776" s="82"/>
      <c r="AI1776" s="82"/>
      <c r="AJ1776" s="166"/>
      <c r="AK1776" s="82"/>
      <c r="AL1776" s="162"/>
      <c r="AM1776" s="162"/>
      <c r="AN1776" s="162"/>
      <c r="AO1776" s="162"/>
      <c r="AP1776" s="162"/>
      <c r="AQ1776" s="162"/>
      <c r="AR1776" s="710"/>
      <c r="AV1776" s="82"/>
      <c r="AW1776" s="947"/>
      <c r="AX1776" s="947"/>
      <c r="AY1776" s="947"/>
    </row>
    <row r="1777" spans="31:51" x14ac:dyDescent="0.25">
      <c r="AE1777" s="75"/>
      <c r="AF1777" s="82"/>
      <c r="AG1777" s="82"/>
      <c r="AH1777" s="82"/>
      <c r="AI1777" s="82"/>
      <c r="AJ1777" s="166"/>
      <c r="AK1777" s="82"/>
      <c r="AL1777" s="162"/>
      <c r="AM1777" s="162"/>
      <c r="AN1777" s="162"/>
      <c r="AO1777" s="162"/>
      <c r="AP1777" s="162"/>
      <c r="AQ1777" s="162"/>
      <c r="AR1777" s="710"/>
      <c r="AV1777" s="82"/>
      <c r="AW1777" s="947"/>
      <c r="AX1777" s="947"/>
      <c r="AY1777" s="947"/>
    </row>
    <row r="1778" spans="31:51" x14ac:dyDescent="0.25">
      <c r="AE1778" s="75"/>
      <c r="AF1778" s="82"/>
      <c r="AG1778" s="82"/>
      <c r="AH1778" s="82"/>
      <c r="AI1778" s="82"/>
      <c r="AJ1778" s="166"/>
      <c r="AK1778" s="82"/>
      <c r="AL1778" s="162"/>
      <c r="AM1778" s="162"/>
      <c r="AN1778" s="162"/>
      <c r="AO1778" s="162"/>
      <c r="AP1778" s="162"/>
      <c r="AQ1778" s="162"/>
      <c r="AR1778" s="710"/>
      <c r="AV1778" s="82"/>
      <c r="AW1778" s="947"/>
      <c r="AX1778" s="947"/>
      <c r="AY1778" s="947"/>
    </row>
    <row r="1779" spans="31:51" x14ac:dyDescent="0.25">
      <c r="AE1779" s="75"/>
      <c r="AF1779" s="82"/>
      <c r="AG1779" s="82"/>
      <c r="AH1779" s="82"/>
      <c r="AI1779" s="82"/>
      <c r="AJ1779" s="166"/>
      <c r="AK1779" s="82"/>
      <c r="AL1779" s="162"/>
      <c r="AM1779" s="162"/>
      <c r="AN1779" s="162"/>
      <c r="AO1779" s="162"/>
      <c r="AP1779" s="162"/>
      <c r="AQ1779" s="162"/>
      <c r="AR1779" s="710"/>
      <c r="AV1779" s="82"/>
      <c r="AW1779" s="947"/>
      <c r="AX1779" s="947"/>
      <c r="AY1779" s="947"/>
    </row>
    <row r="1780" spans="31:51" x14ac:dyDescent="0.25">
      <c r="AE1780" s="75"/>
      <c r="AF1780" s="82"/>
      <c r="AG1780" s="82"/>
      <c r="AH1780" s="82"/>
      <c r="AI1780" s="82"/>
      <c r="AJ1780" s="166"/>
      <c r="AK1780" s="82"/>
      <c r="AL1780" s="162"/>
      <c r="AM1780" s="162"/>
      <c r="AN1780" s="162"/>
      <c r="AO1780" s="162"/>
      <c r="AP1780" s="162"/>
      <c r="AQ1780" s="162"/>
      <c r="AR1780" s="710"/>
      <c r="AV1780" s="82"/>
      <c r="AW1780" s="947"/>
      <c r="AX1780" s="947"/>
      <c r="AY1780" s="947"/>
    </row>
    <row r="1781" spans="31:51" x14ac:dyDescent="0.25">
      <c r="AE1781" s="75"/>
      <c r="AF1781" s="82"/>
      <c r="AG1781" s="82"/>
      <c r="AH1781" s="82"/>
      <c r="AI1781" s="82"/>
      <c r="AJ1781" s="166"/>
      <c r="AK1781" s="82"/>
      <c r="AL1781" s="162"/>
      <c r="AM1781" s="162"/>
      <c r="AN1781" s="162"/>
      <c r="AO1781" s="162"/>
      <c r="AP1781" s="162"/>
      <c r="AQ1781" s="162"/>
      <c r="AR1781" s="710"/>
      <c r="AV1781" s="82"/>
      <c r="AW1781" s="947"/>
      <c r="AX1781" s="947"/>
      <c r="AY1781" s="947"/>
    </row>
    <row r="1782" spans="31:51" x14ac:dyDescent="0.25">
      <c r="AE1782" s="75"/>
      <c r="AF1782" s="82"/>
      <c r="AG1782" s="82"/>
      <c r="AH1782" s="82"/>
      <c r="AI1782" s="82"/>
      <c r="AJ1782" s="166"/>
      <c r="AK1782" s="82"/>
      <c r="AL1782" s="162"/>
      <c r="AM1782" s="162"/>
      <c r="AN1782" s="162"/>
      <c r="AO1782" s="162"/>
      <c r="AP1782" s="162"/>
      <c r="AQ1782" s="162"/>
      <c r="AR1782" s="710"/>
      <c r="AV1782" s="82"/>
      <c r="AW1782" s="947"/>
      <c r="AX1782" s="947"/>
      <c r="AY1782" s="947"/>
    </row>
    <row r="1783" spans="31:51" x14ac:dyDescent="0.25">
      <c r="AE1783" s="75"/>
      <c r="AF1783" s="82"/>
      <c r="AG1783" s="82"/>
      <c r="AH1783" s="82"/>
      <c r="AI1783" s="82"/>
      <c r="AJ1783" s="166"/>
      <c r="AK1783" s="82"/>
      <c r="AL1783" s="162"/>
      <c r="AM1783" s="162"/>
      <c r="AN1783" s="162"/>
      <c r="AO1783" s="162"/>
      <c r="AP1783" s="162"/>
      <c r="AQ1783" s="162"/>
      <c r="AR1783" s="710"/>
      <c r="AV1783" s="82"/>
      <c r="AW1783" s="947"/>
      <c r="AX1783" s="947"/>
      <c r="AY1783" s="947"/>
    </row>
    <row r="1784" spans="31:51" x14ac:dyDescent="0.25">
      <c r="AE1784" s="75"/>
      <c r="AF1784" s="82"/>
      <c r="AG1784" s="82"/>
      <c r="AH1784" s="82"/>
      <c r="AI1784" s="82"/>
      <c r="AJ1784" s="166"/>
      <c r="AK1784" s="82"/>
      <c r="AL1784" s="162"/>
      <c r="AM1784" s="162"/>
      <c r="AN1784" s="162"/>
      <c r="AO1784" s="162"/>
      <c r="AP1784" s="162"/>
      <c r="AQ1784" s="162"/>
      <c r="AR1784" s="710"/>
      <c r="AV1784" s="82"/>
      <c r="AW1784" s="947"/>
      <c r="AX1784" s="947"/>
      <c r="AY1784" s="947"/>
    </row>
    <row r="1785" spans="31:51" x14ac:dyDescent="0.25">
      <c r="AE1785" s="75"/>
      <c r="AF1785" s="82"/>
      <c r="AG1785" s="82"/>
      <c r="AH1785" s="82"/>
      <c r="AI1785" s="82"/>
      <c r="AJ1785" s="166"/>
      <c r="AK1785" s="82"/>
      <c r="AL1785" s="162"/>
      <c r="AM1785" s="162"/>
      <c r="AN1785" s="162"/>
      <c r="AO1785" s="162"/>
      <c r="AP1785" s="162"/>
      <c r="AQ1785" s="162"/>
      <c r="AR1785" s="710"/>
      <c r="AV1785" s="82"/>
      <c r="AW1785" s="947"/>
      <c r="AX1785" s="947"/>
      <c r="AY1785" s="947"/>
    </row>
    <row r="1786" spans="31:51" x14ac:dyDescent="0.25">
      <c r="AE1786" s="75"/>
      <c r="AF1786" s="82"/>
      <c r="AG1786" s="82"/>
      <c r="AH1786" s="82"/>
      <c r="AI1786" s="82"/>
      <c r="AJ1786" s="166"/>
      <c r="AK1786" s="82"/>
      <c r="AL1786" s="162"/>
      <c r="AM1786" s="162"/>
      <c r="AN1786" s="162"/>
      <c r="AO1786" s="162"/>
      <c r="AP1786" s="162"/>
      <c r="AQ1786" s="162"/>
      <c r="AR1786" s="710"/>
      <c r="AV1786" s="82"/>
      <c r="AW1786" s="947"/>
      <c r="AX1786" s="947"/>
      <c r="AY1786" s="947"/>
    </row>
    <row r="1787" spans="31:51" x14ac:dyDescent="0.25">
      <c r="AE1787" s="75"/>
      <c r="AF1787" s="82"/>
      <c r="AG1787" s="82"/>
      <c r="AH1787" s="82"/>
      <c r="AI1787" s="82"/>
      <c r="AJ1787" s="166"/>
      <c r="AK1787" s="82"/>
      <c r="AL1787" s="162"/>
      <c r="AM1787" s="162"/>
      <c r="AN1787" s="162"/>
      <c r="AO1787" s="162"/>
      <c r="AP1787" s="162"/>
      <c r="AQ1787" s="162"/>
      <c r="AR1787" s="710"/>
      <c r="AV1787" s="82"/>
      <c r="AW1787" s="947"/>
      <c r="AX1787" s="947"/>
      <c r="AY1787" s="947"/>
    </row>
    <row r="1788" spans="31:51" x14ac:dyDescent="0.25">
      <c r="AE1788" s="75"/>
      <c r="AF1788" s="82"/>
      <c r="AG1788" s="82"/>
      <c r="AH1788" s="82"/>
      <c r="AI1788" s="82"/>
      <c r="AJ1788" s="166"/>
      <c r="AK1788" s="82"/>
      <c r="AL1788" s="162"/>
      <c r="AM1788" s="162"/>
      <c r="AN1788" s="162"/>
      <c r="AO1788" s="162"/>
      <c r="AP1788" s="162"/>
      <c r="AQ1788" s="162"/>
      <c r="AR1788" s="710"/>
      <c r="AV1788" s="82"/>
      <c r="AW1788" s="947"/>
      <c r="AX1788" s="947"/>
      <c r="AY1788" s="947"/>
    </row>
    <row r="1789" spans="31:51" x14ac:dyDescent="0.25">
      <c r="AE1789" s="75"/>
      <c r="AF1789" s="82"/>
      <c r="AG1789" s="82"/>
      <c r="AH1789" s="82"/>
      <c r="AI1789" s="82"/>
      <c r="AJ1789" s="166"/>
      <c r="AK1789" s="82"/>
      <c r="AL1789" s="162"/>
      <c r="AM1789" s="162"/>
      <c r="AN1789" s="162"/>
      <c r="AO1789" s="162"/>
      <c r="AP1789" s="162"/>
      <c r="AQ1789" s="162"/>
      <c r="AR1789" s="710"/>
      <c r="AV1789" s="82"/>
      <c r="AW1789" s="947"/>
      <c r="AX1789" s="947"/>
      <c r="AY1789" s="947"/>
    </row>
    <row r="1790" spans="31:51" x14ac:dyDescent="0.25">
      <c r="AE1790" s="75"/>
      <c r="AF1790" s="82"/>
      <c r="AG1790" s="82"/>
      <c r="AH1790" s="82"/>
      <c r="AI1790" s="82"/>
      <c r="AJ1790" s="166"/>
      <c r="AK1790" s="82"/>
      <c r="AL1790" s="162"/>
      <c r="AM1790" s="162"/>
      <c r="AN1790" s="162"/>
      <c r="AO1790" s="162"/>
      <c r="AP1790" s="162"/>
      <c r="AQ1790" s="162"/>
      <c r="AR1790" s="710"/>
      <c r="AV1790" s="82"/>
      <c r="AW1790" s="947"/>
      <c r="AX1790" s="947"/>
      <c r="AY1790" s="947"/>
    </row>
    <row r="1791" spans="31:51" x14ac:dyDescent="0.25">
      <c r="AE1791" s="75"/>
      <c r="AF1791" s="82"/>
      <c r="AG1791" s="82"/>
      <c r="AH1791" s="82"/>
      <c r="AI1791" s="82"/>
      <c r="AJ1791" s="166"/>
      <c r="AK1791" s="82"/>
      <c r="AL1791" s="162"/>
      <c r="AM1791" s="162"/>
      <c r="AN1791" s="162"/>
      <c r="AO1791" s="162"/>
      <c r="AP1791" s="162"/>
      <c r="AQ1791" s="162"/>
      <c r="AR1791" s="710"/>
      <c r="AV1791" s="82"/>
      <c r="AW1791" s="947"/>
      <c r="AX1791" s="947"/>
      <c r="AY1791" s="947"/>
    </row>
    <row r="1792" spans="31:51" x14ac:dyDescent="0.25">
      <c r="AE1792" s="75"/>
      <c r="AF1792" s="82"/>
      <c r="AG1792" s="82"/>
      <c r="AH1792" s="82"/>
      <c r="AI1792" s="82"/>
      <c r="AJ1792" s="166"/>
      <c r="AK1792" s="82"/>
      <c r="AL1792" s="162"/>
      <c r="AM1792" s="162"/>
      <c r="AN1792" s="162"/>
      <c r="AO1792" s="162"/>
      <c r="AP1792" s="162"/>
      <c r="AQ1792" s="162"/>
      <c r="AR1792" s="710"/>
      <c r="AV1792" s="82"/>
      <c r="AW1792" s="947"/>
      <c r="AX1792" s="947"/>
      <c r="AY1792" s="947"/>
    </row>
    <row r="1793" spans="31:51" x14ac:dyDescent="0.25">
      <c r="AE1793" s="75"/>
      <c r="AF1793" s="82"/>
      <c r="AG1793" s="82"/>
      <c r="AH1793" s="82"/>
      <c r="AI1793" s="82"/>
      <c r="AJ1793" s="166"/>
      <c r="AK1793" s="82"/>
      <c r="AL1793" s="162"/>
      <c r="AM1793" s="162"/>
      <c r="AN1793" s="162"/>
      <c r="AO1793" s="162"/>
      <c r="AP1793" s="162"/>
      <c r="AQ1793" s="162"/>
      <c r="AR1793" s="710"/>
      <c r="AV1793" s="82"/>
      <c r="AW1793" s="947"/>
      <c r="AX1793" s="947"/>
      <c r="AY1793" s="947"/>
    </row>
    <row r="1794" spans="31:51" x14ac:dyDescent="0.25">
      <c r="AE1794" s="75"/>
      <c r="AF1794" s="82"/>
      <c r="AG1794" s="82"/>
      <c r="AH1794" s="82"/>
      <c r="AI1794" s="82"/>
      <c r="AJ1794" s="166"/>
      <c r="AK1794" s="82"/>
      <c r="AL1794" s="162"/>
      <c r="AM1794" s="162"/>
      <c r="AN1794" s="162"/>
      <c r="AO1794" s="162"/>
      <c r="AP1794" s="162"/>
      <c r="AQ1794" s="162"/>
      <c r="AR1794" s="710"/>
      <c r="AV1794" s="82"/>
      <c r="AW1794" s="947"/>
      <c r="AX1794" s="947"/>
      <c r="AY1794" s="947"/>
    </row>
    <row r="1795" spans="31:51" x14ac:dyDescent="0.25">
      <c r="AE1795" s="75"/>
      <c r="AF1795" s="82"/>
      <c r="AG1795" s="82"/>
      <c r="AH1795" s="82"/>
      <c r="AI1795" s="82"/>
      <c r="AJ1795" s="166"/>
      <c r="AK1795" s="82"/>
      <c r="AL1795" s="162"/>
      <c r="AM1795" s="162"/>
      <c r="AN1795" s="162"/>
      <c r="AO1795" s="162"/>
      <c r="AP1795" s="162"/>
      <c r="AQ1795" s="162"/>
      <c r="AR1795" s="710"/>
      <c r="AV1795" s="82"/>
      <c r="AW1795" s="947"/>
      <c r="AX1795" s="947"/>
      <c r="AY1795" s="947"/>
    </row>
    <row r="1796" spans="31:51" x14ac:dyDescent="0.25">
      <c r="AE1796" s="75"/>
      <c r="AF1796" s="82"/>
      <c r="AG1796" s="82"/>
      <c r="AH1796" s="82"/>
      <c r="AI1796" s="82"/>
      <c r="AJ1796" s="166"/>
      <c r="AK1796" s="82"/>
      <c r="AL1796" s="162"/>
      <c r="AM1796" s="162"/>
      <c r="AN1796" s="162"/>
      <c r="AO1796" s="162"/>
      <c r="AP1796" s="162"/>
      <c r="AQ1796" s="162"/>
      <c r="AR1796" s="710"/>
      <c r="AV1796" s="82"/>
      <c r="AW1796" s="947"/>
      <c r="AX1796" s="947"/>
      <c r="AY1796" s="947"/>
    </row>
    <row r="1797" spans="31:51" x14ac:dyDescent="0.25">
      <c r="AE1797" s="75"/>
      <c r="AF1797" s="82"/>
      <c r="AG1797" s="82"/>
      <c r="AH1797" s="82"/>
      <c r="AI1797" s="82"/>
      <c r="AJ1797" s="166"/>
      <c r="AK1797" s="82"/>
      <c r="AL1797" s="162"/>
      <c r="AM1797" s="162"/>
      <c r="AN1797" s="162"/>
      <c r="AO1797" s="162"/>
      <c r="AP1797" s="162"/>
      <c r="AQ1797" s="162"/>
      <c r="AR1797" s="710"/>
      <c r="AV1797" s="82"/>
      <c r="AW1797" s="947"/>
      <c r="AX1797" s="947"/>
      <c r="AY1797" s="947"/>
    </row>
    <row r="1798" spans="31:51" x14ac:dyDescent="0.25">
      <c r="AE1798" s="75"/>
      <c r="AF1798" s="82"/>
      <c r="AG1798" s="82"/>
      <c r="AH1798" s="82"/>
      <c r="AI1798" s="82"/>
      <c r="AJ1798" s="166"/>
      <c r="AK1798" s="82"/>
      <c r="AL1798" s="162"/>
      <c r="AM1798" s="162"/>
      <c r="AN1798" s="162"/>
      <c r="AO1798" s="162"/>
      <c r="AP1798" s="162"/>
      <c r="AQ1798" s="162"/>
      <c r="AR1798" s="710"/>
      <c r="AV1798" s="82"/>
      <c r="AW1798" s="947"/>
      <c r="AX1798" s="947"/>
      <c r="AY1798" s="947"/>
    </row>
    <row r="1799" spans="31:51" x14ac:dyDescent="0.25">
      <c r="AE1799" s="75"/>
      <c r="AF1799" s="82"/>
      <c r="AG1799" s="82"/>
      <c r="AH1799" s="82"/>
      <c r="AI1799" s="82"/>
      <c r="AJ1799" s="166"/>
      <c r="AK1799" s="82"/>
      <c r="AL1799" s="162"/>
      <c r="AM1799" s="162"/>
      <c r="AN1799" s="162"/>
      <c r="AO1799" s="162"/>
      <c r="AP1799" s="162"/>
      <c r="AQ1799" s="162"/>
      <c r="AR1799" s="710"/>
      <c r="AV1799" s="82"/>
      <c r="AW1799" s="947"/>
      <c r="AX1799" s="947"/>
      <c r="AY1799" s="947"/>
    </row>
    <row r="1800" spans="31:51" x14ac:dyDescent="0.25">
      <c r="AE1800" s="75"/>
      <c r="AF1800" s="82"/>
      <c r="AG1800" s="82"/>
      <c r="AH1800" s="82"/>
      <c r="AI1800" s="82"/>
      <c r="AJ1800" s="166"/>
      <c r="AK1800" s="82"/>
      <c r="AL1800" s="162"/>
      <c r="AM1800" s="162"/>
      <c r="AN1800" s="162"/>
      <c r="AO1800" s="162"/>
      <c r="AP1800" s="162"/>
      <c r="AQ1800" s="162"/>
      <c r="AR1800" s="710"/>
      <c r="AV1800" s="82"/>
      <c r="AW1800" s="947"/>
      <c r="AX1800" s="947"/>
      <c r="AY1800" s="947"/>
    </row>
    <row r="1801" spans="31:51" x14ac:dyDescent="0.25">
      <c r="AE1801" s="75"/>
      <c r="AF1801" s="82"/>
      <c r="AG1801" s="82"/>
      <c r="AH1801" s="82"/>
      <c r="AI1801" s="82"/>
      <c r="AJ1801" s="166"/>
      <c r="AK1801" s="82"/>
      <c r="AL1801" s="162"/>
      <c r="AM1801" s="162"/>
      <c r="AN1801" s="162"/>
      <c r="AO1801" s="162"/>
      <c r="AP1801" s="162"/>
      <c r="AQ1801" s="162"/>
      <c r="AR1801" s="710"/>
      <c r="AV1801" s="82"/>
      <c r="AW1801" s="947"/>
      <c r="AX1801" s="947"/>
      <c r="AY1801" s="947"/>
    </row>
    <row r="1802" spans="31:51" x14ac:dyDescent="0.25">
      <c r="AE1802" s="75"/>
      <c r="AF1802" s="82"/>
      <c r="AG1802" s="82"/>
      <c r="AH1802" s="82"/>
      <c r="AI1802" s="82"/>
      <c r="AJ1802" s="166"/>
      <c r="AK1802" s="82"/>
      <c r="AL1802" s="162"/>
      <c r="AM1802" s="162"/>
      <c r="AN1802" s="162"/>
      <c r="AO1802" s="162"/>
      <c r="AP1802" s="162"/>
      <c r="AQ1802" s="162"/>
      <c r="AR1802" s="710"/>
      <c r="AV1802" s="82"/>
      <c r="AW1802" s="947"/>
      <c r="AX1802" s="947"/>
      <c r="AY1802" s="947"/>
    </row>
    <row r="1803" spans="31:51" x14ac:dyDescent="0.25">
      <c r="AE1803" s="75"/>
      <c r="AF1803" s="82"/>
      <c r="AG1803" s="82"/>
      <c r="AH1803" s="82"/>
      <c r="AI1803" s="82"/>
      <c r="AJ1803" s="166"/>
      <c r="AK1803" s="82"/>
      <c r="AL1803" s="162"/>
      <c r="AM1803" s="162"/>
      <c r="AN1803" s="162"/>
      <c r="AO1803" s="162"/>
      <c r="AP1803" s="162"/>
      <c r="AQ1803" s="162"/>
      <c r="AR1803" s="710"/>
      <c r="AV1803" s="82"/>
      <c r="AW1803" s="947"/>
      <c r="AX1803" s="947"/>
      <c r="AY1803" s="947"/>
    </row>
    <row r="1804" spans="31:51" x14ac:dyDescent="0.25">
      <c r="AE1804" s="75"/>
      <c r="AF1804" s="82"/>
      <c r="AG1804" s="82"/>
      <c r="AH1804" s="82"/>
      <c r="AI1804" s="82"/>
      <c r="AJ1804" s="166"/>
      <c r="AK1804" s="82"/>
      <c r="AL1804" s="162"/>
      <c r="AM1804" s="162"/>
      <c r="AN1804" s="162"/>
      <c r="AO1804" s="162"/>
      <c r="AP1804" s="162"/>
      <c r="AQ1804" s="162"/>
      <c r="AR1804" s="710"/>
      <c r="AV1804" s="82"/>
      <c r="AW1804" s="947"/>
      <c r="AX1804" s="947"/>
      <c r="AY1804" s="947"/>
    </row>
    <row r="1805" spans="31:51" x14ac:dyDescent="0.25">
      <c r="AE1805" s="75"/>
      <c r="AF1805" s="82"/>
      <c r="AG1805" s="82"/>
      <c r="AH1805" s="82"/>
      <c r="AI1805" s="82"/>
      <c r="AJ1805" s="166"/>
      <c r="AK1805" s="82"/>
      <c r="AL1805" s="162"/>
      <c r="AM1805" s="162"/>
      <c r="AN1805" s="162"/>
      <c r="AO1805" s="162"/>
      <c r="AP1805" s="162"/>
      <c r="AQ1805" s="162"/>
      <c r="AR1805" s="710"/>
      <c r="AV1805" s="82"/>
      <c r="AW1805" s="947"/>
      <c r="AX1805" s="947"/>
      <c r="AY1805" s="947"/>
    </row>
    <row r="1806" spans="31:51" x14ac:dyDescent="0.25">
      <c r="AE1806" s="75"/>
      <c r="AF1806" s="82"/>
      <c r="AG1806" s="82"/>
      <c r="AH1806" s="82"/>
      <c r="AI1806" s="82"/>
      <c r="AJ1806" s="166"/>
      <c r="AK1806" s="82"/>
      <c r="AL1806" s="162"/>
      <c r="AM1806" s="162"/>
      <c r="AN1806" s="162"/>
      <c r="AO1806" s="162"/>
      <c r="AP1806" s="162"/>
      <c r="AQ1806" s="162"/>
      <c r="AR1806" s="710"/>
      <c r="AV1806" s="82"/>
      <c r="AW1806" s="947"/>
      <c r="AX1806" s="947"/>
      <c r="AY1806" s="947"/>
    </row>
    <row r="1807" spans="31:51" x14ac:dyDescent="0.25">
      <c r="AE1807" s="75"/>
      <c r="AF1807" s="82"/>
      <c r="AG1807" s="82"/>
      <c r="AH1807" s="82"/>
      <c r="AI1807" s="82"/>
      <c r="AJ1807" s="166"/>
      <c r="AK1807" s="82"/>
      <c r="AL1807" s="162"/>
      <c r="AM1807" s="162"/>
      <c r="AN1807" s="162"/>
      <c r="AO1807" s="162"/>
      <c r="AP1807" s="162"/>
      <c r="AQ1807" s="162"/>
      <c r="AR1807" s="710"/>
      <c r="AV1807" s="82"/>
      <c r="AW1807" s="947"/>
      <c r="AX1807" s="947"/>
      <c r="AY1807" s="947"/>
    </row>
    <row r="1808" spans="31:51" x14ac:dyDescent="0.25">
      <c r="AE1808" s="75"/>
      <c r="AF1808" s="82"/>
      <c r="AG1808" s="82"/>
      <c r="AH1808" s="82"/>
      <c r="AI1808" s="82"/>
      <c r="AJ1808" s="166"/>
      <c r="AK1808" s="82"/>
      <c r="AL1808" s="162"/>
      <c r="AM1808" s="162"/>
      <c r="AN1808" s="162"/>
      <c r="AO1808" s="162"/>
      <c r="AP1808" s="162"/>
      <c r="AQ1808" s="162"/>
      <c r="AR1808" s="710"/>
      <c r="AV1808" s="82"/>
      <c r="AW1808" s="947"/>
      <c r="AX1808" s="947"/>
      <c r="AY1808" s="947"/>
    </row>
    <row r="1809" spans="31:51" x14ac:dyDescent="0.25">
      <c r="AE1809" s="75"/>
      <c r="AF1809" s="82"/>
      <c r="AG1809" s="82"/>
      <c r="AH1809" s="82"/>
      <c r="AI1809" s="82"/>
      <c r="AJ1809" s="166"/>
      <c r="AK1809" s="82"/>
      <c r="AL1809" s="162"/>
      <c r="AM1809" s="162"/>
      <c r="AN1809" s="162"/>
      <c r="AO1809" s="162"/>
      <c r="AP1809" s="162"/>
      <c r="AQ1809" s="162"/>
      <c r="AR1809" s="710"/>
      <c r="AV1809" s="82"/>
      <c r="AW1809" s="947"/>
      <c r="AX1809" s="947"/>
      <c r="AY1809" s="947"/>
    </row>
    <row r="1810" spans="31:51" x14ac:dyDescent="0.25">
      <c r="AE1810" s="75"/>
      <c r="AF1810" s="82"/>
      <c r="AG1810" s="82"/>
      <c r="AH1810" s="82"/>
      <c r="AI1810" s="82"/>
      <c r="AJ1810" s="166"/>
      <c r="AK1810" s="82"/>
      <c r="AL1810" s="162"/>
      <c r="AM1810" s="162"/>
      <c r="AN1810" s="162"/>
      <c r="AO1810" s="162"/>
      <c r="AP1810" s="162"/>
      <c r="AQ1810" s="162"/>
      <c r="AR1810" s="710"/>
      <c r="AV1810" s="82"/>
      <c r="AW1810" s="947"/>
      <c r="AX1810" s="947"/>
      <c r="AY1810" s="947"/>
    </row>
    <row r="1811" spans="31:51" x14ac:dyDescent="0.25">
      <c r="AE1811" s="75"/>
      <c r="AF1811" s="82"/>
      <c r="AG1811" s="82"/>
      <c r="AH1811" s="82"/>
      <c r="AI1811" s="82"/>
      <c r="AJ1811" s="166"/>
      <c r="AK1811" s="82"/>
      <c r="AL1811" s="162"/>
      <c r="AM1811" s="162"/>
      <c r="AN1811" s="162"/>
      <c r="AO1811" s="162"/>
      <c r="AP1811" s="162"/>
      <c r="AQ1811" s="162"/>
      <c r="AR1811" s="710"/>
      <c r="AV1811" s="82"/>
      <c r="AW1811" s="947"/>
      <c r="AX1811" s="947"/>
      <c r="AY1811" s="947"/>
    </row>
    <row r="1812" spans="31:51" x14ac:dyDescent="0.25">
      <c r="AE1812" s="75"/>
      <c r="AF1812" s="82"/>
      <c r="AG1812" s="82"/>
      <c r="AH1812" s="82"/>
      <c r="AI1812" s="82"/>
      <c r="AJ1812" s="166"/>
      <c r="AK1812" s="82"/>
      <c r="AL1812" s="162"/>
      <c r="AM1812" s="162"/>
      <c r="AN1812" s="162"/>
      <c r="AO1812" s="162"/>
      <c r="AP1812" s="162"/>
      <c r="AQ1812" s="162"/>
      <c r="AR1812" s="710"/>
      <c r="AV1812" s="82"/>
      <c r="AW1812" s="947"/>
      <c r="AX1812" s="947"/>
      <c r="AY1812" s="947"/>
    </row>
    <row r="1813" spans="31:51" x14ac:dyDescent="0.25">
      <c r="AE1813" s="75"/>
      <c r="AF1813" s="82"/>
      <c r="AG1813" s="82"/>
      <c r="AH1813" s="82"/>
      <c r="AI1813" s="82"/>
      <c r="AJ1813" s="166"/>
      <c r="AK1813" s="82"/>
      <c r="AL1813" s="162"/>
      <c r="AM1813" s="162"/>
      <c r="AN1813" s="162"/>
      <c r="AO1813" s="162"/>
      <c r="AP1813" s="162"/>
      <c r="AQ1813" s="162"/>
      <c r="AR1813" s="710"/>
      <c r="AV1813" s="82"/>
      <c r="AW1813" s="947"/>
      <c r="AX1813" s="947"/>
      <c r="AY1813" s="947"/>
    </row>
    <row r="1814" spans="31:51" x14ac:dyDescent="0.25">
      <c r="AE1814" s="75"/>
      <c r="AF1814" s="82"/>
      <c r="AG1814" s="82"/>
      <c r="AH1814" s="82"/>
      <c r="AI1814" s="82"/>
      <c r="AJ1814" s="166"/>
      <c r="AK1814" s="82"/>
      <c r="AL1814" s="162"/>
      <c r="AM1814" s="162"/>
      <c r="AN1814" s="162"/>
      <c r="AO1814" s="162"/>
      <c r="AP1814" s="162"/>
      <c r="AQ1814" s="162"/>
      <c r="AR1814" s="710"/>
      <c r="AV1814" s="82"/>
      <c r="AW1814" s="947"/>
      <c r="AX1814" s="947"/>
      <c r="AY1814" s="947"/>
    </row>
    <row r="1815" spans="31:51" x14ac:dyDescent="0.25">
      <c r="AE1815" s="75"/>
      <c r="AF1815" s="82"/>
      <c r="AG1815" s="82"/>
      <c r="AH1815" s="82"/>
      <c r="AI1815" s="82"/>
      <c r="AJ1815" s="166"/>
      <c r="AK1815" s="82"/>
      <c r="AL1815" s="162"/>
      <c r="AM1815" s="162"/>
      <c r="AN1815" s="162"/>
      <c r="AO1815" s="162"/>
      <c r="AP1815" s="162"/>
      <c r="AQ1815" s="162"/>
      <c r="AR1815" s="710"/>
      <c r="AV1815" s="82"/>
      <c r="AW1815" s="947"/>
      <c r="AX1815" s="947"/>
      <c r="AY1815" s="947"/>
    </row>
    <row r="1816" spans="31:51" x14ac:dyDescent="0.25">
      <c r="AE1816" s="75"/>
      <c r="AF1816" s="82"/>
      <c r="AG1816" s="82"/>
      <c r="AH1816" s="82"/>
      <c r="AI1816" s="82"/>
      <c r="AJ1816" s="166"/>
      <c r="AK1816" s="82"/>
      <c r="AL1816" s="162"/>
      <c r="AM1816" s="162"/>
      <c r="AN1816" s="162"/>
      <c r="AO1816" s="162"/>
      <c r="AP1816" s="162"/>
      <c r="AQ1816" s="162"/>
      <c r="AR1816" s="710"/>
      <c r="AV1816" s="82"/>
      <c r="AW1816" s="947"/>
      <c r="AX1816" s="947"/>
      <c r="AY1816" s="947"/>
    </row>
    <row r="1817" spans="31:51" x14ac:dyDescent="0.25">
      <c r="AE1817" s="75"/>
      <c r="AF1817" s="82"/>
      <c r="AG1817" s="82"/>
      <c r="AH1817" s="82"/>
      <c r="AI1817" s="82"/>
      <c r="AJ1817" s="166"/>
      <c r="AK1817" s="82"/>
      <c r="AL1817" s="162"/>
      <c r="AM1817" s="162"/>
      <c r="AN1817" s="162"/>
      <c r="AO1817" s="162"/>
      <c r="AP1817" s="162"/>
      <c r="AQ1817" s="162"/>
      <c r="AR1817" s="710"/>
      <c r="AV1817" s="82"/>
      <c r="AW1817" s="947"/>
      <c r="AX1817" s="947"/>
      <c r="AY1817" s="947"/>
    </row>
    <row r="1818" spans="31:51" x14ac:dyDescent="0.25">
      <c r="AE1818" s="75"/>
      <c r="AF1818" s="82"/>
      <c r="AG1818" s="82"/>
      <c r="AH1818" s="82"/>
      <c r="AI1818" s="82"/>
      <c r="AJ1818" s="166"/>
      <c r="AK1818" s="82"/>
      <c r="AL1818" s="162"/>
      <c r="AM1818" s="162"/>
      <c r="AN1818" s="162"/>
      <c r="AO1818" s="162"/>
      <c r="AP1818" s="162"/>
      <c r="AQ1818" s="162"/>
      <c r="AR1818" s="710"/>
      <c r="AV1818" s="82"/>
      <c r="AW1818" s="947"/>
      <c r="AX1818" s="947"/>
      <c r="AY1818" s="947"/>
    </row>
    <row r="1819" spans="31:51" x14ac:dyDescent="0.25">
      <c r="AE1819" s="75"/>
      <c r="AF1819" s="82"/>
      <c r="AG1819" s="82"/>
      <c r="AH1819" s="82"/>
      <c r="AI1819" s="82"/>
      <c r="AJ1819" s="166"/>
      <c r="AK1819" s="82"/>
      <c r="AL1819" s="162"/>
      <c r="AM1819" s="162"/>
      <c r="AN1819" s="162"/>
      <c r="AO1819" s="162"/>
      <c r="AP1819" s="162"/>
      <c r="AQ1819" s="162"/>
      <c r="AR1819" s="710"/>
      <c r="AV1819" s="82"/>
      <c r="AW1819" s="947"/>
      <c r="AX1819" s="947"/>
      <c r="AY1819" s="947"/>
    </row>
    <row r="1820" spans="31:51" x14ac:dyDescent="0.25">
      <c r="AE1820" s="75"/>
      <c r="AF1820" s="82"/>
      <c r="AG1820" s="82"/>
      <c r="AH1820" s="82"/>
      <c r="AI1820" s="82"/>
      <c r="AJ1820" s="166"/>
      <c r="AK1820" s="82"/>
      <c r="AL1820" s="162"/>
      <c r="AM1820" s="162"/>
      <c r="AN1820" s="162"/>
      <c r="AO1820" s="162"/>
      <c r="AP1820" s="162"/>
      <c r="AQ1820" s="162"/>
      <c r="AR1820" s="710"/>
      <c r="AV1820" s="82"/>
      <c r="AW1820" s="947"/>
      <c r="AX1820" s="947"/>
      <c r="AY1820" s="947"/>
    </row>
    <row r="1821" spans="31:51" x14ac:dyDescent="0.25">
      <c r="AE1821" s="75"/>
      <c r="AF1821" s="82"/>
      <c r="AG1821" s="82"/>
      <c r="AH1821" s="82"/>
      <c r="AI1821" s="82"/>
      <c r="AJ1821" s="166"/>
      <c r="AK1821" s="82"/>
      <c r="AL1821" s="162"/>
      <c r="AM1821" s="162"/>
      <c r="AN1821" s="162"/>
      <c r="AO1821" s="162"/>
      <c r="AP1821" s="162"/>
      <c r="AQ1821" s="162"/>
      <c r="AR1821" s="710"/>
      <c r="AV1821" s="82"/>
      <c r="AW1821" s="947"/>
      <c r="AX1821" s="947"/>
      <c r="AY1821" s="947"/>
    </row>
    <row r="1822" spans="31:51" x14ac:dyDescent="0.25">
      <c r="AE1822" s="75"/>
      <c r="AF1822" s="82"/>
      <c r="AG1822" s="82"/>
      <c r="AH1822" s="82"/>
      <c r="AI1822" s="82"/>
      <c r="AJ1822" s="166"/>
      <c r="AK1822" s="82"/>
      <c r="AL1822" s="162"/>
      <c r="AM1822" s="162"/>
      <c r="AN1822" s="162"/>
      <c r="AO1822" s="162"/>
      <c r="AP1822" s="162"/>
      <c r="AQ1822" s="162"/>
      <c r="AR1822" s="710"/>
      <c r="AV1822" s="82"/>
      <c r="AW1822" s="947"/>
      <c r="AX1822" s="947"/>
      <c r="AY1822" s="947"/>
    </row>
    <row r="1823" spans="31:51" x14ac:dyDescent="0.25">
      <c r="AE1823" s="75"/>
      <c r="AF1823" s="82"/>
      <c r="AG1823" s="82"/>
      <c r="AH1823" s="82"/>
      <c r="AI1823" s="82"/>
      <c r="AJ1823" s="166"/>
      <c r="AK1823" s="82"/>
      <c r="AL1823" s="162"/>
      <c r="AM1823" s="162"/>
      <c r="AN1823" s="162"/>
      <c r="AO1823" s="162"/>
      <c r="AP1823" s="162"/>
      <c r="AQ1823" s="162"/>
      <c r="AR1823" s="710"/>
      <c r="AV1823" s="82"/>
      <c r="AW1823" s="947"/>
      <c r="AX1823" s="947"/>
      <c r="AY1823" s="947"/>
    </row>
    <row r="1824" spans="31:51" x14ac:dyDescent="0.25">
      <c r="AE1824" s="75"/>
      <c r="AF1824" s="82"/>
      <c r="AG1824" s="82"/>
      <c r="AH1824" s="82"/>
      <c r="AI1824" s="82"/>
      <c r="AJ1824" s="166"/>
      <c r="AK1824" s="82"/>
      <c r="AL1824" s="162"/>
      <c r="AM1824" s="162"/>
      <c r="AN1824" s="162"/>
      <c r="AO1824" s="162"/>
      <c r="AP1824" s="162"/>
      <c r="AQ1824" s="162"/>
      <c r="AR1824" s="710"/>
      <c r="AV1824" s="82"/>
      <c r="AW1824" s="947"/>
      <c r="AX1824" s="947"/>
      <c r="AY1824" s="947"/>
    </row>
    <row r="1825" spans="31:51" x14ac:dyDescent="0.25">
      <c r="AE1825" s="75"/>
      <c r="AF1825" s="82"/>
      <c r="AG1825" s="82"/>
      <c r="AH1825" s="82"/>
      <c r="AI1825" s="82"/>
      <c r="AJ1825" s="166"/>
      <c r="AK1825" s="82"/>
      <c r="AL1825" s="162"/>
      <c r="AM1825" s="162"/>
      <c r="AN1825" s="162"/>
      <c r="AO1825" s="162"/>
      <c r="AP1825" s="162"/>
      <c r="AQ1825" s="162"/>
      <c r="AR1825" s="710"/>
      <c r="AV1825" s="82"/>
      <c r="AW1825" s="947"/>
      <c r="AX1825" s="947"/>
      <c r="AY1825" s="947"/>
    </row>
    <row r="1826" spans="31:51" x14ac:dyDescent="0.25">
      <c r="AE1826" s="75"/>
      <c r="AF1826" s="82"/>
      <c r="AG1826" s="82"/>
      <c r="AH1826" s="82"/>
      <c r="AI1826" s="82"/>
      <c r="AJ1826" s="166"/>
      <c r="AK1826" s="82"/>
      <c r="AL1826" s="162"/>
      <c r="AM1826" s="162"/>
      <c r="AN1826" s="162"/>
      <c r="AO1826" s="162"/>
      <c r="AP1826" s="162"/>
      <c r="AQ1826" s="162"/>
      <c r="AR1826" s="710"/>
      <c r="AV1826" s="82"/>
      <c r="AW1826" s="947"/>
      <c r="AX1826" s="947"/>
      <c r="AY1826" s="947"/>
    </row>
    <row r="1827" spans="31:51" x14ac:dyDescent="0.25">
      <c r="AE1827" s="75"/>
      <c r="AF1827" s="82"/>
      <c r="AG1827" s="82"/>
      <c r="AH1827" s="82"/>
      <c r="AI1827" s="82"/>
      <c r="AJ1827" s="166"/>
      <c r="AK1827" s="82"/>
      <c r="AL1827" s="162"/>
      <c r="AM1827" s="162"/>
      <c r="AN1827" s="162"/>
      <c r="AO1827" s="162"/>
      <c r="AP1827" s="162"/>
      <c r="AQ1827" s="162"/>
      <c r="AR1827" s="710"/>
      <c r="AV1827" s="82"/>
      <c r="AW1827" s="947"/>
      <c r="AX1827" s="947"/>
      <c r="AY1827" s="947"/>
    </row>
    <row r="1828" spans="31:51" x14ac:dyDescent="0.25">
      <c r="AE1828" s="75"/>
      <c r="AF1828" s="82"/>
      <c r="AG1828" s="82"/>
      <c r="AH1828" s="82"/>
      <c r="AI1828" s="82"/>
      <c r="AJ1828" s="166"/>
      <c r="AK1828" s="82"/>
      <c r="AL1828" s="162"/>
      <c r="AM1828" s="162"/>
      <c r="AN1828" s="162"/>
      <c r="AO1828" s="162"/>
      <c r="AP1828" s="162"/>
      <c r="AQ1828" s="162"/>
      <c r="AR1828" s="710"/>
      <c r="AV1828" s="82"/>
      <c r="AW1828" s="947"/>
      <c r="AX1828" s="947"/>
      <c r="AY1828" s="947"/>
    </row>
    <row r="1829" spans="31:51" x14ac:dyDescent="0.25">
      <c r="AE1829" s="75"/>
      <c r="AF1829" s="82"/>
      <c r="AG1829" s="82"/>
      <c r="AH1829" s="82"/>
      <c r="AI1829" s="82"/>
      <c r="AJ1829" s="166"/>
      <c r="AK1829" s="82"/>
      <c r="AL1829" s="162"/>
      <c r="AM1829" s="162"/>
      <c r="AN1829" s="162"/>
      <c r="AO1829" s="162"/>
      <c r="AP1829" s="162"/>
      <c r="AQ1829" s="162"/>
      <c r="AR1829" s="710"/>
      <c r="AV1829" s="82"/>
      <c r="AW1829" s="947"/>
      <c r="AX1829" s="947"/>
      <c r="AY1829" s="947"/>
    </row>
    <row r="1830" spans="31:51" x14ac:dyDescent="0.25">
      <c r="AE1830" s="75"/>
      <c r="AF1830" s="82"/>
      <c r="AG1830" s="82"/>
      <c r="AH1830" s="82"/>
      <c r="AI1830" s="82"/>
      <c r="AJ1830" s="166"/>
      <c r="AK1830" s="82"/>
      <c r="AL1830" s="162"/>
      <c r="AM1830" s="162"/>
      <c r="AN1830" s="162"/>
      <c r="AO1830" s="162"/>
      <c r="AP1830" s="162"/>
      <c r="AQ1830" s="162"/>
      <c r="AR1830" s="710"/>
      <c r="AV1830" s="82"/>
      <c r="AW1830" s="947"/>
      <c r="AX1830" s="947"/>
      <c r="AY1830" s="947"/>
    </row>
    <row r="1831" spans="31:51" x14ac:dyDescent="0.25">
      <c r="AE1831" s="75"/>
      <c r="AF1831" s="82"/>
      <c r="AG1831" s="82"/>
      <c r="AH1831" s="82"/>
      <c r="AI1831" s="82"/>
      <c r="AJ1831" s="166"/>
      <c r="AK1831" s="82"/>
      <c r="AL1831" s="162"/>
      <c r="AM1831" s="162"/>
      <c r="AN1831" s="162"/>
      <c r="AO1831" s="162"/>
      <c r="AP1831" s="162"/>
      <c r="AQ1831" s="162"/>
      <c r="AR1831" s="710"/>
      <c r="AV1831" s="82"/>
      <c r="AW1831" s="947"/>
      <c r="AX1831" s="947"/>
      <c r="AY1831" s="947"/>
    </row>
    <row r="1832" spans="31:51" x14ac:dyDescent="0.25">
      <c r="AE1832" s="75"/>
      <c r="AF1832" s="82"/>
      <c r="AG1832" s="82"/>
      <c r="AH1832" s="82"/>
      <c r="AI1832" s="82"/>
      <c r="AJ1832" s="166"/>
      <c r="AK1832" s="82"/>
      <c r="AL1832" s="162"/>
      <c r="AM1832" s="162"/>
      <c r="AN1832" s="162"/>
      <c r="AO1832" s="162"/>
      <c r="AP1832" s="162"/>
      <c r="AQ1832" s="162"/>
      <c r="AR1832" s="710"/>
      <c r="AV1832" s="82"/>
      <c r="AW1832" s="947"/>
      <c r="AX1832" s="947"/>
      <c r="AY1832" s="947"/>
    </row>
    <row r="1833" spans="31:51" x14ac:dyDescent="0.25">
      <c r="AE1833" s="75"/>
      <c r="AF1833" s="82"/>
      <c r="AG1833" s="82"/>
      <c r="AH1833" s="82"/>
      <c r="AI1833" s="82"/>
      <c r="AJ1833" s="166"/>
      <c r="AK1833" s="82"/>
      <c r="AL1833" s="162"/>
      <c r="AM1833" s="162"/>
      <c r="AN1833" s="162"/>
      <c r="AO1833" s="162"/>
      <c r="AP1833" s="162"/>
      <c r="AQ1833" s="162"/>
      <c r="AR1833" s="710"/>
      <c r="AV1833" s="82"/>
      <c r="AW1833" s="947"/>
      <c r="AX1833" s="947"/>
      <c r="AY1833" s="947"/>
    </row>
    <row r="1834" spans="31:51" x14ac:dyDescent="0.25">
      <c r="AE1834" s="75"/>
      <c r="AF1834" s="82"/>
      <c r="AG1834" s="82"/>
      <c r="AH1834" s="82"/>
      <c r="AI1834" s="82"/>
      <c r="AJ1834" s="166"/>
      <c r="AK1834" s="82"/>
      <c r="AL1834" s="162"/>
      <c r="AM1834" s="162"/>
      <c r="AN1834" s="162"/>
      <c r="AO1834" s="162"/>
      <c r="AP1834" s="162"/>
      <c r="AQ1834" s="162"/>
      <c r="AR1834" s="710"/>
      <c r="AV1834" s="82"/>
      <c r="AW1834" s="947"/>
      <c r="AX1834" s="947"/>
      <c r="AY1834" s="947"/>
    </row>
    <row r="1835" spans="31:51" x14ac:dyDescent="0.25">
      <c r="AE1835" s="75"/>
      <c r="AF1835" s="82"/>
      <c r="AG1835" s="82"/>
      <c r="AH1835" s="82"/>
      <c r="AI1835" s="82"/>
      <c r="AJ1835" s="166"/>
      <c r="AK1835" s="82"/>
      <c r="AL1835" s="162"/>
      <c r="AM1835" s="162"/>
      <c r="AN1835" s="162"/>
      <c r="AO1835" s="162"/>
      <c r="AP1835" s="162"/>
      <c r="AQ1835" s="162"/>
      <c r="AR1835" s="710"/>
      <c r="AV1835" s="82"/>
      <c r="AW1835" s="947"/>
      <c r="AX1835" s="947"/>
      <c r="AY1835" s="947"/>
    </row>
    <row r="1836" spans="31:51" x14ac:dyDescent="0.25">
      <c r="AE1836" s="75"/>
      <c r="AF1836" s="82"/>
      <c r="AG1836" s="82"/>
      <c r="AH1836" s="82"/>
      <c r="AI1836" s="82"/>
      <c r="AJ1836" s="166"/>
      <c r="AK1836" s="82"/>
      <c r="AL1836" s="162"/>
      <c r="AM1836" s="162"/>
      <c r="AN1836" s="162"/>
      <c r="AO1836" s="162"/>
      <c r="AP1836" s="162"/>
      <c r="AQ1836" s="162"/>
      <c r="AR1836" s="710"/>
      <c r="AV1836" s="82"/>
      <c r="AW1836" s="947"/>
      <c r="AX1836" s="947"/>
      <c r="AY1836" s="947"/>
    </row>
    <row r="1837" spans="31:51" x14ac:dyDescent="0.25">
      <c r="AE1837" s="75"/>
      <c r="AF1837" s="82"/>
      <c r="AG1837" s="82"/>
      <c r="AH1837" s="82"/>
      <c r="AI1837" s="82"/>
      <c r="AJ1837" s="166"/>
      <c r="AK1837" s="82"/>
      <c r="AL1837" s="162"/>
      <c r="AM1837" s="162"/>
      <c r="AN1837" s="162"/>
      <c r="AO1837" s="162"/>
      <c r="AP1837" s="162"/>
      <c r="AQ1837" s="162"/>
      <c r="AR1837" s="710"/>
      <c r="AV1837" s="82"/>
      <c r="AW1837" s="947"/>
      <c r="AX1837" s="947"/>
      <c r="AY1837" s="947"/>
    </row>
    <row r="1838" spans="31:51" x14ac:dyDescent="0.25">
      <c r="AE1838" s="75"/>
      <c r="AF1838" s="82"/>
      <c r="AG1838" s="82"/>
      <c r="AH1838" s="82"/>
      <c r="AI1838" s="82"/>
      <c r="AJ1838" s="166"/>
      <c r="AK1838" s="82"/>
      <c r="AL1838" s="162"/>
      <c r="AM1838" s="162"/>
      <c r="AN1838" s="162"/>
      <c r="AO1838" s="162"/>
      <c r="AP1838" s="162"/>
      <c r="AQ1838" s="162"/>
      <c r="AR1838" s="710"/>
      <c r="AV1838" s="82"/>
      <c r="AW1838" s="947"/>
      <c r="AX1838" s="947"/>
      <c r="AY1838" s="947"/>
    </row>
    <row r="1839" spans="31:51" x14ac:dyDescent="0.25">
      <c r="AE1839" s="75"/>
      <c r="AF1839" s="82"/>
      <c r="AG1839" s="82"/>
      <c r="AH1839" s="82"/>
      <c r="AI1839" s="82"/>
      <c r="AJ1839" s="166"/>
      <c r="AK1839" s="82"/>
      <c r="AL1839" s="162"/>
      <c r="AM1839" s="162"/>
      <c r="AN1839" s="162"/>
      <c r="AO1839" s="162"/>
      <c r="AP1839" s="162"/>
      <c r="AQ1839" s="162"/>
      <c r="AR1839" s="710"/>
      <c r="AV1839" s="82"/>
      <c r="AW1839" s="947"/>
      <c r="AX1839" s="947"/>
      <c r="AY1839" s="947"/>
    </row>
    <row r="1840" spans="31:51" x14ac:dyDescent="0.25">
      <c r="AE1840" s="75"/>
      <c r="AF1840" s="82"/>
      <c r="AG1840" s="82"/>
      <c r="AH1840" s="82"/>
      <c r="AI1840" s="82"/>
      <c r="AJ1840" s="166"/>
      <c r="AK1840" s="82"/>
      <c r="AL1840" s="162"/>
      <c r="AM1840" s="162"/>
      <c r="AN1840" s="162"/>
      <c r="AO1840" s="162"/>
      <c r="AP1840" s="162"/>
      <c r="AQ1840" s="162"/>
      <c r="AR1840" s="710"/>
      <c r="AV1840" s="82"/>
      <c r="AW1840" s="947"/>
      <c r="AX1840" s="947"/>
      <c r="AY1840" s="947"/>
    </row>
    <row r="1841" spans="31:51" x14ac:dyDescent="0.25">
      <c r="AE1841" s="75"/>
      <c r="AF1841" s="82"/>
      <c r="AG1841" s="82"/>
      <c r="AH1841" s="82"/>
      <c r="AI1841" s="82"/>
      <c r="AJ1841" s="166"/>
      <c r="AK1841" s="82"/>
      <c r="AL1841" s="162"/>
      <c r="AM1841" s="162"/>
      <c r="AN1841" s="162"/>
      <c r="AO1841" s="162"/>
      <c r="AP1841" s="162"/>
      <c r="AQ1841" s="162"/>
      <c r="AR1841" s="710"/>
      <c r="AV1841" s="82"/>
      <c r="AW1841" s="947"/>
      <c r="AX1841" s="947"/>
      <c r="AY1841" s="947"/>
    </row>
    <row r="1842" spans="31:51" x14ac:dyDescent="0.25">
      <c r="AE1842" s="75"/>
      <c r="AF1842" s="82"/>
      <c r="AG1842" s="82"/>
      <c r="AH1842" s="82"/>
      <c r="AI1842" s="82"/>
      <c r="AJ1842" s="166"/>
      <c r="AK1842" s="82"/>
      <c r="AL1842" s="162"/>
      <c r="AM1842" s="162"/>
      <c r="AN1842" s="162"/>
      <c r="AO1842" s="162"/>
      <c r="AP1842" s="162"/>
      <c r="AQ1842" s="162"/>
      <c r="AR1842" s="710"/>
      <c r="AV1842" s="82"/>
      <c r="AW1842" s="947"/>
      <c r="AX1842" s="947"/>
      <c r="AY1842" s="947"/>
    </row>
    <row r="1843" spans="31:51" x14ac:dyDescent="0.25">
      <c r="AE1843" s="75"/>
      <c r="AF1843" s="82"/>
      <c r="AG1843" s="82"/>
      <c r="AH1843" s="82"/>
      <c r="AI1843" s="82"/>
      <c r="AJ1843" s="166"/>
      <c r="AK1843" s="82"/>
      <c r="AL1843" s="162"/>
      <c r="AM1843" s="162"/>
      <c r="AN1843" s="162"/>
      <c r="AO1843" s="162"/>
      <c r="AP1843" s="162"/>
      <c r="AQ1843" s="162"/>
      <c r="AR1843" s="710"/>
      <c r="AV1843" s="82"/>
      <c r="AW1843" s="947"/>
      <c r="AX1843" s="947"/>
      <c r="AY1843" s="947"/>
    </row>
    <row r="1844" spans="31:51" x14ac:dyDescent="0.25">
      <c r="AE1844" s="75"/>
      <c r="AF1844" s="82"/>
      <c r="AG1844" s="82"/>
      <c r="AH1844" s="82"/>
      <c r="AI1844" s="82"/>
      <c r="AJ1844" s="166"/>
      <c r="AK1844" s="82"/>
      <c r="AL1844" s="162"/>
      <c r="AM1844" s="162"/>
      <c r="AN1844" s="162"/>
      <c r="AO1844" s="162"/>
      <c r="AP1844" s="162"/>
      <c r="AQ1844" s="162"/>
      <c r="AR1844" s="710"/>
      <c r="AV1844" s="82"/>
      <c r="AW1844" s="947"/>
      <c r="AX1844" s="947"/>
      <c r="AY1844" s="947"/>
    </row>
    <row r="1845" spans="31:51" x14ac:dyDescent="0.25">
      <c r="AE1845" s="75"/>
      <c r="AF1845" s="82"/>
      <c r="AG1845" s="82"/>
      <c r="AH1845" s="82"/>
      <c r="AI1845" s="82"/>
      <c r="AJ1845" s="166"/>
      <c r="AK1845" s="82"/>
      <c r="AL1845" s="162"/>
      <c r="AM1845" s="162"/>
      <c r="AN1845" s="162"/>
      <c r="AO1845" s="162"/>
      <c r="AP1845" s="162"/>
      <c r="AQ1845" s="162"/>
      <c r="AR1845" s="710"/>
      <c r="AV1845" s="82"/>
      <c r="AW1845" s="947"/>
      <c r="AX1845" s="947"/>
      <c r="AY1845" s="947"/>
    </row>
    <row r="1846" spans="31:51" x14ac:dyDescent="0.25">
      <c r="AE1846" s="75"/>
      <c r="AF1846" s="82"/>
      <c r="AG1846" s="82"/>
      <c r="AH1846" s="82"/>
      <c r="AI1846" s="82"/>
      <c r="AJ1846" s="166"/>
      <c r="AK1846" s="82"/>
      <c r="AL1846" s="162"/>
      <c r="AM1846" s="162"/>
      <c r="AN1846" s="162"/>
      <c r="AO1846" s="162"/>
      <c r="AP1846" s="162"/>
      <c r="AQ1846" s="162"/>
      <c r="AR1846" s="710"/>
      <c r="AV1846" s="82"/>
      <c r="AW1846" s="947"/>
      <c r="AX1846" s="947"/>
      <c r="AY1846" s="947"/>
    </row>
    <row r="1847" spans="31:51" x14ac:dyDescent="0.25">
      <c r="AE1847" s="75"/>
      <c r="AF1847" s="82"/>
      <c r="AG1847" s="82"/>
      <c r="AH1847" s="82"/>
      <c r="AI1847" s="82"/>
      <c r="AJ1847" s="166"/>
      <c r="AK1847" s="82"/>
      <c r="AL1847" s="162"/>
      <c r="AM1847" s="162"/>
      <c r="AN1847" s="162"/>
      <c r="AO1847" s="162"/>
      <c r="AP1847" s="162"/>
      <c r="AQ1847" s="162"/>
      <c r="AR1847" s="710"/>
      <c r="AV1847" s="82"/>
      <c r="AW1847" s="947"/>
      <c r="AX1847" s="947"/>
      <c r="AY1847" s="947"/>
    </row>
    <row r="1848" spans="31:51" x14ac:dyDescent="0.25">
      <c r="AE1848" s="75"/>
      <c r="AF1848" s="82"/>
      <c r="AG1848" s="82"/>
      <c r="AH1848" s="82"/>
      <c r="AI1848" s="82"/>
      <c r="AJ1848" s="166"/>
      <c r="AK1848" s="82"/>
      <c r="AL1848" s="162"/>
      <c r="AM1848" s="162"/>
      <c r="AN1848" s="162"/>
      <c r="AO1848" s="162"/>
      <c r="AP1848" s="162"/>
      <c r="AQ1848" s="162"/>
      <c r="AR1848" s="710"/>
      <c r="AV1848" s="82"/>
      <c r="AW1848" s="947"/>
      <c r="AX1848" s="947"/>
      <c r="AY1848" s="947"/>
    </row>
    <row r="1849" spans="31:51" x14ac:dyDescent="0.25">
      <c r="AE1849" s="75"/>
      <c r="AF1849" s="82"/>
      <c r="AG1849" s="82"/>
      <c r="AH1849" s="82"/>
      <c r="AI1849" s="82"/>
      <c r="AJ1849" s="166"/>
      <c r="AK1849" s="82"/>
      <c r="AL1849" s="162"/>
      <c r="AM1849" s="162"/>
      <c r="AN1849" s="162"/>
      <c r="AO1849" s="162"/>
      <c r="AP1849" s="162"/>
      <c r="AQ1849" s="162"/>
      <c r="AR1849" s="710"/>
      <c r="AV1849" s="82"/>
      <c r="AW1849" s="947"/>
      <c r="AX1849" s="947"/>
      <c r="AY1849" s="947"/>
    </row>
    <row r="1850" spans="31:51" x14ac:dyDescent="0.25">
      <c r="AE1850" s="75"/>
      <c r="AF1850" s="82"/>
      <c r="AG1850" s="82"/>
      <c r="AH1850" s="82"/>
      <c r="AI1850" s="82"/>
      <c r="AJ1850" s="166"/>
      <c r="AK1850" s="82"/>
      <c r="AL1850" s="162"/>
      <c r="AM1850" s="162"/>
      <c r="AN1850" s="162"/>
      <c r="AO1850" s="162"/>
      <c r="AP1850" s="162"/>
      <c r="AQ1850" s="162"/>
      <c r="AR1850" s="710"/>
      <c r="AV1850" s="82"/>
      <c r="AW1850" s="947"/>
      <c r="AX1850" s="947"/>
      <c r="AY1850" s="947"/>
    </row>
    <row r="1851" spans="31:51" x14ac:dyDescent="0.25">
      <c r="AE1851" s="75"/>
      <c r="AF1851" s="82"/>
      <c r="AG1851" s="82"/>
      <c r="AH1851" s="82"/>
      <c r="AI1851" s="82"/>
      <c r="AJ1851" s="166"/>
      <c r="AK1851" s="82"/>
      <c r="AL1851" s="162"/>
      <c r="AM1851" s="162"/>
      <c r="AN1851" s="162"/>
      <c r="AO1851" s="162"/>
      <c r="AP1851" s="162"/>
      <c r="AQ1851" s="162"/>
      <c r="AR1851" s="710"/>
      <c r="AV1851" s="82"/>
      <c r="AW1851" s="947"/>
      <c r="AX1851" s="947"/>
      <c r="AY1851" s="947"/>
    </row>
    <row r="1852" spans="31:51" x14ac:dyDescent="0.25">
      <c r="AE1852" s="75"/>
      <c r="AF1852" s="82"/>
      <c r="AG1852" s="82"/>
      <c r="AH1852" s="82"/>
      <c r="AI1852" s="82"/>
      <c r="AJ1852" s="166"/>
      <c r="AK1852" s="82"/>
      <c r="AL1852" s="162"/>
      <c r="AM1852" s="162"/>
      <c r="AN1852" s="162"/>
      <c r="AO1852" s="162"/>
      <c r="AP1852" s="162"/>
      <c r="AQ1852" s="162"/>
      <c r="AR1852" s="710"/>
      <c r="AV1852" s="82"/>
      <c r="AW1852" s="947"/>
      <c r="AX1852" s="947"/>
      <c r="AY1852" s="947"/>
    </row>
    <row r="1853" spans="31:51" x14ac:dyDescent="0.25">
      <c r="AE1853" s="75"/>
      <c r="AF1853" s="82"/>
      <c r="AG1853" s="82"/>
      <c r="AH1853" s="82"/>
      <c r="AI1853" s="82"/>
      <c r="AJ1853" s="166"/>
      <c r="AK1853" s="82"/>
      <c r="AL1853" s="162"/>
      <c r="AM1853" s="162"/>
      <c r="AN1853" s="162"/>
      <c r="AO1853" s="162"/>
      <c r="AP1853" s="162"/>
      <c r="AQ1853" s="162"/>
      <c r="AR1853" s="710"/>
      <c r="AV1853" s="82"/>
      <c r="AW1853" s="947"/>
      <c r="AX1853" s="947"/>
      <c r="AY1853" s="947"/>
    </row>
    <row r="1854" spans="31:51" x14ac:dyDescent="0.25">
      <c r="AE1854" s="75"/>
      <c r="AF1854" s="82"/>
      <c r="AG1854" s="82"/>
      <c r="AH1854" s="82"/>
      <c r="AI1854" s="82"/>
      <c r="AJ1854" s="166"/>
      <c r="AK1854" s="82"/>
      <c r="AL1854" s="162"/>
      <c r="AM1854" s="162"/>
      <c r="AN1854" s="162"/>
      <c r="AO1854" s="162"/>
      <c r="AP1854" s="162"/>
      <c r="AQ1854" s="162"/>
      <c r="AR1854" s="710"/>
      <c r="AV1854" s="82"/>
      <c r="AW1854" s="947"/>
      <c r="AX1854" s="947"/>
      <c r="AY1854" s="947"/>
    </row>
    <row r="1855" spans="31:51" x14ac:dyDescent="0.25">
      <c r="AE1855" s="75"/>
      <c r="AF1855" s="82"/>
      <c r="AG1855" s="82"/>
      <c r="AH1855" s="82"/>
      <c r="AI1855" s="82"/>
      <c r="AJ1855" s="166"/>
      <c r="AK1855" s="82"/>
      <c r="AL1855" s="162"/>
      <c r="AM1855" s="162"/>
      <c r="AN1855" s="162"/>
      <c r="AO1855" s="162"/>
      <c r="AP1855" s="162"/>
      <c r="AQ1855" s="162"/>
      <c r="AR1855" s="710"/>
      <c r="AV1855" s="82"/>
      <c r="AW1855" s="947"/>
      <c r="AX1855" s="947"/>
      <c r="AY1855" s="947"/>
    </row>
    <row r="1856" spans="31:51" x14ac:dyDescent="0.25">
      <c r="AE1856" s="75"/>
      <c r="AF1856" s="82"/>
      <c r="AG1856" s="82"/>
      <c r="AH1856" s="82"/>
      <c r="AI1856" s="82"/>
      <c r="AJ1856" s="166"/>
      <c r="AK1856" s="82"/>
      <c r="AL1856" s="162"/>
      <c r="AM1856" s="162"/>
      <c r="AN1856" s="162"/>
      <c r="AO1856" s="162"/>
      <c r="AP1856" s="162"/>
      <c r="AQ1856" s="162"/>
      <c r="AR1856" s="710"/>
      <c r="AV1856" s="82"/>
      <c r="AW1856" s="947"/>
      <c r="AX1856" s="947"/>
      <c r="AY1856" s="947"/>
    </row>
    <row r="1857" spans="31:51" x14ac:dyDescent="0.25">
      <c r="AE1857" s="75"/>
      <c r="AF1857" s="82"/>
      <c r="AG1857" s="82"/>
      <c r="AH1857" s="82"/>
      <c r="AI1857" s="82"/>
      <c r="AJ1857" s="166"/>
      <c r="AK1857" s="82"/>
      <c r="AL1857" s="162"/>
      <c r="AM1857" s="162"/>
      <c r="AN1857" s="162"/>
      <c r="AO1857" s="162"/>
      <c r="AP1857" s="162"/>
      <c r="AQ1857" s="162"/>
      <c r="AR1857" s="710"/>
      <c r="AV1857" s="82"/>
      <c r="AW1857" s="947"/>
      <c r="AX1857" s="947"/>
      <c r="AY1857" s="947"/>
    </row>
    <row r="1858" spans="31:51" x14ac:dyDescent="0.25">
      <c r="AE1858" s="75"/>
      <c r="AF1858" s="82"/>
      <c r="AG1858" s="82"/>
      <c r="AH1858" s="82"/>
      <c r="AI1858" s="82"/>
      <c r="AJ1858" s="166"/>
      <c r="AK1858" s="82"/>
      <c r="AL1858" s="162"/>
      <c r="AM1858" s="162"/>
      <c r="AN1858" s="162"/>
      <c r="AO1858" s="162"/>
      <c r="AP1858" s="162"/>
      <c r="AQ1858" s="162"/>
      <c r="AR1858" s="710"/>
      <c r="AV1858" s="82"/>
      <c r="AW1858" s="947"/>
      <c r="AX1858" s="947"/>
      <c r="AY1858" s="947"/>
    </row>
    <row r="1859" spans="31:51" x14ac:dyDescent="0.25">
      <c r="AE1859" s="75"/>
      <c r="AF1859" s="82"/>
      <c r="AG1859" s="82"/>
      <c r="AH1859" s="82"/>
      <c r="AI1859" s="82"/>
      <c r="AJ1859" s="166"/>
      <c r="AK1859" s="82"/>
      <c r="AL1859" s="162"/>
      <c r="AM1859" s="162"/>
      <c r="AN1859" s="162"/>
      <c r="AO1859" s="162"/>
      <c r="AP1859" s="162"/>
      <c r="AQ1859" s="162"/>
      <c r="AR1859" s="710"/>
      <c r="AV1859" s="82"/>
      <c r="AW1859" s="947"/>
      <c r="AX1859" s="947"/>
      <c r="AY1859" s="947"/>
    </row>
    <row r="1860" spans="31:51" x14ac:dyDescent="0.25">
      <c r="AE1860" s="75"/>
      <c r="AF1860" s="82"/>
      <c r="AG1860" s="82"/>
      <c r="AH1860" s="82"/>
      <c r="AI1860" s="82"/>
      <c r="AJ1860" s="166"/>
      <c r="AK1860" s="82"/>
      <c r="AL1860" s="162"/>
      <c r="AM1860" s="162"/>
      <c r="AN1860" s="162"/>
      <c r="AO1860" s="162"/>
      <c r="AP1860" s="162"/>
      <c r="AQ1860" s="162"/>
      <c r="AR1860" s="710"/>
      <c r="AV1860" s="82"/>
      <c r="AW1860" s="947"/>
      <c r="AX1860" s="947"/>
      <c r="AY1860" s="947"/>
    </row>
    <row r="1861" spans="31:51" x14ac:dyDescent="0.25">
      <c r="AE1861" s="75"/>
      <c r="AF1861" s="82"/>
      <c r="AG1861" s="82"/>
      <c r="AH1861" s="82"/>
      <c r="AI1861" s="82"/>
      <c r="AJ1861" s="166"/>
      <c r="AK1861" s="82"/>
      <c r="AL1861" s="162"/>
      <c r="AM1861" s="162"/>
      <c r="AN1861" s="162"/>
      <c r="AO1861" s="162"/>
      <c r="AP1861" s="162"/>
      <c r="AQ1861" s="162"/>
      <c r="AR1861" s="710"/>
      <c r="AV1861" s="82"/>
      <c r="AW1861" s="947"/>
      <c r="AX1861" s="947"/>
      <c r="AY1861" s="947"/>
    </row>
    <row r="1862" spans="31:51" x14ac:dyDescent="0.25">
      <c r="AE1862" s="75"/>
      <c r="AF1862" s="82"/>
      <c r="AG1862" s="82"/>
      <c r="AH1862" s="82"/>
      <c r="AI1862" s="82"/>
      <c r="AJ1862" s="166"/>
      <c r="AK1862" s="82"/>
      <c r="AL1862" s="162"/>
      <c r="AM1862" s="162"/>
      <c r="AN1862" s="162"/>
      <c r="AO1862" s="162"/>
      <c r="AP1862" s="162"/>
      <c r="AQ1862" s="162"/>
      <c r="AR1862" s="710"/>
      <c r="AV1862" s="82"/>
      <c r="AW1862" s="947"/>
      <c r="AX1862" s="947"/>
      <c r="AY1862" s="947"/>
    </row>
    <row r="1863" spans="31:51" x14ac:dyDescent="0.25">
      <c r="AE1863" s="75"/>
      <c r="AF1863" s="82"/>
      <c r="AG1863" s="82"/>
      <c r="AH1863" s="82"/>
      <c r="AI1863" s="82"/>
      <c r="AJ1863" s="166"/>
      <c r="AK1863" s="82"/>
      <c r="AL1863" s="162"/>
      <c r="AM1863" s="162"/>
      <c r="AN1863" s="162"/>
      <c r="AO1863" s="162"/>
      <c r="AP1863" s="162"/>
      <c r="AQ1863" s="162"/>
      <c r="AR1863" s="710"/>
      <c r="AV1863" s="82"/>
      <c r="AW1863" s="947"/>
      <c r="AX1863" s="947"/>
      <c r="AY1863" s="947"/>
    </row>
    <row r="1864" spans="31:51" x14ac:dyDescent="0.25">
      <c r="AE1864" s="75"/>
      <c r="AF1864" s="82"/>
      <c r="AG1864" s="82"/>
      <c r="AH1864" s="82"/>
      <c r="AI1864" s="82"/>
      <c r="AJ1864" s="166"/>
      <c r="AK1864" s="82"/>
      <c r="AL1864" s="162"/>
      <c r="AM1864" s="162"/>
      <c r="AN1864" s="162"/>
      <c r="AO1864" s="162"/>
      <c r="AP1864" s="162"/>
      <c r="AQ1864" s="162"/>
      <c r="AR1864" s="710"/>
      <c r="AV1864" s="82"/>
      <c r="AW1864" s="947"/>
      <c r="AX1864" s="947"/>
      <c r="AY1864" s="947"/>
    </row>
    <row r="1865" spans="31:51" x14ac:dyDescent="0.25">
      <c r="AE1865" s="75"/>
      <c r="AF1865" s="82"/>
      <c r="AG1865" s="82"/>
      <c r="AH1865" s="82"/>
      <c r="AI1865" s="82"/>
      <c r="AJ1865" s="166"/>
      <c r="AK1865" s="82"/>
      <c r="AL1865" s="162"/>
      <c r="AM1865" s="162"/>
      <c r="AN1865" s="162"/>
      <c r="AO1865" s="162"/>
      <c r="AP1865" s="162"/>
      <c r="AQ1865" s="162"/>
      <c r="AR1865" s="710"/>
      <c r="AV1865" s="82"/>
      <c r="AW1865" s="947"/>
      <c r="AX1865" s="947"/>
      <c r="AY1865" s="947"/>
    </row>
    <row r="1866" spans="31:51" x14ac:dyDescent="0.25">
      <c r="AE1866" s="75"/>
      <c r="AF1866" s="82"/>
      <c r="AG1866" s="82"/>
      <c r="AH1866" s="82"/>
      <c r="AI1866" s="82"/>
      <c r="AJ1866" s="166"/>
      <c r="AK1866" s="82"/>
      <c r="AL1866" s="162"/>
      <c r="AM1866" s="162"/>
      <c r="AN1866" s="162"/>
      <c r="AO1866" s="162"/>
      <c r="AP1866" s="162"/>
      <c r="AQ1866" s="162"/>
      <c r="AR1866" s="710"/>
      <c r="AV1866" s="82"/>
      <c r="AW1866" s="947"/>
      <c r="AX1866" s="947"/>
      <c r="AY1866" s="947"/>
    </row>
    <row r="1867" spans="31:51" x14ac:dyDescent="0.25">
      <c r="AE1867" s="75"/>
      <c r="AF1867" s="82"/>
      <c r="AG1867" s="82"/>
      <c r="AH1867" s="82"/>
      <c r="AI1867" s="82"/>
      <c r="AJ1867" s="166"/>
      <c r="AK1867" s="82"/>
      <c r="AL1867" s="162"/>
      <c r="AM1867" s="162"/>
      <c r="AN1867" s="162"/>
      <c r="AO1867" s="162"/>
      <c r="AP1867" s="162"/>
      <c r="AQ1867" s="162"/>
      <c r="AR1867" s="710"/>
      <c r="AV1867" s="82"/>
      <c r="AW1867" s="947"/>
      <c r="AX1867" s="947"/>
      <c r="AY1867" s="947"/>
    </row>
    <row r="1868" spans="31:51" x14ac:dyDescent="0.25">
      <c r="AE1868" s="75"/>
      <c r="AF1868" s="82"/>
      <c r="AG1868" s="82"/>
      <c r="AH1868" s="82"/>
      <c r="AI1868" s="82"/>
      <c r="AJ1868" s="166"/>
      <c r="AK1868" s="82"/>
      <c r="AL1868" s="162"/>
      <c r="AM1868" s="162"/>
      <c r="AN1868" s="162"/>
      <c r="AO1868" s="162"/>
      <c r="AP1868" s="162"/>
      <c r="AQ1868" s="162"/>
      <c r="AR1868" s="710"/>
      <c r="AV1868" s="82"/>
      <c r="AW1868" s="947"/>
      <c r="AX1868" s="947"/>
      <c r="AY1868" s="947"/>
    </row>
    <row r="1869" spans="31:51" x14ac:dyDescent="0.25">
      <c r="AE1869" s="75"/>
      <c r="AF1869" s="82"/>
      <c r="AG1869" s="82"/>
      <c r="AH1869" s="82"/>
      <c r="AI1869" s="82"/>
      <c r="AJ1869" s="166"/>
      <c r="AK1869" s="82"/>
      <c r="AL1869" s="162"/>
      <c r="AM1869" s="162"/>
      <c r="AN1869" s="162"/>
      <c r="AO1869" s="162"/>
      <c r="AP1869" s="162"/>
      <c r="AQ1869" s="162"/>
      <c r="AR1869" s="710"/>
      <c r="AV1869" s="82"/>
      <c r="AW1869" s="947"/>
      <c r="AX1869" s="947"/>
      <c r="AY1869" s="947"/>
    </row>
    <row r="1870" spans="31:51" x14ac:dyDescent="0.25">
      <c r="AE1870" s="75"/>
      <c r="AF1870" s="82"/>
      <c r="AG1870" s="82"/>
      <c r="AH1870" s="82"/>
      <c r="AI1870" s="82"/>
      <c r="AJ1870" s="166"/>
      <c r="AK1870" s="82"/>
      <c r="AL1870" s="162"/>
      <c r="AM1870" s="162"/>
      <c r="AN1870" s="162"/>
      <c r="AO1870" s="162"/>
      <c r="AP1870" s="162"/>
      <c r="AQ1870" s="162"/>
      <c r="AR1870" s="710"/>
      <c r="AV1870" s="82"/>
      <c r="AW1870" s="947"/>
      <c r="AX1870" s="947"/>
      <c r="AY1870" s="947"/>
    </row>
    <row r="1871" spans="31:51" x14ac:dyDescent="0.25">
      <c r="AE1871" s="75"/>
      <c r="AF1871" s="82"/>
      <c r="AG1871" s="82"/>
      <c r="AH1871" s="82"/>
      <c r="AI1871" s="82"/>
      <c r="AJ1871" s="166"/>
      <c r="AK1871" s="82"/>
      <c r="AL1871" s="162"/>
      <c r="AM1871" s="162"/>
      <c r="AN1871" s="162"/>
      <c r="AO1871" s="162"/>
      <c r="AP1871" s="162"/>
      <c r="AQ1871" s="162"/>
      <c r="AR1871" s="710"/>
      <c r="AV1871" s="82"/>
      <c r="AW1871" s="947"/>
      <c r="AX1871" s="947"/>
      <c r="AY1871" s="947"/>
    </row>
    <row r="1872" spans="31:51" x14ac:dyDescent="0.25">
      <c r="AE1872" s="75"/>
      <c r="AF1872" s="82"/>
      <c r="AG1872" s="82"/>
      <c r="AH1872" s="82"/>
      <c r="AI1872" s="82"/>
      <c r="AJ1872" s="166"/>
      <c r="AK1872" s="82"/>
      <c r="AL1872" s="162"/>
      <c r="AM1872" s="162"/>
      <c r="AN1872" s="162"/>
      <c r="AO1872" s="162"/>
      <c r="AP1872" s="162"/>
      <c r="AQ1872" s="162"/>
      <c r="AR1872" s="710"/>
      <c r="AV1872" s="82"/>
      <c r="AW1872" s="947"/>
      <c r="AX1872" s="947"/>
      <c r="AY1872" s="947"/>
    </row>
    <row r="1873" spans="31:51" x14ac:dyDescent="0.25">
      <c r="AE1873" s="75"/>
      <c r="AF1873" s="82"/>
      <c r="AG1873" s="82"/>
      <c r="AH1873" s="82"/>
      <c r="AI1873" s="82"/>
      <c r="AJ1873" s="166"/>
      <c r="AK1873" s="82"/>
      <c r="AL1873" s="162"/>
      <c r="AM1873" s="162"/>
      <c r="AN1873" s="162"/>
      <c r="AO1873" s="162"/>
      <c r="AP1873" s="162"/>
      <c r="AQ1873" s="162"/>
      <c r="AR1873" s="710"/>
      <c r="AV1873" s="82"/>
      <c r="AW1873" s="947"/>
      <c r="AX1873" s="947"/>
      <c r="AY1873" s="947"/>
    </row>
    <row r="1874" spans="31:51" x14ac:dyDescent="0.25">
      <c r="AE1874" s="75"/>
      <c r="AF1874" s="82"/>
      <c r="AG1874" s="82"/>
      <c r="AH1874" s="82"/>
      <c r="AI1874" s="82"/>
      <c r="AJ1874" s="166"/>
      <c r="AK1874" s="82"/>
      <c r="AL1874" s="162"/>
      <c r="AM1874" s="162"/>
      <c r="AN1874" s="162"/>
      <c r="AO1874" s="162"/>
      <c r="AP1874" s="162"/>
      <c r="AQ1874" s="162"/>
      <c r="AR1874" s="710"/>
      <c r="AV1874" s="82"/>
      <c r="AW1874" s="947"/>
      <c r="AX1874" s="947"/>
      <c r="AY1874" s="947"/>
    </row>
    <row r="1875" spans="31:51" x14ac:dyDescent="0.25">
      <c r="AE1875" s="75"/>
      <c r="AF1875" s="82"/>
      <c r="AG1875" s="82"/>
      <c r="AH1875" s="82"/>
      <c r="AI1875" s="82"/>
      <c r="AJ1875" s="166"/>
      <c r="AK1875" s="82"/>
      <c r="AL1875" s="162"/>
      <c r="AM1875" s="162"/>
      <c r="AN1875" s="162"/>
      <c r="AO1875" s="162"/>
      <c r="AP1875" s="162"/>
      <c r="AQ1875" s="162"/>
      <c r="AR1875" s="710"/>
      <c r="AV1875" s="82"/>
      <c r="AW1875" s="947"/>
      <c r="AX1875" s="947"/>
      <c r="AY1875" s="947"/>
    </row>
    <row r="1876" spans="31:51" x14ac:dyDescent="0.25">
      <c r="AE1876" s="75"/>
      <c r="AF1876" s="82"/>
      <c r="AG1876" s="82"/>
      <c r="AH1876" s="82"/>
      <c r="AI1876" s="82"/>
      <c r="AJ1876" s="166"/>
      <c r="AK1876" s="82"/>
      <c r="AL1876" s="162"/>
      <c r="AM1876" s="162"/>
      <c r="AN1876" s="162"/>
      <c r="AO1876" s="162"/>
      <c r="AP1876" s="162"/>
      <c r="AQ1876" s="162"/>
      <c r="AR1876" s="710"/>
      <c r="AV1876" s="82"/>
      <c r="AW1876" s="947"/>
      <c r="AX1876" s="947"/>
      <c r="AY1876" s="947"/>
    </row>
    <row r="1877" spans="31:51" x14ac:dyDescent="0.25">
      <c r="AE1877" s="75"/>
      <c r="AF1877" s="82"/>
      <c r="AG1877" s="82"/>
      <c r="AH1877" s="82"/>
      <c r="AI1877" s="82"/>
      <c r="AJ1877" s="166"/>
      <c r="AK1877" s="82"/>
      <c r="AL1877" s="162"/>
      <c r="AM1877" s="162"/>
      <c r="AN1877" s="162"/>
      <c r="AO1877" s="162"/>
      <c r="AP1877" s="162"/>
      <c r="AQ1877" s="162"/>
      <c r="AR1877" s="710"/>
      <c r="AV1877" s="82"/>
      <c r="AW1877" s="947"/>
      <c r="AX1877" s="947"/>
      <c r="AY1877" s="947"/>
    </row>
    <row r="1878" spans="31:51" x14ac:dyDescent="0.25">
      <c r="AE1878" s="75"/>
      <c r="AF1878" s="82"/>
      <c r="AG1878" s="82"/>
      <c r="AH1878" s="82"/>
      <c r="AI1878" s="82"/>
      <c r="AJ1878" s="166"/>
      <c r="AK1878" s="82"/>
      <c r="AL1878" s="162"/>
      <c r="AM1878" s="162"/>
      <c r="AN1878" s="162"/>
      <c r="AO1878" s="162"/>
      <c r="AP1878" s="162"/>
      <c r="AQ1878" s="162"/>
      <c r="AR1878" s="710"/>
      <c r="AV1878" s="82"/>
      <c r="AW1878" s="947"/>
      <c r="AX1878" s="947"/>
      <c r="AY1878" s="947"/>
    </row>
    <row r="1879" spans="31:51" x14ac:dyDescent="0.25">
      <c r="AE1879" s="75"/>
      <c r="AF1879" s="82"/>
      <c r="AG1879" s="82"/>
      <c r="AH1879" s="82"/>
      <c r="AI1879" s="82"/>
      <c r="AJ1879" s="166"/>
      <c r="AK1879" s="82"/>
      <c r="AL1879" s="162"/>
      <c r="AM1879" s="162"/>
      <c r="AN1879" s="162"/>
      <c r="AO1879" s="162"/>
      <c r="AP1879" s="162"/>
      <c r="AQ1879" s="162"/>
      <c r="AR1879" s="710"/>
      <c r="AV1879" s="82"/>
      <c r="AW1879" s="947"/>
      <c r="AX1879" s="947"/>
      <c r="AY1879" s="947"/>
    </row>
    <row r="1880" spans="31:51" x14ac:dyDescent="0.25">
      <c r="AE1880" s="75"/>
      <c r="AF1880" s="82"/>
      <c r="AG1880" s="82"/>
      <c r="AH1880" s="82"/>
      <c r="AI1880" s="82"/>
      <c r="AJ1880" s="166"/>
      <c r="AK1880" s="82"/>
      <c r="AL1880" s="162"/>
      <c r="AM1880" s="162"/>
      <c r="AN1880" s="162"/>
      <c r="AO1880" s="162"/>
      <c r="AP1880" s="162"/>
      <c r="AQ1880" s="162"/>
      <c r="AR1880" s="710"/>
      <c r="AV1880" s="82"/>
      <c r="AW1880" s="947"/>
      <c r="AX1880" s="947"/>
      <c r="AY1880" s="947"/>
    </row>
    <row r="1881" spans="31:51" x14ac:dyDescent="0.25">
      <c r="AE1881" s="75"/>
      <c r="AF1881" s="82"/>
      <c r="AG1881" s="82"/>
      <c r="AH1881" s="82"/>
      <c r="AI1881" s="82"/>
      <c r="AJ1881" s="166"/>
      <c r="AK1881" s="82"/>
      <c r="AL1881" s="162"/>
      <c r="AM1881" s="162"/>
      <c r="AN1881" s="162"/>
      <c r="AO1881" s="162"/>
      <c r="AP1881" s="162"/>
      <c r="AQ1881" s="162"/>
      <c r="AR1881" s="710"/>
      <c r="AV1881" s="82"/>
      <c r="AW1881" s="947"/>
      <c r="AX1881" s="947"/>
      <c r="AY1881" s="947"/>
    </row>
    <row r="1882" spans="31:51" x14ac:dyDescent="0.25">
      <c r="AE1882" s="75"/>
      <c r="AF1882" s="82"/>
      <c r="AG1882" s="82"/>
      <c r="AH1882" s="82"/>
      <c r="AI1882" s="82"/>
      <c r="AJ1882" s="166"/>
      <c r="AK1882" s="82"/>
      <c r="AL1882" s="162"/>
      <c r="AM1882" s="162"/>
      <c r="AN1882" s="162"/>
      <c r="AO1882" s="162"/>
      <c r="AP1882" s="162"/>
      <c r="AQ1882" s="162"/>
      <c r="AR1882" s="710"/>
      <c r="AV1882" s="82"/>
      <c r="AW1882" s="947"/>
      <c r="AX1882" s="947"/>
      <c r="AY1882" s="947"/>
    </row>
    <row r="1883" spans="31:51" x14ac:dyDescent="0.25">
      <c r="AE1883" s="75"/>
      <c r="AF1883" s="82"/>
      <c r="AG1883" s="82"/>
      <c r="AH1883" s="82"/>
      <c r="AI1883" s="82"/>
      <c r="AJ1883" s="166"/>
      <c r="AK1883" s="82"/>
      <c r="AL1883" s="162"/>
      <c r="AM1883" s="162"/>
      <c r="AN1883" s="162"/>
      <c r="AO1883" s="162"/>
      <c r="AP1883" s="162"/>
      <c r="AQ1883" s="162"/>
      <c r="AR1883" s="710"/>
      <c r="AV1883" s="82"/>
      <c r="AW1883" s="947"/>
      <c r="AX1883" s="947"/>
      <c r="AY1883" s="947"/>
    </row>
    <row r="1884" spans="31:51" x14ac:dyDescent="0.25">
      <c r="AE1884" s="75"/>
      <c r="AF1884" s="82"/>
      <c r="AG1884" s="82"/>
      <c r="AH1884" s="82"/>
      <c r="AI1884" s="82"/>
      <c r="AJ1884" s="166"/>
      <c r="AK1884" s="82"/>
      <c r="AL1884" s="162"/>
      <c r="AM1884" s="162"/>
      <c r="AN1884" s="162"/>
      <c r="AO1884" s="162"/>
      <c r="AP1884" s="162"/>
      <c r="AQ1884" s="162"/>
      <c r="AR1884" s="710"/>
      <c r="AV1884" s="82"/>
      <c r="AW1884" s="947"/>
      <c r="AX1884" s="947"/>
      <c r="AY1884" s="947"/>
    </row>
    <row r="1885" spans="31:51" x14ac:dyDescent="0.25">
      <c r="AE1885" s="75"/>
      <c r="AF1885" s="82"/>
      <c r="AG1885" s="82"/>
      <c r="AH1885" s="82"/>
      <c r="AI1885" s="82"/>
      <c r="AJ1885" s="166"/>
      <c r="AK1885" s="82"/>
      <c r="AL1885" s="162"/>
      <c r="AM1885" s="162"/>
      <c r="AN1885" s="162"/>
      <c r="AO1885" s="162"/>
      <c r="AP1885" s="162"/>
      <c r="AQ1885" s="162"/>
      <c r="AR1885" s="710"/>
      <c r="AV1885" s="82"/>
      <c r="AW1885" s="947"/>
      <c r="AX1885" s="947"/>
      <c r="AY1885" s="947"/>
    </row>
    <row r="1886" spans="31:51" x14ac:dyDescent="0.25">
      <c r="AE1886" s="75"/>
      <c r="AF1886" s="82"/>
      <c r="AG1886" s="82"/>
      <c r="AH1886" s="82"/>
      <c r="AI1886" s="82"/>
      <c r="AJ1886" s="166"/>
      <c r="AK1886" s="82"/>
      <c r="AL1886" s="162"/>
      <c r="AM1886" s="162"/>
      <c r="AN1886" s="162"/>
      <c r="AO1886" s="162"/>
      <c r="AP1886" s="162"/>
      <c r="AQ1886" s="162"/>
      <c r="AR1886" s="710"/>
      <c r="AV1886" s="82"/>
      <c r="AW1886" s="947"/>
      <c r="AX1886" s="947"/>
      <c r="AY1886" s="947"/>
    </row>
    <row r="1887" spans="31:51" x14ac:dyDescent="0.25">
      <c r="AE1887" s="75"/>
      <c r="AF1887" s="82"/>
      <c r="AG1887" s="82"/>
      <c r="AH1887" s="82"/>
      <c r="AI1887" s="82"/>
      <c r="AJ1887" s="166"/>
      <c r="AK1887" s="82"/>
      <c r="AL1887" s="162"/>
      <c r="AM1887" s="162"/>
      <c r="AN1887" s="162"/>
      <c r="AO1887" s="162"/>
      <c r="AP1887" s="162"/>
      <c r="AQ1887" s="162"/>
      <c r="AR1887" s="710"/>
      <c r="AV1887" s="82"/>
      <c r="AW1887" s="947"/>
      <c r="AX1887" s="947"/>
      <c r="AY1887" s="947"/>
    </row>
    <row r="1888" spans="31:51" x14ac:dyDescent="0.25">
      <c r="AE1888" s="75"/>
      <c r="AF1888" s="82"/>
      <c r="AG1888" s="82"/>
      <c r="AH1888" s="82"/>
      <c r="AI1888" s="82"/>
      <c r="AJ1888" s="166"/>
      <c r="AK1888" s="82"/>
      <c r="AL1888" s="162"/>
      <c r="AM1888" s="162"/>
      <c r="AN1888" s="162"/>
      <c r="AO1888" s="162"/>
      <c r="AP1888" s="162"/>
      <c r="AQ1888" s="162"/>
      <c r="AR1888" s="710"/>
      <c r="AV1888" s="82"/>
      <c r="AW1888" s="947"/>
      <c r="AX1888" s="947"/>
      <c r="AY1888" s="947"/>
    </row>
    <row r="1889" spans="31:51" x14ac:dyDescent="0.25">
      <c r="AE1889" s="75"/>
      <c r="AF1889" s="82"/>
      <c r="AG1889" s="82"/>
      <c r="AH1889" s="82"/>
      <c r="AI1889" s="82"/>
      <c r="AJ1889" s="166"/>
      <c r="AK1889" s="82"/>
      <c r="AL1889" s="162"/>
      <c r="AM1889" s="162"/>
      <c r="AN1889" s="162"/>
      <c r="AO1889" s="162"/>
      <c r="AP1889" s="162"/>
      <c r="AQ1889" s="162"/>
      <c r="AR1889" s="710"/>
      <c r="AV1889" s="82"/>
      <c r="AW1889" s="947"/>
      <c r="AX1889" s="947"/>
      <c r="AY1889" s="947"/>
    </row>
    <row r="1890" spans="31:51" x14ac:dyDescent="0.25">
      <c r="AE1890" s="75"/>
      <c r="AF1890" s="82"/>
      <c r="AG1890" s="82"/>
      <c r="AH1890" s="82"/>
      <c r="AI1890" s="82"/>
      <c r="AJ1890" s="166"/>
      <c r="AK1890" s="82"/>
      <c r="AL1890" s="162"/>
      <c r="AM1890" s="162"/>
      <c r="AN1890" s="162"/>
      <c r="AO1890" s="162"/>
      <c r="AP1890" s="162"/>
      <c r="AQ1890" s="162"/>
      <c r="AR1890" s="710"/>
      <c r="AV1890" s="82"/>
      <c r="AW1890" s="947"/>
      <c r="AX1890" s="947"/>
      <c r="AY1890" s="947"/>
    </row>
    <row r="1891" spans="31:51" x14ac:dyDescent="0.25">
      <c r="AE1891" s="75"/>
      <c r="AF1891" s="82"/>
      <c r="AG1891" s="82"/>
      <c r="AH1891" s="82"/>
      <c r="AI1891" s="82"/>
      <c r="AJ1891" s="166"/>
      <c r="AK1891" s="82"/>
      <c r="AL1891" s="162"/>
      <c r="AM1891" s="162"/>
      <c r="AN1891" s="162"/>
      <c r="AO1891" s="162"/>
      <c r="AP1891" s="162"/>
      <c r="AQ1891" s="162"/>
      <c r="AR1891" s="710"/>
      <c r="AV1891" s="82"/>
      <c r="AW1891" s="947"/>
      <c r="AX1891" s="947"/>
      <c r="AY1891" s="947"/>
    </row>
    <row r="1892" spans="31:51" x14ac:dyDescent="0.25">
      <c r="AE1892" s="75"/>
      <c r="AF1892" s="82"/>
      <c r="AG1892" s="82"/>
      <c r="AH1892" s="82"/>
      <c r="AI1892" s="82"/>
      <c r="AJ1892" s="166"/>
      <c r="AK1892" s="82"/>
      <c r="AL1892" s="162"/>
      <c r="AM1892" s="162"/>
      <c r="AN1892" s="162"/>
      <c r="AO1892" s="162"/>
      <c r="AP1892" s="162"/>
      <c r="AQ1892" s="162"/>
      <c r="AR1892" s="710"/>
      <c r="AV1892" s="82"/>
      <c r="AW1892" s="947"/>
      <c r="AX1892" s="947"/>
      <c r="AY1892" s="947"/>
    </row>
    <row r="1893" spans="31:51" x14ac:dyDescent="0.25">
      <c r="AE1893" s="75"/>
      <c r="AF1893" s="82"/>
      <c r="AG1893" s="82"/>
      <c r="AH1893" s="82"/>
      <c r="AI1893" s="82"/>
      <c r="AJ1893" s="166"/>
      <c r="AK1893" s="82"/>
      <c r="AL1893" s="162"/>
      <c r="AM1893" s="162"/>
      <c r="AN1893" s="162"/>
      <c r="AO1893" s="162"/>
      <c r="AP1893" s="162"/>
      <c r="AQ1893" s="162"/>
      <c r="AR1893" s="710"/>
      <c r="AV1893" s="82"/>
      <c r="AW1893" s="947"/>
      <c r="AX1893" s="947"/>
      <c r="AY1893" s="947"/>
    </row>
    <row r="1894" spans="31:51" x14ac:dyDescent="0.25">
      <c r="AE1894" s="75"/>
      <c r="AF1894" s="82"/>
      <c r="AG1894" s="82"/>
      <c r="AH1894" s="82"/>
      <c r="AI1894" s="82"/>
      <c r="AJ1894" s="166"/>
      <c r="AK1894" s="82"/>
      <c r="AL1894" s="162"/>
      <c r="AM1894" s="162"/>
      <c r="AN1894" s="162"/>
      <c r="AO1894" s="162"/>
      <c r="AP1894" s="162"/>
      <c r="AQ1894" s="162"/>
      <c r="AR1894" s="710"/>
      <c r="AV1894" s="82"/>
      <c r="AW1894" s="947"/>
      <c r="AX1894" s="947"/>
      <c r="AY1894" s="947"/>
    </row>
    <row r="1895" spans="31:51" x14ac:dyDescent="0.25">
      <c r="AE1895" s="75"/>
      <c r="AF1895" s="82"/>
      <c r="AG1895" s="82"/>
      <c r="AH1895" s="82"/>
      <c r="AI1895" s="82"/>
      <c r="AJ1895" s="166"/>
      <c r="AK1895" s="82"/>
      <c r="AL1895" s="162"/>
      <c r="AM1895" s="162"/>
      <c r="AN1895" s="162"/>
      <c r="AO1895" s="162"/>
      <c r="AP1895" s="162"/>
      <c r="AQ1895" s="162"/>
      <c r="AR1895" s="710"/>
      <c r="AV1895" s="82"/>
      <c r="AW1895" s="947"/>
      <c r="AX1895" s="947"/>
      <c r="AY1895" s="947"/>
    </row>
    <row r="1896" spans="31:51" x14ac:dyDescent="0.25">
      <c r="AE1896" s="75"/>
      <c r="AF1896" s="82"/>
      <c r="AG1896" s="82"/>
      <c r="AH1896" s="82"/>
      <c r="AI1896" s="82"/>
      <c r="AJ1896" s="166"/>
      <c r="AK1896" s="82"/>
      <c r="AL1896" s="162"/>
      <c r="AM1896" s="162"/>
      <c r="AN1896" s="162"/>
      <c r="AO1896" s="162"/>
      <c r="AP1896" s="162"/>
      <c r="AQ1896" s="162"/>
      <c r="AR1896" s="710"/>
      <c r="AV1896" s="82"/>
      <c r="AW1896" s="947"/>
      <c r="AX1896" s="947"/>
      <c r="AY1896" s="947"/>
    </row>
    <row r="1897" spans="31:51" x14ac:dyDescent="0.25">
      <c r="AE1897" s="75"/>
      <c r="AF1897" s="82"/>
      <c r="AG1897" s="82"/>
      <c r="AH1897" s="82"/>
      <c r="AI1897" s="82"/>
      <c r="AJ1897" s="166"/>
      <c r="AK1897" s="82"/>
      <c r="AL1897" s="162"/>
      <c r="AM1897" s="162"/>
      <c r="AN1897" s="162"/>
      <c r="AO1897" s="162"/>
      <c r="AP1897" s="162"/>
      <c r="AQ1897" s="162"/>
      <c r="AR1897" s="710"/>
      <c r="AV1897" s="82"/>
      <c r="AW1897" s="947"/>
      <c r="AX1897" s="947"/>
      <c r="AY1897" s="947"/>
    </row>
    <row r="1898" spans="31:51" x14ac:dyDescent="0.25">
      <c r="AE1898" s="75"/>
      <c r="AF1898" s="82"/>
      <c r="AG1898" s="82"/>
      <c r="AH1898" s="82"/>
      <c r="AI1898" s="82"/>
      <c r="AJ1898" s="166"/>
      <c r="AK1898" s="82"/>
      <c r="AL1898" s="162"/>
      <c r="AM1898" s="162"/>
      <c r="AN1898" s="162"/>
      <c r="AO1898" s="162"/>
      <c r="AP1898" s="162"/>
      <c r="AQ1898" s="162"/>
      <c r="AR1898" s="710"/>
      <c r="AV1898" s="82"/>
      <c r="AW1898" s="947"/>
      <c r="AX1898" s="947"/>
      <c r="AY1898" s="947"/>
    </row>
    <row r="1899" spans="31:51" x14ac:dyDescent="0.25">
      <c r="AE1899" s="75"/>
      <c r="AF1899" s="82"/>
      <c r="AG1899" s="82"/>
      <c r="AH1899" s="82"/>
      <c r="AI1899" s="82"/>
      <c r="AJ1899" s="166"/>
      <c r="AK1899" s="82"/>
      <c r="AL1899" s="162"/>
      <c r="AM1899" s="162"/>
      <c r="AN1899" s="162"/>
      <c r="AO1899" s="162"/>
      <c r="AP1899" s="162"/>
      <c r="AQ1899" s="162"/>
      <c r="AR1899" s="710"/>
      <c r="AV1899" s="82"/>
      <c r="AW1899" s="947"/>
      <c r="AX1899" s="947"/>
      <c r="AY1899" s="947"/>
    </row>
    <row r="1900" spans="31:51" x14ac:dyDescent="0.25">
      <c r="AE1900" s="75"/>
      <c r="AF1900" s="82"/>
      <c r="AG1900" s="82"/>
      <c r="AH1900" s="82"/>
      <c r="AI1900" s="82"/>
      <c r="AJ1900" s="166"/>
      <c r="AK1900" s="82"/>
      <c r="AL1900" s="162"/>
      <c r="AM1900" s="162"/>
      <c r="AN1900" s="162"/>
      <c r="AO1900" s="162"/>
      <c r="AP1900" s="162"/>
      <c r="AQ1900" s="162"/>
      <c r="AR1900" s="710"/>
      <c r="AV1900" s="82"/>
      <c r="AW1900" s="947"/>
      <c r="AX1900" s="947"/>
      <c r="AY1900" s="947"/>
    </row>
    <row r="1901" spans="31:51" x14ac:dyDescent="0.25">
      <c r="AE1901" s="75"/>
      <c r="AF1901" s="82"/>
      <c r="AG1901" s="82"/>
      <c r="AH1901" s="82"/>
      <c r="AI1901" s="82"/>
      <c r="AJ1901" s="166"/>
      <c r="AK1901" s="82"/>
      <c r="AL1901" s="162"/>
      <c r="AM1901" s="162"/>
      <c r="AN1901" s="162"/>
      <c r="AO1901" s="162"/>
      <c r="AP1901" s="162"/>
      <c r="AQ1901" s="162"/>
      <c r="AR1901" s="710"/>
      <c r="AV1901" s="82"/>
      <c r="AW1901" s="947"/>
      <c r="AX1901" s="947"/>
      <c r="AY1901" s="947"/>
    </row>
    <row r="1902" spans="31:51" x14ac:dyDescent="0.25">
      <c r="AE1902" s="75"/>
      <c r="AF1902" s="82"/>
      <c r="AG1902" s="82"/>
      <c r="AH1902" s="82"/>
      <c r="AI1902" s="82"/>
      <c r="AJ1902" s="166"/>
      <c r="AK1902" s="82"/>
      <c r="AL1902" s="162"/>
      <c r="AM1902" s="162"/>
      <c r="AN1902" s="162"/>
      <c r="AO1902" s="162"/>
      <c r="AP1902" s="162"/>
      <c r="AQ1902" s="162"/>
      <c r="AR1902" s="710"/>
      <c r="AV1902" s="82"/>
      <c r="AW1902" s="947"/>
      <c r="AX1902" s="947"/>
      <c r="AY1902" s="947"/>
    </row>
    <row r="1903" spans="31:51" x14ac:dyDescent="0.25">
      <c r="AE1903" s="75"/>
      <c r="AF1903" s="82"/>
      <c r="AG1903" s="82"/>
      <c r="AH1903" s="82"/>
      <c r="AI1903" s="82"/>
      <c r="AJ1903" s="166"/>
      <c r="AK1903" s="82"/>
      <c r="AL1903" s="162"/>
      <c r="AM1903" s="162"/>
      <c r="AN1903" s="162"/>
      <c r="AO1903" s="162"/>
      <c r="AP1903" s="162"/>
      <c r="AQ1903" s="162"/>
      <c r="AR1903" s="710"/>
      <c r="AV1903" s="82"/>
      <c r="AW1903" s="947"/>
      <c r="AX1903" s="947"/>
      <c r="AY1903" s="947"/>
    </row>
    <row r="1904" spans="31:51" x14ac:dyDescent="0.25">
      <c r="AE1904" s="75"/>
      <c r="AF1904" s="82"/>
      <c r="AG1904" s="82"/>
      <c r="AH1904" s="82"/>
      <c r="AI1904" s="82"/>
      <c r="AJ1904" s="166"/>
      <c r="AK1904" s="82"/>
      <c r="AL1904" s="162"/>
      <c r="AM1904" s="162"/>
      <c r="AN1904" s="162"/>
      <c r="AO1904" s="162"/>
      <c r="AP1904" s="162"/>
      <c r="AQ1904" s="162"/>
      <c r="AR1904" s="710"/>
      <c r="AV1904" s="82"/>
      <c r="AW1904" s="947"/>
      <c r="AX1904" s="947"/>
      <c r="AY1904" s="947"/>
    </row>
    <row r="1905" spans="31:51" x14ac:dyDescent="0.25">
      <c r="AE1905" s="75"/>
      <c r="AF1905" s="82"/>
      <c r="AG1905" s="82"/>
      <c r="AH1905" s="82"/>
      <c r="AI1905" s="82"/>
      <c r="AJ1905" s="166"/>
      <c r="AK1905" s="82"/>
      <c r="AL1905" s="162"/>
      <c r="AM1905" s="162"/>
      <c r="AN1905" s="162"/>
      <c r="AO1905" s="162"/>
      <c r="AP1905" s="162"/>
      <c r="AQ1905" s="162"/>
      <c r="AR1905" s="710"/>
      <c r="AV1905" s="82"/>
      <c r="AW1905" s="947"/>
      <c r="AX1905" s="947"/>
      <c r="AY1905" s="947"/>
    </row>
    <row r="1906" spans="31:51" x14ac:dyDescent="0.25">
      <c r="AE1906" s="75"/>
      <c r="AF1906" s="82"/>
      <c r="AG1906" s="82"/>
      <c r="AH1906" s="82"/>
      <c r="AI1906" s="82"/>
      <c r="AJ1906" s="166"/>
      <c r="AK1906" s="82"/>
      <c r="AL1906" s="162"/>
      <c r="AM1906" s="162"/>
      <c r="AN1906" s="162"/>
      <c r="AO1906" s="162"/>
      <c r="AP1906" s="162"/>
      <c r="AQ1906" s="162"/>
      <c r="AR1906" s="710"/>
      <c r="AV1906" s="82"/>
      <c r="AW1906" s="947"/>
      <c r="AX1906" s="947"/>
      <c r="AY1906" s="947"/>
    </row>
    <row r="1907" spans="31:51" x14ac:dyDescent="0.25">
      <c r="AE1907" s="75"/>
      <c r="AF1907" s="82"/>
      <c r="AG1907" s="82"/>
      <c r="AH1907" s="82"/>
      <c r="AI1907" s="82"/>
      <c r="AJ1907" s="166"/>
      <c r="AK1907" s="82"/>
      <c r="AL1907" s="162"/>
      <c r="AM1907" s="162"/>
      <c r="AN1907" s="162"/>
      <c r="AO1907" s="162"/>
      <c r="AP1907" s="162"/>
      <c r="AQ1907" s="162"/>
      <c r="AR1907" s="710"/>
      <c r="AV1907" s="82"/>
      <c r="AW1907" s="947"/>
      <c r="AX1907" s="947"/>
      <c r="AY1907" s="947"/>
    </row>
    <row r="1908" spans="31:51" x14ac:dyDescent="0.25">
      <c r="AE1908" s="75"/>
      <c r="AF1908" s="82"/>
      <c r="AG1908" s="82"/>
      <c r="AH1908" s="82"/>
      <c r="AI1908" s="82"/>
      <c r="AJ1908" s="166"/>
      <c r="AK1908" s="82"/>
      <c r="AL1908" s="162"/>
      <c r="AM1908" s="162"/>
      <c r="AN1908" s="162"/>
      <c r="AO1908" s="162"/>
      <c r="AP1908" s="162"/>
      <c r="AQ1908" s="162"/>
      <c r="AR1908" s="710"/>
      <c r="AV1908" s="82"/>
      <c r="AW1908" s="947"/>
      <c r="AX1908" s="947"/>
      <c r="AY1908" s="947"/>
    </row>
    <row r="1909" spans="31:51" x14ac:dyDescent="0.25">
      <c r="AE1909" s="75"/>
      <c r="AF1909" s="82"/>
      <c r="AG1909" s="82"/>
      <c r="AH1909" s="82"/>
      <c r="AI1909" s="82"/>
      <c r="AJ1909" s="166"/>
      <c r="AK1909" s="82"/>
      <c r="AL1909" s="162"/>
      <c r="AM1909" s="162"/>
      <c r="AN1909" s="162"/>
      <c r="AO1909" s="162"/>
      <c r="AP1909" s="162"/>
      <c r="AQ1909" s="162"/>
      <c r="AR1909" s="710"/>
      <c r="AV1909" s="82"/>
      <c r="AW1909" s="947"/>
      <c r="AX1909" s="947"/>
      <c r="AY1909" s="947"/>
    </row>
    <row r="1910" spans="31:51" x14ac:dyDescent="0.25">
      <c r="AE1910" s="75"/>
      <c r="AF1910" s="82"/>
      <c r="AG1910" s="82"/>
      <c r="AH1910" s="82"/>
      <c r="AI1910" s="82"/>
      <c r="AJ1910" s="166"/>
      <c r="AK1910" s="82"/>
      <c r="AL1910" s="162"/>
      <c r="AM1910" s="162"/>
      <c r="AN1910" s="162"/>
      <c r="AO1910" s="162"/>
      <c r="AP1910" s="162"/>
      <c r="AQ1910" s="162"/>
      <c r="AR1910" s="710"/>
      <c r="AV1910" s="82"/>
      <c r="AW1910" s="947"/>
      <c r="AX1910" s="947"/>
      <c r="AY1910" s="947"/>
    </row>
    <row r="1911" spans="31:51" x14ac:dyDescent="0.25">
      <c r="AE1911" s="75"/>
      <c r="AF1911" s="82"/>
      <c r="AG1911" s="82"/>
      <c r="AH1911" s="82"/>
      <c r="AI1911" s="82"/>
      <c r="AJ1911" s="166"/>
      <c r="AK1911" s="82"/>
      <c r="AL1911" s="162"/>
      <c r="AM1911" s="162"/>
      <c r="AN1911" s="162"/>
      <c r="AO1911" s="162"/>
      <c r="AP1911" s="162"/>
      <c r="AQ1911" s="162"/>
      <c r="AR1911" s="710"/>
      <c r="AV1911" s="82"/>
      <c r="AW1911" s="947"/>
      <c r="AX1911" s="947"/>
      <c r="AY1911" s="947"/>
    </row>
    <row r="1912" spans="31:51" x14ac:dyDescent="0.25">
      <c r="AE1912" s="75"/>
      <c r="AF1912" s="82"/>
      <c r="AG1912" s="82"/>
      <c r="AH1912" s="82"/>
      <c r="AI1912" s="82"/>
      <c r="AJ1912" s="166"/>
      <c r="AK1912" s="82"/>
      <c r="AL1912" s="162"/>
      <c r="AM1912" s="162"/>
      <c r="AN1912" s="162"/>
      <c r="AO1912" s="162"/>
      <c r="AP1912" s="162"/>
      <c r="AQ1912" s="162"/>
      <c r="AR1912" s="710"/>
      <c r="AV1912" s="82"/>
      <c r="AW1912" s="947"/>
      <c r="AX1912" s="947"/>
      <c r="AY1912" s="947"/>
    </row>
    <row r="1913" spans="31:51" x14ac:dyDescent="0.25">
      <c r="AE1913" s="75"/>
      <c r="AF1913" s="82"/>
      <c r="AG1913" s="82"/>
      <c r="AH1913" s="82"/>
      <c r="AI1913" s="82"/>
      <c r="AJ1913" s="166"/>
      <c r="AK1913" s="82"/>
      <c r="AL1913" s="162"/>
      <c r="AM1913" s="162"/>
      <c r="AN1913" s="162"/>
      <c r="AO1913" s="162"/>
      <c r="AP1913" s="162"/>
      <c r="AQ1913" s="162"/>
      <c r="AR1913" s="710"/>
      <c r="AV1913" s="82"/>
      <c r="AW1913" s="947"/>
      <c r="AX1913" s="947"/>
      <c r="AY1913" s="947"/>
    </row>
    <row r="1914" spans="31:51" x14ac:dyDescent="0.25">
      <c r="AE1914" s="75"/>
      <c r="AF1914" s="82"/>
      <c r="AG1914" s="82"/>
      <c r="AH1914" s="82"/>
      <c r="AI1914" s="82"/>
      <c r="AJ1914" s="166"/>
      <c r="AK1914" s="82"/>
      <c r="AL1914" s="162"/>
      <c r="AM1914" s="162"/>
      <c r="AN1914" s="162"/>
      <c r="AO1914" s="162"/>
      <c r="AP1914" s="162"/>
      <c r="AQ1914" s="162"/>
      <c r="AR1914" s="710"/>
      <c r="AV1914" s="82"/>
      <c r="AW1914" s="947"/>
      <c r="AX1914" s="947"/>
      <c r="AY1914" s="947"/>
    </row>
    <row r="1915" spans="31:51" x14ac:dyDescent="0.25">
      <c r="AE1915" s="75"/>
      <c r="AF1915" s="82"/>
      <c r="AG1915" s="82"/>
      <c r="AH1915" s="82"/>
      <c r="AI1915" s="82"/>
      <c r="AJ1915" s="166"/>
      <c r="AK1915" s="82"/>
      <c r="AL1915" s="162"/>
      <c r="AM1915" s="162"/>
      <c r="AN1915" s="162"/>
      <c r="AO1915" s="162"/>
      <c r="AP1915" s="162"/>
      <c r="AQ1915" s="162"/>
      <c r="AR1915" s="710"/>
      <c r="AV1915" s="82"/>
      <c r="AW1915" s="947"/>
      <c r="AX1915" s="947"/>
      <c r="AY1915" s="947"/>
    </row>
    <row r="1916" spans="31:51" x14ac:dyDescent="0.25">
      <c r="AE1916" s="75"/>
      <c r="AF1916" s="82"/>
      <c r="AG1916" s="82"/>
      <c r="AH1916" s="82"/>
      <c r="AI1916" s="82"/>
      <c r="AJ1916" s="166"/>
      <c r="AK1916" s="82"/>
      <c r="AL1916" s="162"/>
      <c r="AM1916" s="162"/>
      <c r="AN1916" s="162"/>
      <c r="AO1916" s="162"/>
      <c r="AP1916" s="162"/>
      <c r="AQ1916" s="162"/>
      <c r="AR1916" s="710"/>
      <c r="AV1916" s="82"/>
      <c r="AW1916" s="947"/>
      <c r="AX1916" s="947"/>
      <c r="AY1916" s="947"/>
    </row>
    <row r="1917" spans="31:51" x14ac:dyDescent="0.25">
      <c r="AE1917" s="75"/>
      <c r="AF1917" s="82"/>
      <c r="AG1917" s="82"/>
      <c r="AH1917" s="82"/>
      <c r="AI1917" s="82"/>
      <c r="AJ1917" s="166"/>
      <c r="AK1917" s="82"/>
      <c r="AL1917" s="162"/>
      <c r="AM1917" s="162"/>
      <c r="AN1917" s="162"/>
      <c r="AO1917" s="162"/>
      <c r="AP1917" s="162"/>
      <c r="AQ1917" s="162"/>
      <c r="AR1917" s="710"/>
      <c r="AV1917" s="82"/>
      <c r="AW1917" s="947"/>
      <c r="AX1917" s="947"/>
      <c r="AY1917" s="947"/>
    </row>
    <row r="1918" spans="31:51" x14ac:dyDescent="0.25">
      <c r="AE1918" s="75"/>
      <c r="AF1918" s="82"/>
      <c r="AG1918" s="82"/>
      <c r="AH1918" s="82"/>
      <c r="AI1918" s="82"/>
      <c r="AJ1918" s="166"/>
      <c r="AK1918" s="82"/>
      <c r="AL1918" s="162"/>
      <c r="AM1918" s="162"/>
      <c r="AN1918" s="162"/>
      <c r="AO1918" s="162"/>
      <c r="AP1918" s="162"/>
      <c r="AQ1918" s="162"/>
      <c r="AR1918" s="710"/>
      <c r="AV1918" s="82"/>
      <c r="AW1918" s="947"/>
      <c r="AX1918" s="947"/>
      <c r="AY1918" s="947"/>
    </row>
    <row r="1919" spans="31:51" x14ac:dyDescent="0.25">
      <c r="AE1919" s="75"/>
      <c r="AF1919" s="82"/>
      <c r="AG1919" s="82"/>
      <c r="AH1919" s="82"/>
      <c r="AI1919" s="82"/>
      <c r="AJ1919" s="166"/>
      <c r="AK1919" s="82"/>
      <c r="AL1919" s="162"/>
      <c r="AM1919" s="162"/>
      <c r="AN1919" s="162"/>
      <c r="AO1919" s="162"/>
      <c r="AP1919" s="162"/>
      <c r="AQ1919" s="162"/>
      <c r="AR1919" s="710"/>
      <c r="AV1919" s="82"/>
      <c r="AW1919" s="947"/>
      <c r="AX1919" s="947"/>
      <c r="AY1919" s="947"/>
    </row>
    <row r="1920" spans="31:51" x14ac:dyDescent="0.25">
      <c r="AE1920" s="75"/>
      <c r="AF1920" s="82"/>
      <c r="AG1920" s="82"/>
      <c r="AH1920" s="82"/>
      <c r="AI1920" s="82"/>
      <c r="AJ1920" s="166"/>
      <c r="AK1920" s="82"/>
      <c r="AL1920" s="162"/>
      <c r="AM1920" s="162"/>
      <c r="AN1920" s="162"/>
      <c r="AO1920" s="162"/>
      <c r="AP1920" s="162"/>
      <c r="AQ1920" s="162"/>
      <c r="AR1920" s="710"/>
      <c r="AV1920" s="82"/>
      <c r="AW1920" s="947"/>
      <c r="AX1920" s="947"/>
      <c r="AY1920" s="947"/>
    </row>
    <row r="1921" spans="31:51" x14ac:dyDescent="0.25">
      <c r="AE1921" s="75"/>
      <c r="AF1921" s="82"/>
      <c r="AG1921" s="82"/>
      <c r="AH1921" s="82"/>
      <c r="AI1921" s="82"/>
      <c r="AJ1921" s="166"/>
      <c r="AK1921" s="82"/>
      <c r="AL1921" s="162"/>
      <c r="AM1921" s="162"/>
      <c r="AN1921" s="162"/>
      <c r="AO1921" s="162"/>
      <c r="AP1921" s="162"/>
      <c r="AQ1921" s="162"/>
      <c r="AR1921" s="710"/>
      <c r="AV1921" s="82"/>
      <c r="AW1921" s="947"/>
      <c r="AX1921" s="947"/>
      <c r="AY1921" s="947"/>
    </row>
    <row r="1922" spans="31:51" x14ac:dyDescent="0.25">
      <c r="AE1922" s="75"/>
      <c r="AF1922" s="82"/>
      <c r="AG1922" s="82"/>
      <c r="AH1922" s="82"/>
      <c r="AI1922" s="82"/>
      <c r="AJ1922" s="166"/>
      <c r="AK1922" s="82"/>
      <c r="AL1922" s="162"/>
      <c r="AM1922" s="162"/>
      <c r="AN1922" s="162"/>
      <c r="AO1922" s="162"/>
      <c r="AP1922" s="162"/>
      <c r="AQ1922" s="162"/>
      <c r="AR1922" s="710"/>
      <c r="AV1922" s="82"/>
      <c r="AW1922" s="947"/>
      <c r="AX1922" s="947"/>
      <c r="AY1922" s="947"/>
    </row>
    <row r="1923" spans="31:51" x14ac:dyDescent="0.25">
      <c r="AE1923" s="75"/>
      <c r="AF1923" s="82"/>
      <c r="AG1923" s="82"/>
      <c r="AH1923" s="82"/>
      <c r="AI1923" s="82"/>
      <c r="AJ1923" s="166"/>
      <c r="AK1923" s="82"/>
      <c r="AL1923" s="162"/>
      <c r="AM1923" s="162"/>
      <c r="AN1923" s="162"/>
      <c r="AO1923" s="162"/>
      <c r="AP1923" s="162"/>
      <c r="AQ1923" s="162"/>
      <c r="AR1923" s="710"/>
      <c r="AV1923" s="82"/>
      <c r="AW1923" s="947"/>
      <c r="AX1923" s="947"/>
      <c r="AY1923" s="947"/>
    </row>
    <row r="1924" spans="31:51" x14ac:dyDescent="0.25">
      <c r="AE1924" s="75"/>
      <c r="AF1924" s="82"/>
      <c r="AG1924" s="82"/>
      <c r="AH1924" s="82"/>
      <c r="AI1924" s="82"/>
      <c r="AJ1924" s="166"/>
      <c r="AK1924" s="82"/>
      <c r="AL1924" s="162"/>
      <c r="AM1924" s="162"/>
      <c r="AN1924" s="162"/>
      <c r="AO1924" s="162"/>
      <c r="AP1924" s="162"/>
      <c r="AQ1924" s="162"/>
      <c r="AR1924" s="710"/>
      <c r="AV1924" s="82"/>
      <c r="AW1924" s="947"/>
      <c r="AX1924" s="947"/>
      <c r="AY1924" s="947"/>
    </row>
    <row r="1925" spans="31:51" x14ac:dyDescent="0.25">
      <c r="AE1925" s="75"/>
      <c r="AF1925" s="82"/>
      <c r="AG1925" s="82"/>
      <c r="AH1925" s="82"/>
      <c r="AI1925" s="82"/>
      <c r="AJ1925" s="166"/>
      <c r="AK1925" s="82"/>
      <c r="AL1925" s="162"/>
      <c r="AM1925" s="162"/>
      <c r="AN1925" s="162"/>
      <c r="AO1925" s="162"/>
      <c r="AP1925" s="162"/>
      <c r="AQ1925" s="162"/>
      <c r="AR1925" s="710"/>
      <c r="AV1925" s="82"/>
      <c r="AW1925" s="947"/>
      <c r="AX1925" s="947"/>
      <c r="AY1925" s="947"/>
    </row>
    <row r="1926" spans="31:51" x14ac:dyDescent="0.25">
      <c r="AE1926" s="75"/>
      <c r="AF1926" s="82"/>
      <c r="AG1926" s="82"/>
      <c r="AH1926" s="82"/>
      <c r="AI1926" s="82"/>
      <c r="AJ1926" s="166"/>
      <c r="AK1926" s="82"/>
      <c r="AL1926" s="162"/>
      <c r="AM1926" s="162"/>
      <c r="AN1926" s="162"/>
      <c r="AO1926" s="162"/>
      <c r="AP1926" s="162"/>
      <c r="AQ1926" s="162"/>
      <c r="AR1926" s="710"/>
      <c r="AV1926" s="82"/>
      <c r="AW1926" s="947"/>
      <c r="AX1926" s="947"/>
      <c r="AY1926" s="947"/>
    </row>
    <row r="1927" spans="31:51" x14ac:dyDescent="0.25">
      <c r="AE1927" s="75"/>
      <c r="AF1927" s="82"/>
      <c r="AG1927" s="82"/>
      <c r="AH1927" s="82"/>
      <c r="AI1927" s="82"/>
      <c r="AJ1927" s="166"/>
      <c r="AK1927" s="82"/>
      <c r="AL1927" s="162"/>
      <c r="AM1927" s="162"/>
      <c r="AN1927" s="162"/>
      <c r="AO1927" s="162"/>
      <c r="AP1927" s="162"/>
      <c r="AQ1927" s="162"/>
      <c r="AR1927" s="710"/>
      <c r="AV1927" s="82"/>
      <c r="AW1927" s="947"/>
      <c r="AX1927" s="947"/>
      <c r="AY1927" s="947"/>
    </row>
    <row r="1928" spans="31:51" x14ac:dyDescent="0.25">
      <c r="AE1928" s="75"/>
      <c r="AF1928" s="82"/>
      <c r="AG1928" s="82"/>
      <c r="AH1928" s="82"/>
      <c r="AI1928" s="82"/>
      <c r="AJ1928" s="166"/>
      <c r="AK1928" s="82"/>
      <c r="AL1928" s="162"/>
      <c r="AM1928" s="162"/>
      <c r="AN1928" s="162"/>
      <c r="AO1928" s="162"/>
      <c r="AP1928" s="162"/>
      <c r="AQ1928" s="162"/>
      <c r="AR1928" s="710"/>
      <c r="AV1928" s="82"/>
      <c r="AW1928" s="947"/>
      <c r="AX1928" s="947"/>
      <c r="AY1928" s="947"/>
    </row>
    <row r="1929" spans="31:51" x14ac:dyDescent="0.25">
      <c r="AE1929" s="75"/>
      <c r="AF1929" s="82"/>
      <c r="AG1929" s="82"/>
      <c r="AH1929" s="82"/>
      <c r="AI1929" s="82"/>
      <c r="AJ1929" s="166"/>
      <c r="AK1929" s="82"/>
      <c r="AL1929" s="162"/>
      <c r="AM1929" s="162"/>
      <c r="AN1929" s="162"/>
      <c r="AO1929" s="162"/>
      <c r="AP1929" s="162"/>
      <c r="AQ1929" s="162"/>
      <c r="AR1929" s="710"/>
      <c r="AV1929" s="82"/>
      <c r="AW1929" s="947"/>
      <c r="AX1929" s="947"/>
      <c r="AY1929" s="947"/>
    </row>
    <row r="1930" spans="31:51" x14ac:dyDescent="0.25">
      <c r="AE1930" s="75"/>
      <c r="AF1930" s="82"/>
      <c r="AG1930" s="82"/>
      <c r="AH1930" s="82"/>
      <c r="AI1930" s="82"/>
      <c r="AJ1930" s="166"/>
      <c r="AK1930" s="82"/>
      <c r="AL1930" s="162"/>
      <c r="AM1930" s="162"/>
      <c r="AN1930" s="162"/>
      <c r="AO1930" s="162"/>
      <c r="AP1930" s="162"/>
      <c r="AQ1930" s="162"/>
      <c r="AR1930" s="710"/>
      <c r="AV1930" s="82"/>
      <c r="AW1930" s="947"/>
      <c r="AX1930" s="947"/>
      <c r="AY1930" s="947"/>
    </row>
    <row r="1931" spans="31:51" x14ac:dyDescent="0.25">
      <c r="AE1931" s="75"/>
      <c r="AF1931" s="82"/>
      <c r="AG1931" s="82"/>
      <c r="AH1931" s="82"/>
      <c r="AI1931" s="82"/>
      <c r="AJ1931" s="166"/>
      <c r="AK1931" s="82"/>
      <c r="AL1931" s="162"/>
      <c r="AM1931" s="162"/>
      <c r="AN1931" s="162"/>
      <c r="AO1931" s="162"/>
      <c r="AP1931" s="162"/>
      <c r="AQ1931" s="162"/>
      <c r="AR1931" s="710"/>
      <c r="AV1931" s="82"/>
      <c r="AW1931" s="947"/>
      <c r="AX1931" s="947"/>
      <c r="AY1931" s="947"/>
    </row>
    <row r="1932" spans="31:51" x14ac:dyDescent="0.25">
      <c r="AE1932" s="75"/>
      <c r="AF1932" s="82"/>
      <c r="AG1932" s="82"/>
      <c r="AH1932" s="82"/>
      <c r="AI1932" s="82"/>
      <c r="AJ1932" s="166"/>
      <c r="AK1932" s="82"/>
      <c r="AL1932" s="162"/>
      <c r="AM1932" s="162"/>
      <c r="AN1932" s="162"/>
      <c r="AO1932" s="162"/>
      <c r="AP1932" s="162"/>
      <c r="AQ1932" s="162"/>
      <c r="AR1932" s="710"/>
      <c r="AV1932" s="82"/>
      <c r="AW1932" s="947"/>
      <c r="AX1932" s="947"/>
      <c r="AY1932" s="947"/>
    </row>
    <row r="1933" spans="31:51" x14ac:dyDescent="0.25">
      <c r="AE1933" s="75"/>
      <c r="AF1933" s="82"/>
      <c r="AG1933" s="82"/>
      <c r="AH1933" s="82"/>
      <c r="AI1933" s="82"/>
      <c r="AJ1933" s="166"/>
      <c r="AK1933" s="82"/>
      <c r="AL1933" s="162"/>
      <c r="AM1933" s="162"/>
      <c r="AN1933" s="162"/>
      <c r="AO1933" s="162"/>
      <c r="AP1933" s="162"/>
      <c r="AQ1933" s="162"/>
      <c r="AR1933" s="710"/>
      <c r="AV1933" s="82"/>
      <c r="AW1933" s="947"/>
      <c r="AX1933" s="947"/>
      <c r="AY1933" s="947"/>
    </row>
    <row r="1934" spans="31:51" x14ac:dyDescent="0.25">
      <c r="AE1934" s="75"/>
      <c r="AF1934" s="82"/>
      <c r="AG1934" s="82"/>
      <c r="AH1934" s="82"/>
      <c r="AI1934" s="82"/>
      <c r="AJ1934" s="166"/>
      <c r="AK1934" s="82"/>
      <c r="AL1934" s="162"/>
      <c r="AM1934" s="162"/>
      <c r="AN1934" s="162"/>
      <c r="AO1934" s="162"/>
      <c r="AP1934" s="162"/>
      <c r="AQ1934" s="162"/>
      <c r="AR1934" s="710"/>
      <c r="AV1934" s="82"/>
      <c r="AW1934" s="947"/>
      <c r="AX1934" s="947"/>
      <c r="AY1934" s="947"/>
    </row>
    <row r="1935" spans="31:51" x14ac:dyDescent="0.25">
      <c r="AE1935" s="75"/>
      <c r="AF1935" s="82"/>
      <c r="AG1935" s="82"/>
      <c r="AH1935" s="82"/>
      <c r="AI1935" s="82"/>
      <c r="AJ1935" s="166"/>
      <c r="AK1935" s="82"/>
      <c r="AL1935" s="162"/>
      <c r="AM1935" s="162"/>
      <c r="AN1935" s="162"/>
      <c r="AO1935" s="162"/>
      <c r="AP1935" s="162"/>
      <c r="AQ1935" s="162"/>
      <c r="AR1935" s="710"/>
      <c r="AV1935" s="82"/>
      <c r="AW1935" s="947"/>
      <c r="AX1935" s="947"/>
      <c r="AY1935" s="947"/>
    </row>
    <row r="1936" spans="31:51" x14ac:dyDescent="0.25">
      <c r="AE1936" s="75"/>
      <c r="AF1936" s="82"/>
      <c r="AG1936" s="82"/>
      <c r="AH1936" s="82"/>
      <c r="AI1936" s="82"/>
      <c r="AJ1936" s="166"/>
      <c r="AK1936" s="82"/>
      <c r="AL1936" s="162"/>
      <c r="AM1936" s="162"/>
      <c r="AN1936" s="162"/>
      <c r="AO1936" s="162"/>
      <c r="AP1936" s="162"/>
      <c r="AQ1936" s="162"/>
      <c r="AR1936" s="710"/>
      <c r="AV1936" s="82"/>
      <c r="AW1936" s="947"/>
      <c r="AX1936" s="947"/>
      <c r="AY1936" s="947"/>
    </row>
    <row r="1937" spans="31:51" x14ac:dyDescent="0.25">
      <c r="AE1937" s="75"/>
      <c r="AF1937" s="82"/>
      <c r="AG1937" s="82"/>
      <c r="AH1937" s="82"/>
      <c r="AI1937" s="82"/>
      <c r="AJ1937" s="166"/>
      <c r="AK1937" s="82"/>
      <c r="AL1937" s="162"/>
      <c r="AM1937" s="162"/>
      <c r="AN1937" s="162"/>
      <c r="AO1937" s="162"/>
      <c r="AP1937" s="162"/>
      <c r="AQ1937" s="162"/>
      <c r="AR1937" s="710"/>
      <c r="AV1937" s="82"/>
      <c r="AW1937" s="947"/>
      <c r="AX1937" s="947"/>
      <c r="AY1937" s="947"/>
    </row>
    <row r="1938" spans="31:51" x14ac:dyDescent="0.25">
      <c r="AE1938" s="75"/>
      <c r="AF1938" s="82"/>
      <c r="AG1938" s="82"/>
      <c r="AH1938" s="82"/>
      <c r="AI1938" s="82"/>
      <c r="AJ1938" s="166"/>
      <c r="AK1938" s="82"/>
      <c r="AL1938" s="162"/>
      <c r="AM1938" s="162"/>
      <c r="AN1938" s="162"/>
      <c r="AO1938" s="162"/>
      <c r="AP1938" s="162"/>
      <c r="AQ1938" s="162"/>
      <c r="AR1938" s="710"/>
      <c r="AV1938" s="82"/>
      <c r="AW1938" s="947"/>
      <c r="AX1938" s="947"/>
      <c r="AY1938" s="947"/>
    </row>
    <row r="1939" spans="31:51" x14ac:dyDescent="0.25">
      <c r="AE1939" s="75"/>
      <c r="AF1939" s="82"/>
      <c r="AG1939" s="82"/>
      <c r="AH1939" s="82"/>
      <c r="AI1939" s="82"/>
      <c r="AJ1939" s="166"/>
      <c r="AK1939" s="82"/>
      <c r="AL1939" s="162"/>
      <c r="AM1939" s="162"/>
      <c r="AN1939" s="162"/>
      <c r="AO1939" s="162"/>
      <c r="AP1939" s="162"/>
      <c r="AQ1939" s="162"/>
      <c r="AR1939" s="710"/>
      <c r="AV1939" s="82"/>
      <c r="AW1939" s="947"/>
      <c r="AX1939" s="947"/>
      <c r="AY1939" s="947"/>
    </row>
    <row r="1940" spans="31:51" x14ac:dyDescent="0.25">
      <c r="AE1940" s="75"/>
      <c r="AF1940" s="82"/>
      <c r="AG1940" s="82"/>
      <c r="AH1940" s="82"/>
      <c r="AI1940" s="82"/>
      <c r="AJ1940" s="166"/>
      <c r="AK1940" s="82"/>
      <c r="AL1940" s="162"/>
      <c r="AM1940" s="162"/>
      <c r="AN1940" s="162"/>
      <c r="AO1940" s="162"/>
      <c r="AP1940" s="162"/>
      <c r="AQ1940" s="162"/>
      <c r="AR1940" s="710"/>
      <c r="AV1940" s="82"/>
      <c r="AW1940" s="947"/>
      <c r="AX1940" s="947"/>
      <c r="AY1940" s="947"/>
    </row>
    <row r="1941" spans="31:51" x14ac:dyDescent="0.25">
      <c r="AE1941" s="75"/>
      <c r="AF1941" s="82"/>
      <c r="AG1941" s="82"/>
      <c r="AH1941" s="82"/>
      <c r="AI1941" s="82"/>
      <c r="AJ1941" s="166"/>
      <c r="AK1941" s="82"/>
      <c r="AL1941" s="162"/>
      <c r="AM1941" s="162"/>
      <c r="AN1941" s="162"/>
      <c r="AO1941" s="162"/>
      <c r="AP1941" s="162"/>
      <c r="AQ1941" s="162"/>
      <c r="AR1941" s="710"/>
      <c r="AV1941" s="82"/>
      <c r="AW1941" s="947"/>
      <c r="AX1941" s="947"/>
      <c r="AY1941" s="947"/>
    </row>
    <row r="1942" spans="31:51" x14ac:dyDescent="0.25">
      <c r="AE1942" s="75"/>
      <c r="AF1942" s="82"/>
      <c r="AG1942" s="82"/>
      <c r="AH1942" s="82"/>
      <c r="AI1942" s="82"/>
      <c r="AJ1942" s="166"/>
      <c r="AK1942" s="82"/>
      <c r="AL1942" s="162"/>
      <c r="AM1942" s="162"/>
      <c r="AN1942" s="162"/>
      <c r="AO1942" s="162"/>
      <c r="AP1942" s="162"/>
      <c r="AQ1942" s="162"/>
      <c r="AR1942" s="710"/>
      <c r="AV1942" s="82"/>
      <c r="AW1942" s="947"/>
      <c r="AX1942" s="947"/>
      <c r="AY1942" s="947"/>
    </row>
    <row r="1943" spans="31:51" x14ac:dyDescent="0.25">
      <c r="AE1943" s="75"/>
      <c r="AF1943" s="82"/>
      <c r="AG1943" s="82"/>
      <c r="AH1943" s="82"/>
      <c r="AI1943" s="82"/>
      <c r="AJ1943" s="166"/>
      <c r="AK1943" s="82"/>
      <c r="AL1943" s="162"/>
      <c r="AM1943" s="162"/>
      <c r="AN1943" s="162"/>
      <c r="AO1943" s="162"/>
      <c r="AP1943" s="162"/>
      <c r="AQ1943" s="162"/>
      <c r="AR1943" s="710"/>
      <c r="AV1943" s="82"/>
      <c r="AW1943" s="947"/>
      <c r="AX1943" s="947"/>
      <c r="AY1943" s="947"/>
    </row>
    <row r="1944" spans="31:51" x14ac:dyDescent="0.25">
      <c r="AE1944" s="75"/>
      <c r="AF1944" s="82"/>
      <c r="AG1944" s="82"/>
      <c r="AH1944" s="82"/>
      <c r="AI1944" s="82"/>
      <c r="AJ1944" s="166"/>
      <c r="AK1944" s="82"/>
      <c r="AL1944" s="162"/>
      <c r="AM1944" s="162"/>
      <c r="AN1944" s="162"/>
      <c r="AO1944" s="162"/>
      <c r="AP1944" s="162"/>
      <c r="AQ1944" s="162"/>
      <c r="AR1944" s="710"/>
      <c r="AV1944" s="82"/>
      <c r="AW1944" s="947"/>
      <c r="AX1944" s="947"/>
      <c r="AY1944" s="947"/>
    </row>
    <row r="1945" spans="31:51" x14ac:dyDescent="0.25">
      <c r="AE1945" s="75"/>
      <c r="AF1945" s="82"/>
      <c r="AG1945" s="82"/>
      <c r="AH1945" s="82"/>
      <c r="AI1945" s="82"/>
      <c r="AJ1945" s="166"/>
      <c r="AK1945" s="82"/>
      <c r="AL1945" s="162"/>
      <c r="AM1945" s="162"/>
      <c r="AN1945" s="162"/>
      <c r="AO1945" s="162"/>
      <c r="AP1945" s="162"/>
      <c r="AQ1945" s="162"/>
      <c r="AR1945" s="710"/>
      <c r="AV1945" s="82"/>
      <c r="AW1945" s="947"/>
      <c r="AX1945" s="947"/>
      <c r="AY1945" s="947"/>
    </row>
    <row r="1946" spans="31:51" x14ac:dyDescent="0.25">
      <c r="AE1946" s="75"/>
      <c r="AF1946" s="82"/>
      <c r="AG1946" s="82"/>
      <c r="AH1946" s="82"/>
      <c r="AI1946" s="82"/>
      <c r="AJ1946" s="166"/>
      <c r="AK1946" s="82"/>
      <c r="AL1946" s="162"/>
      <c r="AM1946" s="162"/>
      <c r="AN1946" s="162"/>
      <c r="AO1946" s="162"/>
      <c r="AP1946" s="162"/>
      <c r="AQ1946" s="162"/>
      <c r="AR1946" s="710"/>
      <c r="AV1946" s="82"/>
      <c r="AW1946" s="947"/>
      <c r="AX1946" s="947"/>
      <c r="AY1946" s="947"/>
    </row>
    <row r="1947" spans="31:51" x14ac:dyDescent="0.25">
      <c r="AE1947" s="75"/>
      <c r="AF1947" s="82"/>
      <c r="AG1947" s="82"/>
      <c r="AH1947" s="82"/>
      <c r="AI1947" s="82"/>
      <c r="AJ1947" s="166"/>
      <c r="AK1947" s="82"/>
      <c r="AL1947" s="162"/>
      <c r="AM1947" s="162"/>
      <c r="AN1947" s="162"/>
      <c r="AO1947" s="162"/>
      <c r="AP1947" s="162"/>
      <c r="AQ1947" s="162"/>
      <c r="AR1947" s="710"/>
      <c r="AV1947" s="82"/>
      <c r="AW1947" s="947"/>
      <c r="AX1947" s="947"/>
      <c r="AY1947" s="947"/>
    </row>
    <row r="1948" spans="31:51" x14ac:dyDescent="0.25">
      <c r="AE1948" s="75"/>
      <c r="AF1948" s="82"/>
      <c r="AG1948" s="82"/>
      <c r="AH1948" s="82"/>
      <c r="AI1948" s="82"/>
      <c r="AJ1948" s="166"/>
      <c r="AK1948" s="82"/>
      <c r="AL1948" s="162"/>
      <c r="AM1948" s="162"/>
      <c r="AN1948" s="162"/>
      <c r="AO1948" s="162"/>
      <c r="AP1948" s="162"/>
      <c r="AQ1948" s="162"/>
      <c r="AR1948" s="710"/>
      <c r="AV1948" s="82"/>
      <c r="AW1948" s="947"/>
      <c r="AX1948" s="947"/>
      <c r="AY1948" s="947"/>
    </row>
    <row r="1949" spans="31:51" x14ac:dyDescent="0.25">
      <c r="AE1949" s="75"/>
      <c r="AF1949" s="82"/>
      <c r="AG1949" s="82"/>
      <c r="AH1949" s="82"/>
      <c r="AI1949" s="82"/>
      <c r="AJ1949" s="166"/>
      <c r="AK1949" s="82"/>
      <c r="AL1949" s="162"/>
      <c r="AM1949" s="162"/>
      <c r="AN1949" s="162"/>
      <c r="AO1949" s="162"/>
      <c r="AP1949" s="162"/>
      <c r="AQ1949" s="162"/>
      <c r="AR1949" s="710"/>
      <c r="AV1949" s="82"/>
      <c r="AW1949" s="947"/>
      <c r="AX1949" s="947"/>
      <c r="AY1949" s="947"/>
    </row>
    <row r="1950" spans="31:51" x14ac:dyDescent="0.25">
      <c r="AE1950" s="75"/>
      <c r="AF1950" s="82"/>
      <c r="AG1950" s="82"/>
      <c r="AH1950" s="82"/>
      <c r="AI1950" s="82"/>
      <c r="AJ1950" s="166"/>
      <c r="AK1950" s="82"/>
      <c r="AL1950" s="162"/>
      <c r="AM1950" s="162"/>
      <c r="AN1950" s="162"/>
      <c r="AO1950" s="162"/>
      <c r="AP1950" s="162"/>
      <c r="AQ1950" s="162"/>
      <c r="AR1950" s="710"/>
      <c r="AV1950" s="82"/>
      <c r="AW1950" s="947"/>
      <c r="AX1950" s="947"/>
      <c r="AY1950" s="947"/>
    </row>
    <row r="1951" spans="31:51" x14ac:dyDescent="0.25">
      <c r="AE1951" s="75"/>
      <c r="AF1951" s="82"/>
      <c r="AG1951" s="82"/>
      <c r="AH1951" s="82"/>
      <c r="AI1951" s="82"/>
      <c r="AJ1951" s="166"/>
      <c r="AK1951" s="82"/>
      <c r="AL1951" s="162"/>
      <c r="AM1951" s="162"/>
      <c r="AN1951" s="162"/>
      <c r="AO1951" s="162"/>
      <c r="AP1951" s="162"/>
      <c r="AQ1951" s="162"/>
      <c r="AR1951" s="710"/>
      <c r="AV1951" s="82"/>
      <c r="AW1951" s="947"/>
      <c r="AX1951" s="947"/>
      <c r="AY1951" s="947"/>
    </row>
    <row r="1952" spans="31:51" x14ac:dyDescent="0.25">
      <c r="AE1952" s="75"/>
      <c r="AF1952" s="82"/>
      <c r="AG1952" s="82"/>
      <c r="AH1952" s="82"/>
      <c r="AI1952" s="82"/>
      <c r="AJ1952" s="166"/>
      <c r="AK1952" s="82"/>
      <c r="AL1952" s="162"/>
      <c r="AM1952" s="162"/>
      <c r="AN1952" s="162"/>
      <c r="AO1952" s="162"/>
      <c r="AP1952" s="162"/>
      <c r="AQ1952" s="162"/>
      <c r="AR1952" s="710"/>
      <c r="AV1952" s="82"/>
      <c r="AW1952" s="947"/>
      <c r="AX1952" s="947"/>
      <c r="AY1952" s="947"/>
    </row>
    <row r="1953" spans="31:51" x14ac:dyDescent="0.25">
      <c r="AE1953" s="75"/>
      <c r="AF1953" s="82"/>
      <c r="AG1953" s="82"/>
      <c r="AH1953" s="82"/>
      <c r="AI1953" s="82"/>
      <c r="AJ1953" s="166"/>
      <c r="AK1953" s="82"/>
      <c r="AL1953" s="162"/>
      <c r="AM1953" s="162"/>
      <c r="AN1953" s="162"/>
      <c r="AO1953" s="162"/>
      <c r="AP1953" s="162"/>
      <c r="AQ1953" s="162"/>
      <c r="AR1953" s="710"/>
      <c r="AV1953" s="82"/>
      <c r="AW1953" s="947"/>
      <c r="AX1953" s="947"/>
      <c r="AY1953" s="947"/>
    </row>
    <row r="1954" spans="31:51" x14ac:dyDescent="0.25">
      <c r="AE1954" s="75"/>
      <c r="AF1954" s="82"/>
      <c r="AG1954" s="82"/>
      <c r="AH1954" s="82"/>
      <c r="AI1954" s="82"/>
      <c r="AJ1954" s="166"/>
      <c r="AK1954" s="82"/>
      <c r="AL1954" s="162"/>
      <c r="AM1954" s="162"/>
      <c r="AN1954" s="162"/>
      <c r="AO1954" s="162"/>
      <c r="AP1954" s="162"/>
      <c r="AQ1954" s="162"/>
      <c r="AR1954" s="710"/>
      <c r="AV1954" s="82"/>
      <c r="AW1954" s="947"/>
      <c r="AX1954" s="947"/>
      <c r="AY1954" s="947"/>
    </row>
    <row r="1955" spans="31:51" x14ac:dyDescent="0.25">
      <c r="AE1955" s="75"/>
      <c r="AF1955" s="82"/>
      <c r="AG1955" s="82"/>
      <c r="AH1955" s="82"/>
      <c r="AI1955" s="82"/>
      <c r="AJ1955" s="166"/>
      <c r="AK1955" s="82"/>
      <c r="AL1955" s="162"/>
      <c r="AM1955" s="162"/>
      <c r="AN1955" s="162"/>
      <c r="AO1955" s="162"/>
      <c r="AP1955" s="162"/>
      <c r="AQ1955" s="162"/>
      <c r="AR1955" s="710"/>
      <c r="AV1955" s="82"/>
      <c r="AW1955" s="947"/>
      <c r="AX1955" s="947"/>
      <c r="AY1955" s="947"/>
    </row>
    <row r="1956" spans="31:51" x14ac:dyDescent="0.25">
      <c r="AE1956" s="75"/>
      <c r="AF1956" s="82"/>
      <c r="AG1956" s="82"/>
      <c r="AH1956" s="82"/>
      <c r="AI1956" s="82"/>
      <c r="AJ1956" s="166"/>
      <c r="AK1956" s="82"/>
      <c r="AL1956" s="162"/>
      <c r="AM1956" s="162"/>
      <c r="AN1956" s="162"/>
      <c r="AO1956" s="162"/>
      <c r="AP1956" s="162"/>
      <c r="AQ1956" s="162"/>
      <c r="AR1956" s="710"/>
      <c r="AV1956" s="82"/>
      <c r="AW1956" s="947"/>
      <c r="AX1956" s="947"/>
      <c r="AY1956" s="947"/>
    </row>
    <row r="1957" spans="31:51" x14ac:dyDescent="0.25">
      <c r="AE1957" s="75"/>
      <c r="AF1957" s="82"/>
      <c r="AG1957" s="82"/>
      <c r="AH1957" s="82"/>
      <c r="AI1957" s="82"/>
      <c r="AJ1957" s="166"/>
      <c r="AK1957" s="82"/>
      <c r="AL1957" s="162"/>
      <c r="AM1957" s="162"/>
      <c r="AN1957" s="162"/>
      <c r="AO1957" s="162"/>
      <c r="AP1957" s="162"/>
      <c r="AQ1957" s="162"/>
      <c r="AR1957" s="710"/>
      <c r="AV1957" s="82"/>
      <c r="AW1957" s="947"/>
      <c r="AX1957" s="947"/>
      <c r="AY1957" s="947"/>
    </row>
    <row r="1958" spans="31:51" x14ac:dyDescent="0.25">
      <c r="AE1958" s="75"/>
      <c r="AF1958" s="82"/>
      <c r="AG1958" s="82"/>
      <c r="AH1958" s="82"/>
      <c r="AI1958" s="82"/>
      <c r="AJ1958" s="166"/>
      <c r="AK1958" s="82"/>
      <c r="AL1958" s="162"/>
      <c r="AM1958" s="162"/>
      <c r="AN1958" s="162"/>
      <c r="AO1958" s="162"/>
      <c r="AP1958" s="162"/>
      <c r="AQ1958" s="162"/>
      <c r="AR1958" s="710"/>
      <c r="AV1958" s="82"/>
      <c r="AW1958" s="947"/>
      <c r="AX1958" s="947"/>
      <c r="AY1958" s="947"/>
    </row>
    <row r="1959" spans="31:51" x14ac:dyDescent="0.25">
      <c r="AE1959" s="75"/>
      <c r="AF1959" s="82"/>
      <c r="AG1959" s="82"/>
      <c r="AH1959" s="82"/>
      <c r="AI1959" s="82"/>
      <c r="AJ1959" s="166"/>
      <c r="AK1959" s="82"/>
      <c r="AL1959" s="162"/>
      <c r="AM1959" s="162"/>
      <c r="AN1959" s="162"/>
      <c r="AO1959" s="162"/>
      <c r="AP1959" s="162"/>
      <c r="AQ1959" s="162"/>
      <c r="AR1959" s="710"/>
      <c r="AV1959" s="82"/>
      <c r="AW1959" s="947"/>
      <c r="AX1959" s="947"/>
      <c r="AY1959" s="947"/>
    </row>
    <row r="1960" spans="31:51" x14ac:dyDescent="0.25">
      <c r="AE1960" s="75"/>
      <c r="AF1960" s="82"/>
      <c r="AG1960" s="82"/>
      <c r="AH1960" s="82"/>
      <c r="AI1960" s="82"/>
      <c r="AJ1960" s="166"/>
      <c r="AK1960" s="82"/>
      <c r="AL1960" s="162"/>
      <c r="AM1960" s="162"/>
      <c r="AN1960" s="162"/>
      <c r="AO1960" s="162"/>
      <c r="AP1960" s="162"/>
      <c r="AQ1960" s="162"/>
      <c r="AR1960" s="710"/>
      <c r="AV1960" s="82"/>
      <c r="AW1960" s="947"/>
      <c r="AX1960" s="947"/>
      <c r="AY1960" s="947"/>
    </row>
    <row r="1961" spans="31:51" x14ac:dyDescent="0.25">
      <c r="AE1961" s="75"/>
      <c r="AF1961" s="82"/>
      <c r="AG1961" s="82"/>
      <c r="AH1961" s="82"/>
      <c r="AI1961" s="82"/>
      <c r="AJ1961" s="166"/>
      <c r="AK1961" s="82"/>
      <c r="AL1961" s="162"/>
      <c r="AM1961" s="162"/>
      <c r="AN1961" s="162"/>
      <c r="AO1961" s="162"/>
      <c r="AP1961" s="162"/>
      <c r="AQ1961" s="162"/>
      <c r="AR1961" s="710"/>
      <c r="AV1961" s="82"/>
      <c r="AW1961" s="947"/>
      <c r="AX1961" s="947"/>
      <c r="AY1961" s="947"/>
    </row>
    <row r="1962" spans="31:51" x14ac:dyDescent="0.25">
      <c r="AE1962" s="75"/>
      <c r="AF1962" s="82"/>
      <c r="AG1962" s="82"/>
      <c r="AH1962" s="82"/>
      <c r="AI1962" s="82"/>
      <c r="AJ1962" s="166"/>
      <c r="AK1962" s="82"/>
      <c r="AL1962" s="162"/>
      <c r="AM1962" s="162"/>
      <c r="AN1962" s="162"/>
      <c r="AO1962" s="162"/>
      <c r="AP1962" s="162"/>
      <c r="AQ1962" s="162"/>
      <c r="AR1962" s="710"/>
      <c r="AV1962" s="82"/>
      <c r="AW1962" s="947"/>
      <c r="AX1962" s="947"/>
      <c r="AY1962" s="947"/>
    </row>
    <row r="1963" spans="31:51" x14ac:dyDescent="0.25">
      <c r="AE1963" s="75"/>
      <c r="AF1963" s="82"/>
      <c r="AG1963" s="82"/>
      <c r="AH1963" s="82"/>
      <c r="AI1963" s="82"/>
      <c r="AJ1963" s="166"/>
      <c r="AK1963" s="82"/>
      <c r="AL1963" s="162"/>
      <c r="AM1963" s="162"/>
      <c r="AN1963" s="162"/>
      <c r="AO1963" s="162"/>
      <c r="AP1963" s="162"/>
      <c r="AQ1963" s="162"/>
      <c r="AR1963" s="710"/>
      <c r="AV1963" s="82"/>
      <c r="AW1963" s="947"/>
      <c r="AX1963" s="947"/>
      <c r="AY1963" s="947"/>
    </row>
    <row r="1964" spans="31:51" x14ac:dyDescent="0.25">
      <c r="AE1964" s="75"/>
      <c r="AF1964" s="82"/>
      <c r="AG1964" s="82"/>
      <c r="AH1964" s="82"/>
      <c r="AI1964" s="82"/>
      <c r="AJ1964" s="166"/>
      <c r="AK1964" s="82"/>
      <c r="AL1964" s="162"/>
      <c r="AM1964" s="162"/>
      <c r="AN1964" s="162"/>
      <c r="AO1964" s="162"/>
      <c r="AP1964" s="162"/>
      <c r="AQ1964" s="162"/>
      <c r="AR1964" s="710"/>
      <c r="AV1964" s="82"/>
      <c r="AW1964" s="947"/>
      <c r="AX1964" s="947"/>
      <c r="AY1964" s="947"/>
    </row>
    <row r="1965" spans="31:51" x14ac:dyDescent="0.25">
      <c r="AE1965" s="75"/>
      <c r="AF1965" s="82"/>
      <c r="AG1965" s="82"/>
      <c r="AH1965" s="82"/>
      <c r="AI1965" s="82"/>
      <c r="AJ1965" s="166"/>
      <c r="AK1965" s="82"/>
      <c r="AL1965" s="162"/>
      <c r="AM1965" s="162"/>
      <c r="AN1965" s="162"/>
      <c r="AO1965" s="162"/>
      <c r="AP1965" s="162"/>
      <c r="AQ1965" s="162"/>
      <c r="AR1965" s="710"/>
      <c r="AV1965" s="82"/>
      <c r="AW1965" s="947"/>
      <c r="AX1965" s="947"/>
      <c r="AY1965" s="947"/>
    </row>
    <row r="1966" spans="31:51" x14ac:dyDescent="0.25">
      <c r="AE1966" s="75"/>
      <c r="AF1966" s="82"/>
      <c r="AG1966" s="82"/>
      <c r="AH1966" s="82"/>
      <c r="AI1966" s="82"/>
      <c r="AJ1966" s="166"/>
      <c r="AK1966" s="82"/>
      <c r="AL1966" s="162"/>
      <c r="AM1966" s="162"/>
      <c r="AN1966" s="162"/>
      <c r="AO1966" s="162"/>
      <c r="AP1966" s="162"/>
      <c r="AQ1966" s="162"/>
      <c r="AR1966" s="710"/>
      <c r="AV1966" s="82"/>
      <c r="AW1966" s="947"/>
      <c r="AX1966" s="947"/>
      <c r="AY1966" s="947"/>
    </row>
    <row r="1967" spans="31:51" x14ac:dyDescent="0.25">
      <c r="AE1967" s="75"/>
      <c r="AF1967" s="82"/>
      <c r="AG1967" s="82"/>
      <c r="AH1967" s="82"/>
      <c r="AI1967" s="82"/>
      <c r="AJ1967" s="166"/>
      <c r="AK1967" s="82"/>
      <c r="AL1967" s="162"/>
      <c r="AM1967" s="162"/>
      <c r="AN1967" s="162"/>
      <c r="AO1967" s="162"/>
      <c r="AP1967" s="162"/>
      <c r="AQ1967" s="162"/>
      <c r="AR1967" s="710"/>
      <c r="AV1967" s="82"/>
      <c r="AW1967" s="947"/>
      <c r="AX1967" s="947"/>
      <c r="AY1967" s="947"/>
    </row>
    <row r="1968" spans="31:51" x14ac:dyDescent="0.25">
      <c r="AE1968" s="75"/>
      <c r="AF1968" s="82"/>
      <c r="AG1968" s="82"/>
      <c r="AH1968" s="82"/>
      <c r="AI1968" s="82"/>
      <c r="AJ1968" s="166"/>
      <c r="AK1968" s="82"/>
      <c r="AL1968" s="162"/>
      <c r="AM1968" s="162"/>
      <c r="AN1968" s="162"/>
      <c r="AO1968" s="162"/>
      <c r="AP1968" s="162"/>
      <c r="AQ1968" s="162"/>
      <c r="AR1968" s="710"/>
      <c r="AV1968" s="82"/>
      <c r="AW1968" s="947"/>
      <c r="AX1968" s="947"/>
      <c r="AY1968" s="947"/>
    </row>
    <row r="1969" spans="31:51" x14ac:dyDescent="0.25">
      <c r="AE1969" s="75"/>
      <c r="AF1969" s="82"/>
      <c r="AG1969" s="82"/>
      <c r="AH1969" s="82"/>
      <c r="AI1969" s="82"/>
      <c r="AJ1969" s="166"/>
      <c r="AK1969" s="82"/>
      <c r="AL1969" s="162"/>
      <c r="AM1969" s="162"/>
      <c r="AN1969" s="162"/>
      <c r="AO1969" s="162"/>
      <c r="AP1969" s="162"/>
      <c r="AQ1969" s="162"/>
      <c r="AR1969" s="710"/>
      <c r="AV1969" s="82"/>
      <c r="AW1969" s="947"/>
      <c r="AX1969" s="947"/>
      <c r="AY1969" s="947"/>
    </row>
    <row r="1970" spans="31:51" x14ac:dyDescent="0.25">
      <c r="AE1970" s="75"/>
      <c r="AF1970" s="82"/>
      <c r="AG1970" s="82"/>
      <c r="AH1970" s="82"/>
      <c r="AI1970" s="82"/>
      <c r="AJ1970" s="166"/>
      <c r="AK1970" s="82"/>
      <c r="AL1970" s="162"/>
      <c r="AM1970" s="162"/>
      <c r="AN1970" s="162"/>
      <c r="AO1970" s="162"/>
      <c r="AP1970" s="162"/>
      <c r="AQ1970" s="162"/>
      <c r="AR1970" s="710"/>
      <c r="AV1970" s="82"/>
      <c r="AW1970" s="947"/>
      <c r="AX1970" s="947"/>
      <c r="AY1970" s="947"/>
    </row>
    <row r="1971" spans="31:51" x14ac:dyDescent="0.25">
      <c r="AE1971" s="75"/>
      <c r="AF1971" s="82"/>
      <c r="AG1971" s="82"/>
      <c r="AH1971" s="82"/>
      <c r="AI1971" s="82"/>
      <c r="AJ1971" s="166"/>
      <c r="AK1971" s="82"/>
      <c r="AL1971" s="162"/>
      <c r="AM1971" s="162"/>
      <c r="AN1971" s="162"/>
      <c r="AO1971" s="162"/>
      <c r="AP1971" s="162"/>
      <c r="AQ1971" s="162"/>
      <c r="AR1971" s="710"/>
      <c r="AV1971" s="82"/>
      <c r="AW1971" s="947"/>
      <c r="AX1971" s="947"/>
      <c r="AY1971" s="947"/>
    </row>
    <row r="1972" spans="31:51" x14ac:dyDescent="0.25">
      <c r="AE1972" s="75"/>
      <c r="AF1972" s="82"/>
      <c r="AG1972" s="82"/>
      <c r="AH1972" s="82"/>
      <c r="AI1972" s="82"/>
      <c r="AJ1972" s="166"/>
      <c r="AK1972" s="82"/>
      <c r="AL1972" s="162"/>
      <c r="AM1972" s="162"/>
      <c r="AN1972" s="162"/>
      <c r="AO1972" s="162"/>
      <c r="AP1972" s="162"/>
      <c r="AQ1972" s="162"/>
      <c r="AR1972" s="710"/>
      <c r="AV1972" s="82"/>
      <c r="AW1972" s="947"/>
      <c r="AX1972" s="947"/>
      <c r="AY1972" s="947"/>
    </row>
    <row r="1973" spans="31:51" x14ac:dyDescent="0.25">
      <c r="AE1973" s="75"/>
      <c r="AF1973" s="82"/>
      <c r="AG1973" s="82"/>
      <c r="AH1973" s="82"/>
      <c r="AI1973" s="82"/>
      <c r="AJ1973" s="166"/>
      <c r="AK1973" s="82"/>
      <c r="AL1973" s="162"/>
      <c r="AM1973" s="162"/>
      <c r="AN1973" s="162"/>
      <c r="AO1973" s="162"/>
      <c r="AP1973" s="162"/>
      <c r="AQ1973" s="162"/>
      <c r="AR1973" s="710"/>
      <c r="AV1973" s="82"/>
      <c r="AW1973" s="947"/>
      <c r="AX1973" s="947"/>
      <c r="AY1973" s="947"/>
    </row>
    <row r="1974" spans="31:51" x14ac:dyDescent="0.25">
      <c r="AE1974" s="75"/>
      <c r="AF1974" s="82"/>
      <c r="AG1974" s="82"/>
      <c r="AH1974" s="82"/>
      <c r="AI1974" s="82"/>
      <c r="AJ1974" s="166"/>
      <c r="AK1974" s="82"/>
      <c r="AL1974" s="162"/>
      <c r="AM1974" s="162"/>
      <c r="AN1974" s="162"/>
      <c r="AO1974" s="162"/>
      <c r="AP1974" s="162"/>
      <c r="AQ1974" s="162"/>
      <c r="AR1974" s="710"/>
      <c r="AV1974" s="82"/>
      <c r="AW1974" s="947"/>
      <c r="AX1974" s="947"/>
      <c r="AY1974" s="947"/>
    </row>
    <row r="1975" spans="31:51" x14ac:dyDescent="0.25">
      <c r="AE1975" s="75"/>
      <c r="AF1975" s="82"/>
      <c r="AG1975" s="82"/>
      <c r="AH1975" s="82"/>
      <c r="AI1975" s="82"/>
      <c r="AJ1975" s="166"/>
      <c r="AK1975" s="82"/>
      <c r="AL1975" s="162"/>
      <c r="AM1975" s="162"/>
      <c r="AN1975" s="162"/>
      <c r="AO1975" s="162"/>
      <c r="AP1975" s="162"/>
      <c r="AQ1975" s="162"/>
      <c r="AR1975" s="710"/>
      <c r="AV1975" s="82"/>
      <c r="AW1975" s="947"/>
      <c r="AX1975" s="947"/>
      <c r="AY1975" s="947"/>
    </row>
    <row r="1976" spans="31:51" x14ac:dyDescent="0.25">
      <c r="AE1976" s="75"/>
      <c r="AF1976" s="82"/>
      <c r="AG1976" s="82"/>
      <c r="AH1976" s="82"/>
      <c r="AI1976" s="82"/>
      <c r="AJ1976" s="166"/>
      <c r="AK1976" s="82"/>
      <c r="AL1976" s="162"/>
      <c r="AM1976" s="162"/>
      <c r="AN1976" s="162"/>
      <c r="AO1976" s="162"/>
      <c r="AP1976" s="162"/>
      <c r="AQ1976" s="162"/>
      <c r="AR1976" s="710"/>
      <c r="AV1976" s="82"/>
      <c r="AW1976" s="947"/>
      <c r="AX1976" s="947"/>
      <c r="AY1976" s="947"/>
    </row>
    <row r="1977" spans="31:51" x14ac:dyDescent="0.25">
      <c r="AE1977" s="75"/>
      <c r="AF1977" s="82"/>
      <c r="AG1977" s="82"/>
      <c r="AH1977" s="82"/>
      <c r="AI1977" s="82"/>
      <c r="AJ1977" s="166"/>
      <c r="AK1977" s="82"/>
      <c r="AL1977" s="162"/>
      <c r="AM1977" s="162"/>
      <c r="AN1977" s="162"/>
      <c r="AO1977" s="162"/>
      <c r="AP1977" s="162"/>
      <c r="AQ1977" s="162"/>
      <c r="AR1977" s="710"/>
      <c r="AV1977" s="82"/>
      <c r="AW1977" s="947"/>
      <c r="AX1977" s="947"/>
      <c r="AY1977" s="947"/>
    </row>
    <row r="1978" spans="31:51" x14ac:dyDescent="0.25">
      <c r="AE1978" s="75"/>
      <c r="AF1978" s="82"/>
      <c r="AG1978" s="82"/>
      <c r="AH1978" s="82"/>
      <c r="AI1978" s="82"/>
      <c r="AJ1978" s="166"/>
      <c r="AK1978" s="82"/>
      <c r="AL1978" s="162"/>
      <c r="AM1978" s="162"/>
      <c r="AN1978" s="162"/>
      <c r="AO1978" s="162"/>
      <c r="AP1978" s="162"/>
      <c r="AQ1978" s="162"/>
      <c r="AR1978" s="710"/>
      <c r="AV1978" s="82"/>
      <c r="AW1978" s="947"/>
      <c r="AX1978" s="947"/>
      <c r="AY1978" s="947"/>
    </row>
    <row r="1979" spans="31:51" x14ac:dyDescent="0.25">
      <c r="AE1979" s="75"/>
      <c r="AF1979" s="82"/>
      <c r="AG1979" s="82"/>
      <c r="AH1979" s="82"/>
      <c r="AI1979" s="82"/>
      <c r="AJ1979" s="166"/>
      <c r="AK1979" s="82"/>
      <c r="AL1979" s="162"/>
      <c r="AM1979" s="162"/>
      <c r="AN1979" s="162"/>
      <c r="AO1979" s="162"/>
      <c r="AP1979" s="162"/>
      <c r="AQ1979" s="162"/>
      <c r="AR1979" s="710"/>
      <c r="AV1979" s="82"/>
      <c r="AW1979" s="947"/>
      <c r="AX1979" s="947"/>
      <c r="AY1979" s="947"/>
    </row>
    <row r="1980" spans="31:51" x14ac:dyDescent="0.25">
      <c r="AE1980" s="75"/>
      <c r="AF1980" s="82"/>
      <c r="AG1980" s="82"/>
      <c r="AH1980" s="82"/>
      <c r="AI1980" s="82"/>
      <c r="AJ1980" s="166"/>
      <c r="AK1980" s="82"/>
      <c r="AL1980" s="162"/>
      <c r="AM1980" s="162"/>
      <c r="AN1980" s="162"/>
      <c r="AO1980" s="162"/>
      <c r="AP1980" s="162"/>
      <c r="AQ1980" s="162"/>
      <c r="AR1980" s="710"/>
      <c r="AV1980" s="82"/>
      <c r="AW1980" s="947"/>
      <c r="AX1980" s="947"/>
      <c r="AY1980" s="947"/>
    </row>
    <row r="1981" spans="31:51" x14ac:dyDescent="0.25">
      <c r="AE1981" s="75"/>
      <c r="AF1981" s="82"/>
      <c r="AG1981" s="82"/>
      <c r="AH1981" s="82"/>
      <c r="AI1981" s="82"/>
      <c r="AJ1981" s="166"/>
      <c r="AK1981" s="82"/>
      <c r="AL1981" s="162"/>
      <c r="AM1981" s="162"/>
      <c r="AN1981" s="162"/>
      <c r="AO1981" s="162"/>
      <c r="AP1981" s="162"/>
      <c r="AQ1981" s="162"/>
      <c r="AR1981" s="710"/>
      <c r="AV1981" s="82"/>
      <c r="AW1981" s="947"/>
      <c r="AX1981" s="947"/>
      <c r="AY1981" s="947"/>
    </row>
    <row r="1982" spans="31:51" x14ac:dyDescent="0.25">
      <c r="AE1982" s="75"/>
      <c r="AF1982" s="82"/>
      <c r="AG1982" s="82"/>
      <c r="AH1982" s="82"/>
      <c r="AI1982" s="82"/>
      <c r="AJ1982" s="166"/>
      <c r="AK1982" s="82"/>
      <c r="AL1982" s="162"/>
      <c r="AM1982" s="162"/>
      <c r="AN1982" s="162"/>
      <c r="AO1982" s="162"/>
      <c r="AP1982" s="162"/>
      <c r="AQ1982" s="162"/>
      <c r="AR1982" s="710"/>
      <c r="AV1982" s="82"/>
      <c r="AW1982" s="947"/>
      <c r="AX1982" s="947"/>
      <c r="AY1982" s="947"/>
    </row>
    <row r="1983" spans="31:51" x14ac:dyDescent="0.25">
      <c r="AE1983" s="75"/>
      <c r="AF1983" s="82"/>
      <c r="AG1983" s="82"/>
      <c r="AH1983" s="82"/>
      <c r="AI1983" s="82"/>
      <c r="AJ1983" s="166"/>
      <c r="AK1983" s="82"/>
      <c r="AL1983" s="162"/>
      <c r="AM1983" s="162"/>
      <c r="AN1983" s="162"/>
      <c r="AO1983" s="162"/>
      <c r="AP1983" s="162"/>
      <c r="AQ1983" s="162"/>
      <c r="AR1983" s="710"/>
      <c r="AV1983" s="82"/>
      <c r="AW1983" s="947"/>
      <c r="AX1983" s="947"/>
      <c r="AY1983" s="947"/>
    </row>
    <row r="1984" spans="31:51" x14ac:dyDescent="0.25">
      <c r="AE1984" s="75"/>
      <c r="AF1984" s="82"/>
      <c r="AG1984" s="82"/>
      <c r="AH1984" s="82"/>
      <c r="AI1984" s="82"/>
      <c r="AJ1984" s="166"/>
      <c r="AK1984" s="82"/>
      <c r="AL1984" s="162"/>
      <c r="AM1984" s="162"/>
      <c r="AN1984" s="162"/>
      <c r="AO1984" s="162"/>
      <c r="AP1984" s="162"/>
      <c r="AQ1984" s="162"/>
      <c r="AR1984" s="710"/>
      <c r="AV1984" s="82"/>
      <c r="AW1984" s="947"/>
      <c r="AX1984" s="947"/>
      <c r="AY1984" s="947"/>
    </row>
    <row r="1985" spans="31:51" x14ac:dyDescent="0.25">
      <c r="AE1985" s="75"/>
      <c r="AF1985" s="82"/>
      <c r="AG1985" s="82"/>
      <c r="AH1985" s="82"/>
      <c r="AI1985" s="82"/>
      <c r="AJ1985" s="166"/>
      <c r="AK1985" s="82"/>
      <c r="AL1985" s="162"/>
      <c r="AM1985" s="162"/>
      <c r="AN1985" s="162"/>
      <c r="AO1985" s="162"/>
      <c r="AP1985" s="162"/>
      <c r="AQ1985" s="162"/>
      <c r="AR1985" s="710"/>
      <c r="AV1985" s="82"/>
      <c r="AW1985" s="947"/>
      <c r="AX1985" s="947"/>
      <c r="AY1985" s="947"/>
    </row>
    <row r="1986" spans="31:51" x14ac:dyDescent="0.25">
      <c r="AE1986" s="75"/>
      <c r="AF1986" s="82"/>
      <c r="AG1986" s="82"/>
      <c r="AH1986" s="82"/>
      <c r="AI1986" s="82"/>
      <c r="AJ1986" s="166"/>
      <c r="AK1986" s="82"/>
      <c r="AL1986" s="162"/>
      <c r="AM1986" s="162"/>
      <c r="AN1986" s="162"/>
      <c r="AO1986" s="162"/>
      <c r="AP1986" s="162"/>
      <c r="AQ1986" s="162"/>
      <c r="AR1986" s="710"/>
      <c r="AV1986" s="82"/>
      <c r="AW1986" s="947"/>
      <c r="AX1986" s="947"/>
      <c r="AY1986" s="947"/>
    </row>
    <row r="1987" spans="31:51" x14ac:dyDescent="0.25">
      <c r="AE1987" s="75"/>
      <c r="AF1987" s="82"/>
      <c r="AG1987" s="82"/>
      <c r="AH1987" s="82"/>
      <c r="AI1987" s="82"/>
      <c r="AJ1987" s="166"/>
      <c r="AK1987" s="82"/>
      <c r="AL1987" s="162"/>
      <c r="AM1987" s="162"/>
      <c r="AN1987" s="162"/>
      <c r="AO1987" s="162"/>
      <c r="AP1987" s="162"/>
      <c r="AQ1987" s="162"/>
      <c r="AR1987" s="710"/>
      <c r="AV1987" s="82"/>
      <c r="AW1987" s="947"/>
      <c r="AX1987" s="947"/>
      <c r="AY1987" s="947"/>
    </row>
    <row r="1988" spans="31:51" x14ac:dyDescent="0.25">
      <c r="AE1988" s="75"/>
      <c r="AF1988" s="82"/>
      <c r="AG1988" s="82"/>
      <c r="AH1988" s="82"/>
      <c r="AI1988" s="82"/>
      <c r="AJ1988" s="166"/>
      <c r="AK1988" s="82"/>
      <c r="AL1988" s="162"/>
      <c r="AM1988" s="162"/>
      <c r="AN1988" s="162"/>
      <c r="AO1988" s="162"/>
      <c r="AP1988" s="162"/>
      <c r="AQ1988" s="162"/>
      <c r="AR1988" s="710"/>
      <c r="AV1988" s="82"/>
      <c r="AW1988" s="947"/>
      <c r="AX1988" s="947"/>
      <c r="AY1988" s="947"/>
    </row>
    <row r="1989" spans="31:51" x14ac:dyDescent="0.25">
      <c r="AE1989" s="75"/>
      <c r="AF1989" s="82"/>
      <c r="AG1989" s="82"/>
      <c r="AH1989" s="82"/>
      <c r="AI1989" s="82"/>
      <c r="AJ1989" s="166"/>
      <c r="AK1989" s="82"/>
      <c r="AL1989" s="162"/>
      <c r="AM1989" s="162"/>
      <c r="AN1989" s="162"/>
      <c r="AO1989" s="162"/>
      <c r="AP1989" s="162"/>
      <c r="AQ1989" s="162"/>
      <c r="AR1989" s="710"/>
      <c r="AV1989" s="82"/>
      <c r="AW1989" s="947"/>
      <c r="AX1989" s="947"/>
      <c r="AY1989" s="947"/>
    </row>
    <row r="1990" spans="31:51" x14ac:dyDescent="0.25">
      <c r="AE1990" s="75"/>
      <c r="AF1990" s="82"/>
      <c r="AG1990" s="82"/>
      <c r="AH1990" s="82"/>
      <c r="AI1990" s="82"/>
      <c r="AJ1990" s="166"/>
      <c r="AK1990" s="82"/>
      <c r="AL1990" s="162"/>
      <c r="AM1990" s="162"/>
      <c r="AN1990" s="162"/>
      <c r="AO1990" s="162"/>
      <c r="AP1990" s="162"/>
      <c r="AQ1990" s="162"/>
      <c r="AR1990" s="710"/>
      <c r="AV1990" s="82"/>
      <c r="AW1990" s="947"/>
      <c r="AX1990" s="947"/>
      <c r="AY1990" s="947"/>
    </row>
    <row r="1991" spans="31:51" x14ac:dyDescent="0.25">
      <c r="AE1991" s="75"/>
      <c r="AF1991" s="82"/>
      <c r="AG1991" s="82"/>
      <c r="AH1991" s="82"/>
      <c r="AI1991" s="82"/>
      <c r="AJ1991" s="166"/>
      <c r="AK1991" s="82"/>
      <c r="AL1991" s="162"/>
      <c r="AM1991" s="162"/>
      <c r="AN1991" s="162"/>
      <c r="AO1991" s="162"/>
      <c r="AP1991" s="162"/>
      <c r="AQ1991" s="162"/>
      <c r="AR1991" s="710"/>
      <c r="AV1991" s="82"/>
      <c r="AW1991" s="947"/>
      <c r="AX1991" s="947"/>
      <c r="AY1991" s="947"/>
    </row>
    <row r="1992" spans="31:51" x14ac:dyDescent="0.25">
      <c r="AE1992" s="75"/>
      <c r="AF1992" s="82"/>
      <c r="AG1992" s="82"/>
      <c r="AH1992" s="82"/>
      <c r="AI1992" s="82"/>
      <c r="AJ1992" s="166"/>
      <c r="AK1992" s="82"/>
      <c r="AL1992" s="162"/>
      <c r="AM1992" s="162"/>
      <c r="AN1992" s="162"/>
      <c r="AO1992" s="162"/>
      <c r="AP1992" s="162"/>
      <c r="AQ1992" s="162"/>
      <c r="AR1992" s="710"/>
      <c r="AV1992" s="82"/>
      <c r="AW1992" s="947"/>
      <c r="AX1992" s="947"/>
      <c r="AY1992" s="947"/>
    </row>
    <row r="1993" spans="31:51" x14ac:dyDescent="0.25">
      <c r="AE1993" s="75"/>
      <c r="AF1993" s="82"/>
      <c r="AG1993" s="82"/>
      <c r="AH1993" s="82"/>
      <c r="AI1993" s="82"/>
      <c r="AJ1993" s="166"/>
      <c r="AK1993" s="82"/>
      <c r="AL1993" s="162"/>
      <c r="AM1993" s="162"/>
      <c r="AN1993" s="162"/>
      <c r="AO1993" s="162"/>
      <c r="AP1993" s="162"/>
      <c r="AQ1993" s="162"/>
      <c r="AR1993" s="710"/>
      <c r="AV1993" s="82"/>
      <c r="AW1993" s="947"/>
      <c r="AX1993" s="947"/>
      <c r="AY1993" s="947"/>
    </row>
    <row r="1994" spans="31:51" x14ac:dyDescent="0.25">
      <c r="AE1994" s="75"/>
      <c r="AF1994" s="82"/>
      <c r="AG1994" s="82"/>
      <c r="AH1994" s="82"/>
      <c r="AI1994" s="82"/>
      <c r="AJ1994" s="166"/>
      <c r="AK1994" s="82"/>
      <c r="AL1994" s="162"/>
      <c r="AM1994" s="162"/>
      <c r="AN1994" s="162"/>
      <c r="AO1994" s="162"/>
      <c r="AP1994" s="162"/>
      <c r="AQ1994" s="162"/>
      <c r="AR1994" s="710"/>
      <c r="AV1994" s="82"/>
      <c r="AW1994" s="947"/>
      <c r="AX1994" s="947"/>
      <c r="AY1994" s="947"/>
    </row>
    <row r="1995" spans="31:51" x14ac:dyDescent="0.25">
      <c r="AE1995" s="75"/>
      <c r="AF1995" s="82"/>
      <c r="AG1995" s="82"/>
      <c r="AH1995" s="82"/>
      <c r="AI1995" s="82"/>
      <c r="AJ1995" s="166"/>
      <c r="AK1995" s="82"/>
      <c r="AL1995" s="162"/>
      <c r="AM1995" s="162"/>
      <c r="AN1995" s="162"/>
      <c r="AO1995" s="162"/>
      <c r="AP1995" s="162"/>
      <c r="AQ1995" s="162"/>
      <c r="AR1995" s="710"/>
      <c r="AV1995" s="82"/>
      <c r="AW1995" s="947"/>
      <c r="AX1995" s="947"/>
      <c r="AY1995" s="947"/>
    </row>
    <row r="1996" spans="31:51" x14ac:dyDescent="0.25">
      <c r="AE1996" s="75"/>
      <c r="AF1996" s="82"/>
      <c r="AG1996" s="82"/>
      <c r="AH1996" s="82"/>
      <c r="AI1996" s="82"/>
      <c r="AJ1996" s="166"/>
      <c r="AK1996" s="82"/>
      <c r="AL1996" s="162"/>
      <c r="AM1996" s="162"/>
      <c r="AN1996" s="162"/>
      <c r="AO1996" s="162"/>
      <c r="AP1996" s="162"/>
      <c r="AQ1996" s="162"/>
      <c r="AR1996" s="710"/>
      <c r="AV1996" s="82"/>
      <c r="AW1996" s="947"/>
      <c r="AX1996" s="947"/>
      <c r="AY1996" s="947"/>
    </row>
    <row r="1997" spans="31:51" x14ac:dyDescent="0.25">
      <c r="AE1997" s="75"/>
      <c r="AF1997" s="82"/>
      <c r="AG1997" s="82"/>
      <c r="AH1997" s="82"/>
      <c r="AI1997" s="82"/>
      <c r="AJ1997" s="166"/>
      <c r="AK1997" s="82"/>
      <c r="AL1997" s="162"/>
      <c r="AM1997" s="162"/>
      <c r="AN1997" s="162"/>
      <c r="AO1997" s="162"/>
      <c r="AP1997" s="162"/>
      <c r="AQ1997" s="162"/>
      <c r="AR1997" s="710"/>
      <c r="AV1997" s="82"/>
      <c r="AW1997" s="947"/>
      <c r="AX1997" s="947"/>
      <c r="AY1997" s="947"/>
    </row>
    <row r="1998" spans="31:51" x14ac:dyDescent="0.25">
      <c r="AE1998" s="75"/>
      <c r="AF1998" s="82"/>
      <c r="AG1998" s="82"/>
      <c r="AH1998" s="82"/>
      <c r="AI1998" s="82"/>
      <c r="AJ1998" s="166"/>
      <c r="AK1998" s="82"/>
      <c r="AL1998" s="162"/>
      <c r="AM1998" s="162"/>
      <c r="AN1998" s="162"/>
      <c r="AO1998" s="162"/>
      <c r="AP1998" s="162"/>
      <c r="AQ1998" s="162"/>
      <c r="AR1998" s="710"/>
      <c r="AV1998" s="82"/>
      <c r="AW1998" s="947"/>
      <c r="AX1998" s="947"/>
      <c r="AY1998" s="947"/>
    </row>
    <row r="1999" spans="31:51" x14ac:dyDescent="0.25">
      <c r="AE1999" s="75"/>
      <c r="AF1999" s="82"/>
      <c r="AG1999" s="82"/>
      <c r="AH1999" s="82"/>
      <c r="AI1999" s="82"/>
      <c r="AJ1999" s="166"/>
      <c r="AK1999" s="82"/>
      <c r="AL1999" s="162"/>
      <c r="AM1999" s="162"/>
      <c r="AN1999" s="162"/>
      <c r="AO1999" s="162"/>
      <c r="AP1999" s="162"/>
      <c r="AQ1999" s="162"/>
      <c r="AR1999" s="710"/>
      <c r="AV1999" s="82"/>
      <c r="AW1999" s="947"/>
      <c r="AX1999" s="947"/>
      <c r="AY1999" s="947"/>
    </row>
    <row r="2000" spans="31:51" x14ac:dyDescent="0.25">
      <c r="AE2000" s="75"/>
      <c r="AF2000" s="82"/>
      <c r="AG2000" s="82"/>
      <c r="AH2000" s="82"/>
      <c r="AI2000" s="82"/>
      <c r="AJ2000" s="166"/>
      <c r="AK2000" s="82"/>
      <c r="AL2000" s="162"/>
      <c r="AM2000" s="162"/>
      <c r="AN2000" s="162"/>
      <c r="AO2000" s="162"/>
      <c r="AP2000" s="162"/>
      <c r="AQ2000" s="162"/>
      <c r="AR2000" s="710"/>
      <c r="AV2000" s="82"/>
      <c r="AW2000" s="947"/>
      <c r="AX2000" s="947"/>
      <c r="AY2000" s="947"/>
    </row>
    <row r="2001" spans="31:31" x14ac:dyDescent="0.25">
      <c r="AE2001" s="75"/>
    </row>
    <row r="2002" spans="31:31" x14ac:dyDescent="0.25">
      <c r="AE2002" s="75"/>
    </row>
    <row r="2003" spans="31:31" x14ac:dyDescent="0.25">
      <c r="AE2003" s="75"/>
    </row>
    <row r="2004" spans="31:31" x14ac:dyDescent="0.25">
      <c r="AE2004" s="75"/>
    </row>
    <row r="2005" spans="31:31" x14ac:dyDescent="0.25">
      <c r="AE2005" s="75"/>
    </row>
    <row r="2006" spans="31:31" x14ac:dyDescent="0.25">
      <c r="AE2006" s="75"/>
    </row>
    <row r="2007" spans="31:31" x14ac:dyDescent="0.25">
      <c r="AE2007" s="75"/>
    </row>
    <row r="2008" spans="31:31" x14ac:dyDescent="0.25">
      <c r="AE2008" s="75"/>
    </row>
    <row r="2009" spans="31:31" x14ac:dyDescent="0.25">
      <c r="AE2009" s="75"/>
    </row>
    <row r="2010" spans="31:31" x14ac:dyDescent="0.25">
      <c r="AE2010" s="75"/>
    </row>
    <row r="2011" spans="31:31" x14ac:dyDescent="0.25">
      <c r="AE2011" s="75"/>
    </row>
    <row r="2012" spans="31:31" x14ac:dyDescent="0.25">
      <c r="AE2012" s="75"/>
    </row>
    <row r="2013" spans="31:31" x14ac:dyDescent="0.25">
      <c r="AE2013" s="75"/>
    </row>
    <row r="2014" spans="31:31" x14ac:dyDescent="0.25">
      <c r="AE2014" s="75"/>
    </row>
    <row r="2015" spans="31:31" x14ac:dyDescent="0.25">
      <c r="AE2015" s="75"/>
    </row>
    <row r="2016" spans="31:31" x14ac:dyDescent="0.25">
      <c r="AE2016" s="75"/>
    </row>
    <row r="2017" spans="31:31" x14ac:dyDescent="0.25">
      <c r="AE2017" s="75"/>
    </row>
    <row r="2018" spans="31:31" x14ac:dyDescent="0.25">
      <c r="AE2018" s="75"/>
    </row>
    <row r="2019" spans="31:31" x14ac:dyDescent="0.25">
      <c r="AE2019" s="75"/>
    </row>
    <row r="2020" spans="31:31" x14ac:dyDescent="0.25">
      <c r="AE2020" s="75"/>
    </row>
    <row r="2021" spans="31:31" x14ac:dyDescent="0.25">
      <c r="AE2021" s="75"/>
    </row>
    <row r="2022" spans="31:31" x14ac:dyDescent="0.25">
      <c r="AE2022" s="75"/>
    </row>
    <row r="2023" spans="31:31" x14ac:dyDescent="0.25">
      <c r="AE2023" s="75"/>
    </row>
    <row r="2024" spans="31:31" x14ac:dyDescent="0.25">
      <c r="AE2024" s="75"/>
    </row>
    <row r="2025" spans="31:31" x14ac:dyDescent="0.25">
      <c r="AE2025" s="75"/>
    </row>
    <row r="2026" spans="31:31" x14ac:dyDescent="0.25">
      <c r="AE2026" s="75"/>
    </row>
    <row r="2027" spans="31:31" x14ac:dyDescent="0.25">
      <c r="AE2027" s="75"/>
    </row>
    <row r="2028" spans="31:31" x14ac:dyDescent="0.25">
      <c r="AE2028" s="75"/>
    </row>
    <row r="2029" spans="31:31" x14ac:dyDescent="0.25">
      <c r="AE2029" s="75"/>
    </row>
    <row r="2030" spans="31:31" x14ac:dyDescent="0.25">
      <c r="AE2030" s="75"/>
    </row>
    <row r="2031" spans="31:31" x14ac:dyDescent="0.25">
      <c r="AE2031" s="75"/>
    </row>
    <row r="2032" spans="31:31" x14ac:dyDescent="0.25">
      <c r="AE2032" s="75"/>
    </row>
    <row r="2033" spans="31:31" x14ac:dyDescent="0.25">
      <c r="AE2033" s="75"/>
    </row>
    <row r="2034" spans="31:31" x14ac:dyDescent="0.25">
      <c r="AE2034" s="75"/>
    </row>
    <row r="2035" spans="31:31" x14ac:dyDescent="0.25">
      <c r="AE2035" s="75"/>
    </row>
    <row r="2036" spans="31:31" x14ac:dyDescent="0.25">
      <c r="AE2036" s="75"/>
    </row>
    <row r="2037" spans="31:31" x14ac:dyDescent="0.25">
      <c r="AE2037" s="75"/>
    </row>
    <row r="2038" spans="31:31" x14ac:dyDescent="0.25">
      <c r="AE2038" s="75"/>
    </row>
    <row r="2039" spans="31:31" x14ac:dyDescent="0.25">
      <c r="AE2039" s="75"/>
    </row>
    <row r="2040" spans="31:31" x14ac:dyDescent="0.25">
      <c r="AE2040" s="75"/>
    </row>
    <row r="2041" spans="31:31" x14ac:dyDescent="0.25">
      <c r="AE2041" s="75"/>
    </row>
    <row r="2042" spans="31:31" x14ac:dyDescent="0.25">
      <c r="AE2042" s="75"/>
    </row>
    <row r="2043" spans="31:31" x14ac:dyDescent="0.25">
      <c r="AE2043" s="75"/>
    </row>
    <row r="2044" spans="31:31" x14ac:dyDescent="0.25">
      <c r="AE2044" s="75"/>
    </row>
    <row r="2045" spans="31:31" x14ac:dyDescent="0.25">
      <c r="AE2045" s="75"/>
    </row>
    <row r="2046" spans="31:31" x14ac:dyDescent="0.25">
      <c r="AE2046" s="75"/>
    </row>
    <row r="2047" spans="31:31" x14ac:dyDescent="0.25">
      <c r="AE2047" s="75"/>
    </row>
    <row r="2048" spans="31:31" x14ac:dyDescent="0.25">
      <c r="AE2048" s="75"/>
    </row>
    <row r="2049" spans="31:31" x14ac:dyDescent="0.25">
      <c r="AE2049" s="75"/>
    </row>
    <row r="2050" spans="31:31" x14ac:dyDescent="0.25">
      <c r="AE2050" s="75"/>
    </row>
    <row r="2051" spans="31:31" x14ac:dyDescent="0.25">
      <c r="AE2051" s="75"/>
    </row>
    <row r="2052" spans="31:31" x14ac:dyDescent="0.25">
      <c r="AE2052" s="75"/>
    </row>
    <row r="2053" spans="31:31" x14ac:dyDescent="0.25">
      <c r="AE2053" s="75"/>
    </row>
    <row r="2054" spans="31:31" x14ac:dyDescent="0.25">
      <c r="AE2054" s="75"/>
    </row>
    <row r="2055" spans="31:31" x14ac:dyDescent="0.25">
      <c r="AE2055" s="75"/>
    </row>
    <row r="2056" spans="31:31" x14ac:dyDescent="0.25">
      <c r="AE2056" s="75"/>
    </row>
    <row r="2057" spans="31:31" x14ac:dyDescent="0.25">
      <c r="AE2057" s="75"/>
    </row>
    <row r="2058" spans="31:31" x14ac:dyDescent="0.25">
      <c r="AE2058" s="75"/>
    </row>
    <row r="2059" spans="31:31" x14ac:dyDescent="0.25">
      <c r="AE2059" s="75"/>
    </row>
    <row r="2060" spans="31:31" x14ac:dyDescent="0.25">
      <c r="AE2060" s="75"/>
    </row>
    <row r="2061" spans="31:31" x14ac:dyDescent="0.25">
      <c r="AE2061" s="75"/>
    </row>
    <row r="2062" spans="31:31" x14ac:dyDescent="0.25">
      <c r="AE2062" s="75"/>
    </row>
    <row r="2063" spans="31:31" x14ac:dyDescent="0.25">
      <c r="AE2063" s="75"/>
    </row>
    <row r="2064" spans="31:31" x14ac:dyDescent="0.25">
      <c r="AE2064" s="75"/>
    </row>
    <row r="2065" spans="31:31" x14ac:dyDescent="0.25">
      <c r="AE2065" s="75"/>
    </row>
    <row r="2066" spans="31:31" x14ac:dyDescent="0.25">
      <c r="AE2066" s="75"/>
    </row>
    <row r="2067" spans="31:31" x14ac:dyDescent="0.25">
      <c r="AE2067" s="75"/>
    </row>
    <row r="2068" spans="31:31" x14ac:dyDescent="0.25">
      <c r="AE2068" s="75"/>
    </row>
    <row r="2069" spans="31:31" x14ac:dyDescent="0.25">
      <c r="AE2069" s="75"/>
    </row>
    <row r="2070" spans="31:31" x14ac:dyDescent="0.25">
      <c r="AE2070" s="75"/>
    </row>
    <row r="2071" spans="31:31" x14ac:dyDescent="0.25">
      <c r="AE2071" s="75"/>
    </row>
    <row r="2072" spans="31:31" x14ac:dyDescent="0.25">
      <c r="AE2072" s="75"/>
    </row>
    <row r="2073" spans="31:31" x14ac:dyDescent="0.25">
      <c r="AE2073" s="75"/>
    </row>
    <row r="2074" spans="31:31" x14ac:dyDescent="0.25">
      <c r="AE2074" s="75"/>
    </row>
    <row r="2075" spans="31:31" x14ac:dyDescent="0.25">
      <c r="AE2075" s="75"/>
    </row>
    <row r="2076" spans="31:31" x14ac:dyDescent="0.25">
      <c r="AE2076" s="75"/>
    </row>
    <row r="2077" spans="31:31" x14ac:dyDescent="0.25">
      <c r="AE2077" s="75"/>
    </row>
    <row r="2078" spans="31:31" x14ac:dyDescent="0.25">
      <c r="AE2078" s="75"/>
    </row>
    <row r="2079" spans="31:31" x14ac:dyDescent="0.25">
      <c r="AE2079" s="75"/>
    </row>
    <row r="2080" spans="31:31" x14ac:dyDescent="0.25">
      <c r="AE2080" s="75"/>
    </row>
    <row r="2081" spans="31:31" x14ac:dyDescent="0.25">
      <c r="AE2081" s="75"/>
    </row>
    <row r="2082" spans="31:31" x14ac:dyDescent="0.25">
      <c r="AE2082" s="75"/>
    </row>
    <row r="2083" spans="31:31" x14ac:dyDescent="0.25">
      <c r="AE2083" s="75"/>
    </row>
    <row r="2084" spans="31:31" x14ac:dyDescent="0.25">
      <c r="AE2084" s="75"/>
    </row>
    <row r="2085" spans="31:31" x14ac:dyDescent="0.25">
      <c r="AE2085" s="75"/>
    </row>
    <row r="2086" spans="31:31" x14ac:dyDescent="0.25">
      <c r="AE2086" s="75"/>
    </row>
    <row r="2087" spans="31:31" x14ac:dyDescent="0.25">
      <c r="AE2087" s="75"/>
    </row>
    <row r="2088" spans="31:31" x14ac:dyDescent="0.25">
      <c r="AE2088" s="75"/>
    </row>
    <row r="2089" spans="31:31" x14ac:dyDescent="0.25">
      <c r="AE2089" s="75"/>
    </row>
    <row r="2090" spans="31:31" x14ac:dyDescent="0.25">
      <c r="AE2090" s="75"/>
    </row>
    <row r="2091" spans="31:31" x14ac:dyDescent="0.25">
      <c r="AE2091" s="75"/>
    </row>
    <row r="2092" spans="31:31" x14ac:dyDescent="0.25">
      <c r="AE2092" s="75"/>
    </row>
    <row r="2093" spans="31:31" x14ac:dyDescent="0.25">
      <c r="AE2093" s="75"/>
    </row>
    <row r="2094" spans="31:31" x14ac:dyDescent="0.25">
      <c r="AE2094" s="75"/>
    </row>
    <row r="2095" spans="31:31" x14ac:dyDescent="0.25">
      <c r="AE2095" s="75"/>
    </row>
    <row r="2096" spans="31:31" x14ac:dyDescent="0.25">
      <c r="AE2096" s="75"/>
    </row>
    <row r="2097" spans="31:31" x14ac:dyDescent="0.25">
      <c r="AE2097" s="75"/>
    </row>
    <row r="2098" spans="31:31" x14ac:dyDescent="0.25">
      <c r="AE2098" s="75"/>
    </row>
    <row r="2099" spans="31:31" x14ac:dyDescent="0.25">
      <c r="AE2099" s="75"/>
    </row>
    <row r="2100" spans="31:31" x14ac:dyDescent="0.25">
      <c r="AE2100" s="75"/>
    </row>
    <row r="1048576" spans="12:12" x14ac:dyDescent="0.25">
      <c r="L1048576" s="683"/>
    </row>
  </sheetData>
  <sortState xmlns:xlrd2="http://schemas.microsoft.com/office/spreadsheetml/2017/richdata2" ref="Q244:X328">
    <sortCondition ref="Q243:Q328"/>
  </sortState>
  <mergeCells count="174">
    <mergeCell ref="B157:O159"/>
    <mergeCell ref="B160:O161"/>
    <mergeCell ref="K162:L162"/>
    <mergeCell ref="P6:P7"/>
    <mergeCell ref="Q5:S5"/>
    <mergeCell ref="JD7:JG7"/>
    <mergeCell ref="JD19:JK19"/>
    <mergeCell ref="JD20:JG21"/>
    <mergeCell ref="JJ21:JK21"/>
    <mergeCell ref="EC5:ED6"/>
    <mergeCell ref="EM5:ER5"/>
    <mergeCell ref="DX5:D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HO7:HP7"/>
    <mergeCell ref="L2:L4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T5:V5"/>
    <mergeCell ref="AK6:AM6"/>
    <mergeCell ref="Z2:AQ3"/>
    <mergeCell ref="AK4:AQ4"/>
    <mergeCell ref="AK5:AQ5"/>
    <mergeCell ref="BF2:ER3"/>
    <mergeCell ref="C1:K1"/>
    <mergeCell ref="IR7:IV7"/>
    <mergeCell ref="IW7:JA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  <mergeCell ref="S6:S7"/>
    <mergeCell ref="CV6:CX6"/>
    <mergeCell ref="Q4:S4"/>
    <mergeCell ref="N4:P4"/>
    <mergeCell ref="N6:N7"/>
    <mergeCell ref="O6:O7"/>
    <mergeCell ref="N5:P5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CI5:CN5"/>
    <mergeCell ref="CF5:CH5"/>
    <mergeCell ref="BF4:CN4"/>
    <mergeCell ref="BF6:BH6"/>
    <mergeCell ref="BI6:BK6"/>
    <mergeCell ref="BS6:BU6"/>
    <mergeCell ref="BV6:BX6"/>
    <mergeCell ref="HQ7:HR7"/>
    <mergeCell ref="HN6:HR6"/>
    <mergeCell ref="FZ6:FZ7"/>
    <mergeCell ref="CY6:DA6"/>
    <mergeCell ref="FN6:FN7"/>
    <mergeCell ref="EP6:ER6"/>
    <mergeCell ref="HA6:HD6"/>
    <mergeCell ref="ES4:EY4"/>
    <mergeCell ref="EV5:EY5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GF6:GF7"/>
    <mergeCell ref="CO4:DA4"/>
    <mergeCell ref="CO5:CO6"/>
    <mergeCell ref="CP5:CS6"/>
    <mergeCell ref="CT5:CU6"/>
    <mergeCell ref="GJ4:GN4"/>
    <mergeCell ref="GO4:GO5"/>
    <mergeCell ref="GO6:GO7"/>
    <mergeCell ref="GP4:GP5"/>
    <mergeCell ref="GP6:GP7"/>
    <mergeCell ref="GQ6:GQ7"/>
    <mergeCell ref="GR4:GR7"/>
    <mergeCell ref="GU5:GX5"/>
    <mergeCell ref="GS5:GT5"/>
    <mergeCell ref="GU6:GW6"/>
    <mergeCell ref="GS6:GT6"/>
    <mergeCell ref="JH20:JK20"/>
    <mergeCell ref="JH21:JI21"/>
    <mergeCell ref="L6:L8"/>
    <mergeCell ref="IK7:IQ7"/>
    <mergeCell ref="GE6:GE7"/>
    <mergeCell ref="GY6:GZ6"/>
    <mergeCell ref="GJ5:GJ6"/>
    <mergeCell ref="HW5:HX5"/>
    <mergeCell ref="EE5:EG6"/>
    <mergeCell ref="EK5:EL6"/>
    <mergeCell ref="FZ4:FZ5"/>
    <mergeCell ref="FY6:FY7"/>
    <mergeCell ref="DY5:EB6"/>
    <mergeCell ref="IJ7:IJ8"/>
    <mergeCell ref="II7:II8"/>
    <mergeCell ref="IG4:IH4"/>
    <mergeCell ref="IC5:IE5"/>
    <mergeCell ref="HA5:HD5"/>
    <mergeCell ref="HA4:HH4"/>
    <mergeCell ref="HI4:HI7"/>
    <mergeCell ref="HE6:HH6"/>
    <mergeCell ref="HE5:HH5"/>
    <mergeCell ref="GY5:GZ5"/>
    <mergeCell ref="GS4:GZ4"/>
    <mergeCell ref="B162:D162"/>
    <mergeCell ref="E162:G162"/>
    <mergeCell ref="H162:J162"/>
    <mergeCell ref="N162:O162"/>
    <mergeCell ref="HW2:IE2"/>
    <mergeCell ref="HW4:IE4"/>
    <mergeCell ref="HY5:IB5"/>
    <mergeCell ref="HS6:HV6"/>
    <mergeCell ref="HU7:HV7"/>
    <mergeCell ref="EM6:EO6"/>
    <mergeCell ref="DL5:DN6"/>
    <mergeCell ref="EH5:EJ6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</mergeCells>
  <conditionalFormatting sqref="HI9:HI40 HL9:HL40 AV9:AV40 AV54:AV150 HL54:HL150 HI54:HI150 M9:M150">
    <cfRule type="cellIs" dxfId="50" priority="175" stopIfTrue="1" operator="between">
      <formula>9</formula>
      <formula>9.99</formula>
    </cfRule>
    <cfRule type="cellIs" dxfId="49" priority="176" stopIfTrue="1" operator="between">
      <formula>8</formula>
      <formula>8.99</formula>
    </cfRule>
    <cfRule type="cellIs" dxfId="48" priority="177" stopIfTrue="1" operator="between">
      <formula>7</formula>
      <formula>7.99</formula>
    </cfRule>
    <cfRule type="cellIs" dxfId="47" priority="178" stopIfTrue="1" operator="between">
      <formula>6</formula>
      <formula>6.99</formula>
    </cfRule>
    <cfRule type="cellIs" dxfId="46" priority="179" stopIfTrue="1" operator="between">
      <formula>5</formula>
      <formula>5.99</formula>
    </cfRule>
    <cfRule type="cellIs" dxfId="45" priority="180" stopIfTrue="1" operator="between">
      <formula>4</formula>
      <formula>4.99</formula>
    </cfRule>
    <cfRule type="cellIs" dxfId="44" priority="181" stopIfTrue="1" operator="between">
      <formula>3</formula>
      <formula>3.99</formula>
    </cfRule>
    <cfRule type="cellIs" dxfId="43" priority="182" stopIfTrue="1" operator="between">
      <formula>2</formula>
      <formula>2.99</formula>
    </cfRule>
    <cfRule type="cellIs" dxfId="42" priority="183" stopIfTrue="1" operator="between">
      <formula>1</formula>
      <formula>1.99</formula>
    </cfRule>
  </conditionalFormatting>
  <conditionalFormatting sqref="HM9:HM40 HM54:HM15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40 IB54:IB150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40 IC54:IC150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40 ID54:ID15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40 IE54:IE150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L41:HL53 AV41:AV53">
    <cfRule type="cellIs" dxfId="41" priority="61" stopIfTrue="1" operator="between">
      <formula>9</formula>
      <formula>9.99</formula>
    </cfRule>
    <cfRule type="cellIs" dxfId="40" priority="62" stopIfTrue="1" operator="between">
      <formula>8</formula>
      <formula>8.99</formula>
    </cfRule>
    <cfRule type="cellIs" dxfId="39" priority="63" stopIfTrue="1" operator="between">
      <formula>7</formula>
      <formula>7.99</formula>
    </cfRule>
    <cfRule type="cellIs" dxfId="38" priority="64" stopIfTrue="1" operator="between">
      <formula>6</formula>
      <formula>6.99</formula>
    </cfRule>
    <cfRule type="cellIs" dxfId="37" priority="65" stopIfTrue="1" operator="between">
      <formula>5</formula>
      <formula>5.99</formula>
    </cfRule>
    <cfRule type="cellIs" dxfId="36" priority="66" stopIfTrue="1" operator="between">
      <formula>4</formula>
      <formula>4.99</formula>
    </cfRule>
    <cfRule type="cellIs" dxfId="35" priority="67" stopIfTrue="1" operator="between">
      <formula>3</formula>
      <formula>3.99</formula>
    </cfRule>
    <cfRule type="cellIs" dxfId="34" priority="68" stopIfTrue="1" operator="between">
      <formula>2</formula>
      <formula>2.99</formula>
    </cfRule>
    <cfRule type="cellIs" dxfId="33" priority="69" stopIfTrue="1" operator="between">
      <formula>1</formula>
      <formula>1.99</formula>
    </cfRule>
  </conditionalFormatting>
  <conditionalFormatting sqref="HM41:HM5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41:IB53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41:IC53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41:ID5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41:IE53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150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5">
    <cfRule type="cellIs" dxfId="32" priority="41" operator="equal">
      <formula>"Wrong CS"</formula>
    </cfRule>
  </conditionalFormatting>
  <conditionalFormatting sqref="HU9:HU150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150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N9:HN15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M9:HM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150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150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150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150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150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150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150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150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B9:IB1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C9:IC15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D9:ID150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E9:IE15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8" r:id="rId6" name="CommandButton1">
          <controlPr defaultSize="0" autoLine="0" r:id="rId7">
            <anchor moveWithCells="1">
              <from>
                <xdr:col>32</xdr:col>
                <xdr:colOff>57150</xdr:colOff>
                <xdr:row>156</xdr:row>
                <xdr:rowOff>66675</xdr:rowOff>
              </from>
              <to>
                <xdr:col>33</xdr:col>
                <xdr:colOff>314325</xdr:colOff>
                <xdr:row>157</xdr:row>
                <xdr:rowOff>180975</xdr:rowOff>
              </to>
            </anchor>
          </controlPr>
        </control>
      </mc:Choice>
      <mc:Fallback>
        <control shapeId="63558" r:id="rId6" name="CommandButton1"/>
      </mc:Fallback>
    </mc:AlternateContent>
    <mc:AlternateContent xmlns:mc="http://schemas.openxmlformats.org/markup-compatibility/2006">
      <mc:Choice Requires="x14">
        <control shapeId="63556" r:id="rId8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3" operator="containsText" id="{7BD0CBBC-4645-4EB9-B766-C6EE0E09FDEF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42" operator="containsText" id="{81F16DEC-D9E5-41AC-BD36-A1CFF05942D1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0C3C-F538-48B8-B731-537D2E46A4C2}">
  <sheetPr codeName="Sheet3"/>
  <dimension ref="C6:G85"/>
  <sheetViews>
    <sheetView workbookViewId="0">
      <selection activeCell="E91" sqref="E91"/>
    </sheetView>
  </sheetViews>
  <sheetFormatPr defaultRowHeight="15" x14ac:dyDescent="0.25"/>
  <sheetData>
    <row r="6" spans="3:7" x14ac:dyDescent="0.25">
      <c r="C6" s="969">
        <v>1.101</v>
      </c>
      <c r="D6">
        <f t="shared" ref="D6:D37" si="0">MOD(C6,1)*1000</f>
        <v>100.99999999999997</v>
      </c>
      <c r="E6" t="str">
        <f t="shared" ref="E6:E37" si="1">LEFT(D6,1)</f>
        <v>1</v>
      </c>
      <c r="F6" t="str">
        <f t="shared" ref="F6:F37" si="2">RIGHT(D6,2)</f>
        <v>01</v>
      </c>
      <c r="G6">
        <f t="shared" ref="G6:G37" si="3">VALUE(_xlfn.CONCAT("0.",F6,E6))*1000</f>
        <v>11</v>
      </c>
    </row>
    <row r="7" spans="3:7" x14ac:dyDescent="0.25">
      <c r="C7" s="969">
        <v>3.1019999999999999</v>
      </c>
      <c r="D7">
        <f t="shared" si="0"/>
        <v>101.99999999999987</v>
      </c>
      <c r="E7" t="str">
        <f t="shared" si="1"/>
        <v>1</v>
      </c>
      <c r="F7" t="str">
        <f t="shared" si="2"/>
        <v>02</v>
      </c>
      <c r="G7">
        <f t="shared" si="3"/>
        <v>21</v>
      </c>
    </row>
    <row r="8" spans="3:7" x14ac:dyDescent="0.25">
      <c r="C8" s="969">
        <v>5.1029999999999998</v>
      </c>
      <c r="D8">
        <f t="shared" si="0"/>
        <v>102.99999999999976</v>
      </c>
      <c r="E8" t="str">
        <f t="shared" si="1"/>
        <v>1</v>
      </c>
      <c r="F8" t="str">
        <f t="shared" si="2"/>
        <v>03</v>
      </c>
      <c r="G8">
        <f t="shared" si="3"/>
        <v>31</v>
      </c>
    </row>
    <row r="9" spans="3:7" x14ac:dyDescent="0.25">
      <c r="C9" s="969">
        <v>1.1040000000000001</v>
      </c>
      <c r="D9">
        <f t="shared" si="0"/>
        <v>104.00000000000009</v>
      </c>
      <c r="E9" t="str">
        <f t="shared" si="1"/>
        <v>1</v>
      </c>
      <c r="F9" t="str">
        <f t="shared" si="2"/>
        <v>04</v>
      </c>
      <c r="G9">
        <f t="shared" si="3"/>
        <v>41</v>
      </c>
    </row>
    <row r="10" spans="3:7" x14ac:dyDescent="0.25">
      <c r="C10" s="969">
        <v>3.105</v>
      </c>
      <c r="D10">
        <f t="shared" si="0"/>
        <v>104.99999999999999</v>
      </c>
      <c r="E10" t="str">
        <f t="shared" si="1"/>
        <v>1</v>
      </c>
      <c r="F10" t="str">
        <f t="shared" si="2"/>
        <v>05</v>
      </c>
      <c r="G10">
        <f t="shared" si="3"/>
        <v>51</v>
      </c>
    </row>
    <row r="11" spans="3:7" x14ac:dyDescent="0.25">
      <c r="C11" s="969">
        <v>5.1059999999999999</v>
      </c>
      <c r="D11">
        <f t="shared" si="0"/>
        <v>105.99999999999987</v>
      </c>
      <c r="E11" t="str">
        <f t="shared" si="1"/>
        <v>1</v>
      </c>
      <c r="F11" t="str">
        <f t="shared" si="2"/>
        <v>06</v>
      </c>
      <c r="G11">
        <f t="shared" si="3"/>
        <v>61</v>
      </c>
    </row>
    <row r="12" spans="3:7" x14ac:dyDescent="0.25">
      <c r="C12" s="969">
        <v>1.107</v>
      </c>
      <c r="D12">
        <f t="shared" si="0"/>
        <v>106.99999999999999</v>
      </c>
      <c r="E12" t="str">
        <f t="shared" si="1"/>
        <v>1</v>
      </c>
      <c r="F12" t="str">
        <f t="shared" si="2"/>
        <v>07</v>
      </c>
      <c r="G12">
        <f t="shared" si="3"/>
        <v>71</v>
      </c>
    </row>
    <row r="13" spans="3:7" x14ac:dyDescent="0.25">
      <c r="C13" s="969">
        <v>3.1080000000000001</v>
      </c>
      <c r="D13">
        <f t="shared" si="0"/>
        <v>108.0000000000001</v>
      </c>
      <c r="E13" t="str">
        <f t="shared" si="1"/>
        <v>1</v>
      </c>
      <c r="F13" t="str">
        <f t="shared" si="2"/>
        <v>08</v>
      </c>
      <c r="G13">
        <f t="shared" si="3"/>
        <v>81</v>
      </c>
    </row>
    <row r="14" spans="3:7" x14ac:dyDescent="0.25">
      <c r="C14" s="969">
        <v>5.109</v>
      </c>
      <c r="D14">
        <f t="shared" si="0"/>
        <v>108.99999999999999</v>
      </c>
      <c r="E14" t="str">
        <f t="shared" si="1"/>
        <v>1</v>
      </c>
      <c r="F14" t="str">
        <f t="shared" si="2"/>
        <v>09</v>
      </c>
      <c r="G14">
        <f t="shared" si="3"/>
        <v>91</v>
      </c>
    </row>
    <row r="15" spans="3:7" x14ac:dyDescent="0.25">
      <c r="C15" s="969">
        <v>2.11</v>
      </c>
      <c r="D15">
        <f t="shared" si="0"/>
        <v>109.99999999999987</v>
      </c>
      <c r="E15" t="str">
        <f t="shared" si="1"/>
        <v>1</v>
      </c>
      <c r="F15" t="str">
        <f t="shared" si="2"/>
        <v>10</v>
      </c>
      <c r="G15">
        <f t="shared" si="3"/>
        <v>101</v>
      </c>
    </row>
    <row r="16" spans="3:7" x14ac:dyDescent="0.25">
      <c r="C16" s="969">
        <v>1.111</v>
      </c>
      <c r="D16">
        <f t="shared" si="0"/>
        <v>110.99999999999999</v>
      </c>
      <c r="E16" t="str">
        <f t="shared" si="1"/>
        <v>1</v>
      </c>
      <c r="F16" t="str">
        <f t="shared" si="2"/>
        <v>11</v>
      </c>
      <c r="G16">
        <f t="shared" si="3"/>
        <v>111</v>
      </c>
    </row>
    <row r="17" spans="3:7" x14ac:dyDescent="0.25">
      <c r="C17" s="969">
        <v>1.2110000000000001</v>
      </c>
      <c r="D17">
        <f t="shared" si="0"/>
        <v>211.00000000000009</v>
      </c>
      <c r="E17" t="str">
        <f t="shared" si="1"/>
        <v>2</v>
      </c>
      <c r="F17" t="str">
        <f t="shared" si="2"/>
        <v>11</v>
      </c>
      <c r="G17">
        <f t="shared" si="3"/>
        <v>112</v>
      </c>
    </row>
    <row r="18" spans="3:7" x14ac:dyDescent="0.25">
      <c r="C18" s="969">
        <v>4.1120000000000001</v>
      </c>
      <c r="D18">
        <f t="shared" si="0"/>
        <v>112.0000000000001</v>
      </c>
      <c r="E18" t="str">
        <f t="shared" si="1"/>
        <v>1</v>
      </c>
      <c r="F18" t="str">
        <f t="shared" si="2"/>
        <v>12</v>
      </c>
      <c r="G18">
        <f t="shared" si="3"/>
        <v>121</v>
      </c>
    </row>
    <row r="19" spans="3:7" x14ac:dyDescent="0.25">
      <c r="C19" s="969">
        <v>3.113</v>
      </c>
      <c r="D19">
        <f t="shared" si="0"/>
        <v>112.99999999999999</v>
      </c>
      <c r="E19" t="str">
        <f t="shared" si="1"/>
        <v>1</v>
      </c>
      <c r="F19" t="str">
        <f t="shared" si="2"/>
        <v>13</v>
      </c>
      <c r="G19">
        <f t="shared" si="3"/>
        <v>131</v>
      </c>
    </row>
    <row r="20" spans="3:7" x14ac:dyDescent="0.25">
      <c r="C20" s="969">
        <v>3.2130000000000001</v>
      </c>
      <c r="D20">
        <f t="shared" si="0"/>
        <v>213.00000000000009</v>
      </c>
      <c r="E20" t="str">
        <f t="shared" si="1"/>
        <v>2</v>
      </c>
      <c r="F20" t="str">
        <f t="shared" si="2"/>
        <v>13</v>
      </c>
      <c r="G20">
        <f t="shared" si="3"/>
        <v>132</v>
      </c>
    </row>
    <row r="21" spans="3:7" x14ac:dyDescent="0.25">
      <c r="C21" s="969">
        <v>6.1139999999999999</v>
      </c>
      <c r="D21">
        <f t="shared" si="0"/>
        <v>113.99999999999989</v>
      </c>
      <c r="E21" t="str">
        <f t="shared" si="1"/>
        <v>1</v>
      </c>
      <c r="F21" t="str">
        <f t="shared" si="2"/>
        <v>14</v>
      </c>
      <c r="G21">
        <f t="shared" si="3"/>
        <v>141</v>
      </c>
    </row>
    <row r="22" spans="3:7" x14ac:dyDescent="0.25">
      <c r="C22" s="969">
        <v>5.1150000000000002</v>
      </c>
      <c r="D22">
        <f t="shared" si="0"/>
        <v>115.00000000000021</v>
      </c>
      <c r="E22" t="str">
        <f t="shared" si="1"/>
        <v>1</v>
      </c>
      <c r="F22" t="str">
        <f t="shared" si="2"/>
        <v>15</v>
      </c>
      <c r="G22">
        <f t="shared" si="3"/>
        <v>151</v>
      </c>
    </row>
    <row r="23" spans="3:7" x14ac:dyDescent="0.25">
      <c r="C23" s="969">
        <v>5.2149999999999999</v>
      </c>
      <c r="D23">
        <f t="shared" si="0"/>
        <v>214.99999999999986</v>
      </c>
      <c r="E23" t="str">
        <f t="shared" si="1"/>
        <v>2</v>
      </c>
      <c r="F23" t="str">
        <f t="shared" si="2"/>
        <v>15</v>
      </c>
      <c r="G23">
        <f t="shared" si="3"/>
        <v>152</v>
      </c>
    </row>
    <row r="24" spans="3:7" x14ac:dyDescent="0.25">
      <c r="C24" s="969">
        <v>2.1160000000000001</v>
      </c>
      <c r="D24">
        <f t="shared" si="0"/>
        <v>116.0000000000001</v>
      </c>
      <c r="E24" t="str">
        <f t="shared" si="1"/>
        <v>1</v>
      </c>
      <c r="F24" t="str">
        <f t="shared" si="2"/>
        <v>16</v>
      </c>
      <c r="G24">
        <f t="shared" si="3"/>
        <v>161</v>
      </c>
    </row>
    <row r="25" spans="3:7" x14ac:dyDescent="0.25">
      <c r="C25" s="969">
        <v>2.2160000000000002</v>
      </c>
      <c r="D25">
        <f t="shared" si="0"/>
        <v>216.0000000000002</v>
      </c>
      <c r="E25" t="str">
        <f t="shared" si="1"/>
        <v>2</v>
      </c>
      <c r="F25" t="str">
        <f t="shared" si="2"/>
        <v>16</v>
      </c>
      <c r="G25">
        <f t="shared" si="3"/>
        <v>162</v>
      </c>
    </row>
    <row r="26" spans="3:7" x14ac:dyDescent="0.25">
      <c r="C26" s="969">
        <v>1.117</v>
      </c>
      <c r="D26">
        <f t="shared" si="0"/>
        <v>117</v>
      </c>
      <c r="E26" t="str">
        <f t="shared" si="1"/>
        <v>1</v>
      </c>
      <c r="F26" t="str">
        <f t="shared" si="2"/>
        <v>17</v>
      </c>
      <c r="G26">
        <f t="shared" si="3"/>
        <v>171</v>
      </c>
    </row>
    <row r="27" spans="3:7" x14ac:dyDescent="0.25">
      <c r="C27" s="969">
        <v>1.2170000000000001</v>
      </c>
      <c r="D27">
        <f t="shared" si="0"/>
        <v>217.00000000000009</v>
      </c>
      <c r="E27" t="str">
        <f t="shared" si="1"/>
        <v>2</v>
      </c>
      <c r="F27" t="str">
        <f t="shared" si="2"/>
        <v>17</v>
      </c>
      <c r="G27">
        <f t="shared" si="3"/>
        <v>172</v>
      </c>
    </row>
    <row r="28" spans="3:7" x14ac:dyDescent="0.25">
      <c r="C28" s="969">
        <v>4.1180000000000003</v>
      </c>
      <c r="D28">
        <f t="shared" si="0"/>
        <v>118.00000000000033</v>
      </c>
      <c r="E28" t="str">
        <f t="shared" si="1"/>
        <v>1</v>
      </c>
      <c r="F28" t="str">
        <f t="shared" si="2"/>
        <v>18</v>
      </c>
      <c r="G28">
        <f t="shared" si="3"/>
        <v>181</v>
      </c>
    </row>
    <row r="29" spans="3:7" x14ac:dyDescent="0.25">
      <c r="C29" s="969">
        <v>4.218</v>
      </c>
      <c r="D29">
        <f t="shared" si="0"/>
        <v>217.99999999999997</v>
      </c>
      <c r="E29" t="str">
        <f t="shared" si="1"/>
        <v>2</v>
      </c>
      <c r="F29" t="str">
        <f t="shared" si="2"/>
        <v>18</v>
      </c>
      <c r="G29">
        <f t="shared" si="3"/>
        <v>182</v>
      </c>
    </row>
    <row r="30" spans="3:7" x14ac:dyDescent="0.25">
      <c r="C30" s="969">
        <v>3.1190000000000002</v>
      </c>
      <c r="D30">
        <f t="shared" si="0"/>
        <v>119.00000000000021</v>
      </c>
      <c r="E30" t="str">
        <f t="shared" si="1"/>
        <v>1</v>
      </c>
      <c r="F30" t="str">
        <f t="shared" si="2"/>
        <v>19</v>
      </c>
      <c r="G30">
        <f t="shared" si="3"/>
        <v>191</v>
      </c>
    </row>
    <row r="31" spans="3:7" x14ac:dyDescent="0.25">
      <c r="C31" s="969">
        <v>3.2189999999999999</v>
      </c>
      <c r="D31">
        <f t="shared" si="0"/>
        <v>218.99999999999986</v>
      </c>
      <c r="E31" t="str">
        <f t="shared" si="1"/>
        <v>2</v>
      </c>
      <c r="F31" t="str">
        <f t="shared" si="2"/>
        <v>19</v>
      </c>
      <c r="G31">
        <f t="shared" si="3"/>
        <v>192</v>
      </c>
    </row>
    <row r="32" spans="3:7" x14ac:dyDescent="0.25">
      <c r="C32" s="969">
        <v>6.12</v>
      </c>
      <c r="D32">
        <f t="shared" si="0"/>
        <v>120.00000000000011</v>
      </c>
      <c r="E32" t="str">
        <f t="shared" si="1"/>
        <v>1</v>
      </c>
      <c r="F32" t="str">
        <f t="shared" si="2"/>
        <v>20</v>
      </c>
      <c r="G32">
        <f t="shared" si="3"/>
        <v>201</v>
      </c>
    </row>
    <row r="33" spans="3:7" x14ac:dyDescent="0.25">
      <c r="C33" s="969">
        <v>6.22</v>
      </c>
      <c r="D33">
        <f t="shared" si="0"/>
        <v>219.99999999999974</v>
      </c>
      <c r="E33" t="str">
        <f t="shared" si="1"/>
        <v>2</v>
      </c>
      <c r="F33" t="str">
        <f t="shared" si="2"/>
        <v>20</v>
      </c>
      <c r="G33">
        <f t="shared" si="3"/>
        <v>202</v>
      </c>
    </row>
    <row r="34" spans="3:7" x14ac:dyDescent="0.25">
      <c r="C34" s="969">
        <v>5.1210000000000004</v>
      </c>
      <c r="D34">
        <f t="shared" si="0"/>
        <v>121.00000000000044</v>
      </c>
      <c r="E34" t="str">
        <f t="shared" si="1"/>
        <v>1</v>
      </c>
      <c r="F34" t="str">
        <f t="shared" si="2"/>
        <v>21</v>
      </c>
      <c r="G34">
        <f t="shared" si="3"/>
        <v>211</v>
      </c>
    </row>
    <row r="35" spans="3:7" x14ac:dyDescent="0.25">
      <c r="C35" s="969">
        <v>5.2210000000000001</v>
      </c>
      <c r="D35">
        <f t="shared" si="0"/>
        <v>221.00000000000009</v>
      </c>
      <c r="E35" t="str">
        <f t="shared" si="1"/>
        <v>2</v>
      </c>
      <c r="F35" t="str">
        <f t="shared" si="2"/>
        <v>21</v>
      </c>
      <c r="G35">
        <f t="shared" si="3"/>
        <v>212</v>
      </c>
    </row>
    <row r="36" spans="3:7" x14ac:dyDescent="0.25">
      <c r="C36" s="969">
        <v>2.1219999999999999</v>
      </c>
      <c r="D36">
        <f t="shared" si="0"/>
        <v>121.99999999999989</v>
      </c>
      <c r="E36" t="str">
        <f t="shared" si="1"/>
        <v>1</v>
      </c>
      <c r="F36" t="str">
        <f t="shared" si="2"/>
        <v>22</v>
      </c>
      <c r="G36">
        <f t="shared" si="3"/>
        <v>221</v>
      </c>
    </row>
    <row r="37" spans="3:7" x14ac:dyDescent="0.25">
      <c r="C37" s="969">
        <v>2.222</v>
      </c>
      <c r="D37">
        <f t="shared" si="0"/>
        <v>221.99999999999997</v>
      </c>
      <c r="E37" t="str">
        <f t="shared" si="1"/>
        <v>2</v>
      </c>
      <c r="F37" t="str">
        <f t="shared" si="2"/>
        <v>22</v>
      </c>
      <c r="G37">
        <f t="shared" si="3"/>
        <v>222</v>
      </c>
    </row>
    <row r="38" spans="3:7" x14ac:dyDescent="0.25">
      <c r="C38" s="969">
        <v>1.123</v>
      </c>
      <c r="D38">
        <f t="shared" ref="D38:D69" si="4">MOD(C38,1)*1000</f>
        <v>123</v>
      </c>
      <c r="E38" t="str">
        <f t="shared" ref="E38:E69" si="5">LEFT(D38,1)</f>
        <v>1</v>
      </c>
      <c r="F38" t="str">
        <f t="shared" ref="F38:F69" si="6">RIGHT(D38,2)</f>
        <v>23</v>
      </c>
      <c r="G38">
        <f t="shared" ref="G38:G69" si="7">VALUE(_xlfn.CONCAT("0.",F38,E38))*1000</f>
        <v>231</v>
      </c>
    </row>
    <row r="39" spans="3:7" x14ac:dyDescent="0.25">
      <c r="C39" s="969">
        <v>1.2230000000000001</v>
      </c>
      <c r="D39">
        <f t="shared" si="4"/>
        <v>223.00000000000009</v>
      </c>
      <c r="E39" t="str">
        <f t="shared" si="5"/>
        <v>2</v>
      </c>
      <c r="F39" t="str">
        <f t="shared" si="6"/>
        <v>23</v>
      </c>
      <c r="G39">
        <f t="shared" si="7"/>
        <v>232</v>
      </c>
    </row>
    <row r="40" spans="3:7" x14ac:dyDescent="0.25">
      <c r="C40" s="969">
        <v>4.1239999999999997</v>
      </c>
      <c r="D40">
        <f t="shared" si="4"/>
        <v>123.99999999999966</v>
      </c>
      <c r="E40" t="str">
        <f t="shared" si="5"/>
        <v>1</v>
      </c>
      <c r="F40" t="str">
        <f t="shared" si="6"/>
        <v>24</v>
      </c>
      <c r="G40">
        <f t="shared" si="7"/>
        <v>241</v>
      </c>
    </row>
    <row r="41" spans="3:7" x14ac:dyDescent="0.25">
      <c r="C41" s="969">
        <v>4.2240000000000002</v>
      </c>
      <c r="D41">
        <f t="shared" si="4"/>
        <v>224.0000000000002</v>
      </c>
      <c r="E41" t="str">
        <f t="shared" si="5"/>
        <v>2</v>
      </c>
      <c r="F41" t="str">
        <f t="shared" si="6"/>
        <v>24</v>
      </c>
      <c r="G41">
        <f t="shared" si="7"/>
        <v>242</v>
      </c>
    </row>
    <row r="42" spans="3:7" x14ac:dyDescent="0.25">
      <c r="C42" s="969">
        <v>3.125</v>
      </c>
      <c r="D42">
        <f t="shared" si="4"/>
        <v>125</v>
      </c>
      <c r="E42" t="str">
        <f t="shared" si="5"/>
        <v>1</v>
      </c>
      <c r="F42" t="str">
        <f t="shared" si="6"/>
        <v>25</v>
      </c>
      <c r="G42">
        <f t="shared" si="7"/>
        <v>251</v>
      </c>
    </row>
    <row r="43" spans="3:7" x14ac:dyDescent="0.25">
      <c r="C43" s="969">
        <v>3.2250000000000001</v>
      </c>
      <c r="D43">
        <f t="shared" si="4"/>
        <v>225.00000000000009</v>
      </c>
      <c r="E43" t="str">
        <f t="shared" si="5"/>
        <v>2</v>
      </c>
      <c r="F43" t="str">
        <f t="shared" si="6"/>
        <v>25</v>
      </c>
      <c r="G43">
        <f t="shared" si="7"/>
        <v>252</v>
      </c>
    </row>
    <row r="44" spans="3:7" x14ac:dyDescent="0.25">
      <c r="C44" s="969">
        <v>6.1260000000000003</v>
      </c>
      <c r="D44">
        <f t="shared" si="4"/>
        <v>126.00000000000034</v>
      </c>
      <c r="E44" t="str">
        <f t="shared" si="5"/>
        <v>1</v>
      </c>
      <c r="F44" t="str">
        <f t="shared" si="6"/>
        <v>26</v>
      </c>
      <c r="G44">
        <f t="shared" si="7"/>
        <v>261</v>
      </c>
    </row>
    <row r="45" spans="3:7" x14ac:dyDescent="0.25">
      <c r="C45" s="969">
        <v>6.226</v>
      </c>
      <c r="D45">
        <f t="shared" si="4"/>
        <v>225.99999999999997</v>
      </c>
      <c r="E45" t="str">
        <f t="shared" si="5"/>
        <v>2</v>
      </c>
      <c r="F45" t="str">
        <f t="shared" si="6"/>
        <v>26</v>
      </c>
      <c r="G45">
        <f t="shared" si="7"/>
        <v>262</v>
      </c>
    </row>
    <row r="46" spans="3:7" x14ac:dyDescent="0.25">
      <c r="C46" s="969">
        <v>5.1269999999999998</v>
      </c>
      <c r="D46">
        <f t="shared" si="4"/>
        <v>126.99999999999977</v>
      </c>
      <c r="E46" t="str">
        <f t="shared" si="5"/>
        <v>1</v>
      </c>
      <c r="F46" t="str">
        <f t="shared" si="6"/>
        <v>27</v>
      </c>
      <c r="G46">
        <f t="shared" si="7"/>
        <v>271</v>
      </c>
    </row>
    <row r="47" spans="3:7" x14ac:dyDescent="0.25">
      <c r="C47" s="969">
        <v>5.2270000000000003</v>
      </c>
      <c r="D47">
        <f t="shared" si="4"/>
        <v>227.00000000000031</v>
      </c>
      <c r="E47" t="str">
        <f t="shared" si="5"/>
        <v>2</v>
      </c>
      <c r="F47" t="str">
        <f t="shared" si="6"/>
        <v>27</v>
      </c>
      <c r="G47">
        <f t="shared" si="7"/>
        <v>272</v>
      </c>
    </row>
    <row r="48" spans="3:7" x14ac:dyDescent="0.25">
      <c r="C48" s="969">
        <v>2.1280000000000001</v>
      </c>
      <c r="D48">
        <f t="shared" si="4"/>
        <v>128.00000000000011</v>
      </c>
      <c r="E48" t="str">
        <f t="shared" si="5"/>
        <v>1</v>
      </c>
      <c r="F48" t="str">
        <f t="shared" si="6"/>
        <v>28</v>
      </c>
      <c r="G48">
        <f t="shared" si="7"/>
        <v>281</v>
      </c>
    </row>
    <row r="49" spans="3:7" x14ac:dyDescent="0.25">
      <c r="C49" s="969">
        <v>2.2280000000000002</v>
      </c>
      <c r="D49">
        <f t="shared" si="4"/>
        <v>228.0000000000002</v>
      </c>
      <c r="E49" t="str">
        <f t="shared" si="5"/>
        <v>2</v>
      </c>
      <c r="F49" t="str">
        <f t="shared" si="6"/>
        <v>28</v>
      </c>
      <c r="G49">
        <f t="shared" si="7"/>
        <v>282</v>
      </c>
    </row>
    <row r="50" spans="3:7" x14ac:dyDescent="0.25">
      <c r="C50" s="969">
        <v>1.129</v>
      </c>
      <c r="D50">
        <f t="shared" si="4"/>
        <v>129</v>
      </c>
      <c r="E50" t="str">
        <f t="shared" si="5"/>
        <v>1</v>
      </c>
      <c r="F50" t="str">
        <f t="shared" si="6"/>
        <v>29</v>
      </c>
      <c r="G50">
        <f t="shared" si="7"/>
        <v>291</v>
      </c>
    </row>
    <row r="51" spans="3:7" x14ac:dyDescent="0.25">
      <c r="C51" s="969">
        <v>1.2290000000000001</v>
      </c>
      <c r="D51">
        <f t="shared" si="4"/>
        <v>229.00000000000009</v>
      </c>
      <c r="E51" t="str">
        <f t="shared" si="5"/>
        <v>2</v>
      </c>
      <c r="F51" t="str">
        <f t="shared" si="6"/>
        <v>29</v>
      </c>
      <c r="G51">
        <f t="shared" si="7"/>
        <v>292</v>
      </c>
    </row>
    <row r="52" spans="3:7" x14ac:dyDescent="0.25">
      <c r="C52" s="969">
        <v>4.13</v>
      </c>
      <c r="D52">
        <f t="shared" si="4"/>
        <v>129.99999999999989</v>
      </c>
      <c r="E52" t="str">
        <f t="shared" si="5"/>
        <v>1</v>
      </c>
      <c r="F52" t="str">
        <f t="shared" si="6"/>
        <v>30</v>
      </c>
      <c r="G52">
        <f t="shared" si="7"/>
        <v>301</v>
      </c>
    </row>
    <row r="53" spans="3:7" x14ac:dyDescent="0.25">
      <c r="C53" s="969">
        <v>4.2300000000000004</v>
      </c>
      <c r="D53">
        <f t="shared" si="4"/>
        <v>230.00000000000043</v>
      </c>
      <c r="E53" t="str">
        <f t="shared" si="5"/>
        <v>2</v>
      </c>
      <c r="F53" t="str">
        <f t="shared" si="6"/>
        <v>30</v>
      </c>
      <c r="G53">
        <f t="shared" si="7"/>
        <v>302</v>
      </c>
    </row>
    <row r="54" spans="3:7" x14ac:dyDescent="0.25">
      <c r="C54" s="969">
        <v>3.1309999999999998</v>
      </c>
      <c r="D54">
        <f t="shared" si="4"/>
        <v>130.99999999999977</v>
      </c>
      <c r="E54" t="str">
        <f t="shared" si="5"/>
        <v>1</v>
      </c>
      <c r="F54" t="str">
        <f t="shared" si="6"/>
        <v>31</v>
      </c>
      <c r="G54">
        <f t="shared" si="7"/>
        <v>311</v>
      </c>
    </row>
    <row r="55" spans="3:7" x14ac:dyDescent="0.25">
      <c r="C55" s="969">
        <v>3.2309999999999999</v>
      </c>
      <c r="D55">
        <f t="shared" si="4"/>
        <v>230.99999999999989</v>
      </c>
      <c r="E55" t="str">
        <f t="shared" si="5"/>
        <v>2</v>
      </c>
      <c r="F55" t="str">
        <f t="shared" si="6"/>
        <v>31</v>
      </c>
      <c r="G55">
        <f t="shared" si="7"/>
        <v>312</v>
      </c>
    </row>
    <row r="56" spans="3:7" x14ac:dyDescent="0.25">
      <c r="C56" s="969">
        <v>6.1319999999999997</v>
      </c>
      <c r="D56">
        <f t="shared" si="4"/>
        <v>131.99999999999966</v>
      </c>
      <c r="E56" t="str">
        <f t="shared" si="5"/>
        <v>1</v>
      </c>
      <c r="F56" t="str">
        <f t="shared" si="6"/>
        <v>32</v>
      </c>
      <c r="G56">
        <f t="shared" si="7"/>
        <v>321</v>
      </c>
    </row>
    <row r="57" spans="3:7" x14ac:dyDescent="0.25">
      <c r="C57" s="969">
        <v>6.2320000000000002</v>
      </c>
      <c r="D57">
        <f t="shared" si="4"/>
        <v>232.0000000000002</v>
      </c>
      <c r="E57" t="str">
        <f t="shared" si="5"/>
        <v>2</v>
      </c>
      <c r="F57" t="str">
        <f t="shared" si="6"/>
        <v>32</v>
      </c>
      <c r="G57">
        <f t="shared" si="7"/>
        <v>322</v>
      </c>
    </row>
    <row r="58" spans="3:7" x14ac:dyDescent="0.25">
      <c r="C58" s="969">
        <v>5.133</v>
      </c>
      <c r="D58">
        <f t="shared" si="4"/>
        <v>133</v>
      </c>
      <c r="E58" t="str">
        <f t="shared" si="5"/>
        <v>1</v>
      </c>
      <c r="F58" t="str">
        <f t="shared" si="6"/>
        <v>33</v>
      </c>
      <c r="G58">
        <f t="shared" si="7"/>
        <v>331</v>
      </c>
    </row>
    <row r="59" spans="3:7" x14ac:dyDescent="0.25">
      <c r="C59" s="969">
        <v>5.2329999999999997</v>
      </c>
      <c r="D59">
        <f t="shared" si="4"/>
        <v>232.99999999999966</v>
      </c>
      <c r="E59" t="str">
        <f t="shared" si="5"/>
        <v>2</v>
      </c>
      <c r="F59" t="str">
        <f t="shared" si="6"/>
        <v>33</v>
      </c>
      <c r="G59">
        <f t="shared" si="7"/>
        <v>332</v>
      </c>
    </row>
    <row r="60" spans="3:7" x14ac:dyDescent="0.25">
      <c r="C60" s="969">
        <v>2.1339999999999999</v>
      </c>
      <c r="D60">
        <f t="shared" si="4"/>
        <v>133.99999999999989</v>
      </c>
      <c r="E60" t="str">
        <f t="shared" si="5"/>
        <v>1</v>
      </c>
      <c r="F60" t="str">
        <f t="shared" si="6"/>
        <v>34</v>
      </c>
      <c r="G60">
        <f t="shared" si="7"/>
        <v>341</v>
      </c>
    </row>
    <row r="61" spans="3:7" x14ac:dyDescent="0.25">
      <c r="C61" s="969">
        <v>2.234</v>
      </c>
      <c r="D61">
        <f t="shared" si="4"/>
        <v>234</v>
      </c>
      <c r="E61" t="str">
        <f t="shared" si="5"/>
        <v>2</v>
      </c>
      <c r="F61" t="str">
        <f t="shared" si="6"/>
        <v>34</v>
      </c>
      <c r="G61">
        <f t="shared" si="7"/>
        <v>342</v>
      </c>
    </row>
    <row r="62" spans="3:7" x14ac:dyDescent="0.25">
      <c r="C62" s="969">
        <v>1.135</v>
      </c>
      <c r="D62">
        <f t="shared" si="4"/>
        <v>135</v>
      </c>
      <c r="E62" t="str">
        <f t="shared" si="5"/>
        <v>1</v>
      </c>
      <c r="F62" t="str">
        <f t="shared" si="6"/>
        <v>35</v>
      </c>
      <c r="G62">
        <f t="shared" si="7"/>
        <v>351</v>
      </c>
    </row>
    <row r="63" spans="3:7" x14ac:dyDescent="0.25">
      <c r="C63" s="969">
        <v>1.2350000000000001</v>
      </c>
      <c r="D63">
        <f t="shared" si="4"/>
        <v>235.00000000000009</v>
      </c>
      <c r="E63" t="str">
        <f t="shared" si="5"/>
        <v>2</v>
      </c>
      <c r="F63" t="str">
        <f t="shared" si="6"/>
        <v>35</v>
      </c>
      <c r="G63">
        <f t="shared" si="7"/>
        <v>352</v>
      </c>
    </row>
    <row r="64" spans="3:7" x14ac:dyDescent="0.25">
      <c r="C64" s="969">
        <v>4.1360000000000001</v>
      </c>
      <c r="D64">
        <f t="shared" si="4"/>
        <v>136.00000000000011</v>
      </c>
      <c r="E64" t="str">
        <f t="shared" si="5"/>
        <v>1</v>
      </c>
      <c r="F64" t="str">
        <f t="shared" si="6"/>
        <v>36</v>
      </c>
      <c r="G64">
        <f t="shared" si="7"/>
        <v>361</v>
      </c>
    </row>
    <row r="65" spans="3:7" x14ac:dyDescent="0.25">
      <c r="C65" s="969">
        <v>4.2359999999999998</v>
      </c>
      <c r="D65">
        <f t="shared" si="4"/>
        <v>235.99999999999977</v>
      </c>
      <c r="E65" t="str">
        <f t="shared" si="5"/>
        <v>2</v>
      </c>
      <c r="F65" t="str">
        <f t="shared" si="6"/>
        <v>36</v>
      </c>
      <c r="G65">
        <f t="shared" si="7"/>
        <v>362</v>
      </c>
    </row>
    <row r="66" spans="3:7" x14ac:dyDescent="0.25">
      <c r="C66" s="969">
        <v>3.137</v>
      </c>
      <c r="D66">
        <f t="shared" si="4"/>
        <v>137</v>
      </c>
      <c r="E66" t="str">
        <f t="shared" si="5"/>
        <v>1</v>
      </c>
      <c r="F66" t="str">
        <f t="shared" si="6"/>
        <v>37</v>
      </c>
      <c r="G66">
        <f t="shared" si="7"/>
        <v>371</v>
      </c>
    </row>
    <row r="67" spans="3:7" x14ac:dyDescent="0.25">
      <c r="C67" s="969">
        <v>3.2370000000000001</v>
      </c>
      <c r="D67">
        <f t="shared" si="4"/>
        <v>237.00000000000011</v>
      </c>
      <c r="E67" t="str">
        <f t="shared" si="5"/>
        <v>2</v>
      </c>
      <c r="F67" t="str">
        <f t="shared" si="6"/>
        <v>37</v>
      </c>
      <c r="G67">
        <f t="shared" si="7"/>
        <v>372</v>
      </c>
    </row>
    <row r="68" spans="3:7" x14ac:dyDescent="0.25">
      <c r="C68" s="969">
        <v>6.1379999999999999</v>
      </c>
      <c r="D68">
        <f t="shared" si="4"/>
        <v>137.99999999999989</v>
      </c>
      <c r="E68" t="str">
        <f t="shared" si="5"/>
        <v>1</v>
      </c>
      <c r="F68" t="str">
        <f t="shared" si="6"/>
        <v>38</v>
      </c>
      <c r="G68">
        <f t="shared" si="7"/>
        <v>381</v>
      </c>
    </row>
    <row r="69" spans="3:7" x14ac:dyDescent="0.25">
      <c r="C69" s="969">
        <v>6.2380000000000004</v>
      </c>
      <c r="D69">
        <f t="shared" si="4"/>
        <v>238.00000000000043</v>
      </c>
      <c r="E69" t="str">
        <f t="shared" si="5"/>
        <v>2</v>
      </c>
      <c r="F69" t="str">
        <f t="shared" si="6"/>
        <v>38</v>
      </c>
      <c r="G69">
        <f t="shared" si="7"/>
        <v>382</v>
      </c>
    </row>
    <row r="70" spans="3:7" x14ac:dyDescent="0.25">
      <c r="C70" s="969">
        <v>5.1390000000000002</v>
      </c>
      <c r="D70">
        <f t="shared" ref="D70:D85" si="8">MOD(C70,1)*1000</f>
        <v>139.00000000000023</v>
      </c>
      <c r="E70" t="str">
        <f t="shared" ref="E70:E85" si="9">LEFT(D70,1)</f>
        <v>1</v>
      </c>
      <c r="F70" t="str">
        <f t="shared" ref="F70:F85" si="10">RIGHT(D70,2)</f>
        <v>39</v>
      </c>
      <c r="G70">
        <f t="shared" ref="G70:G85" si="11">VALUE(_xlfn.CONCAT("0.",F70,E70))*1000</f>
        <v>391</v>
      </c>
    </row>
    <row r="71" spans="3:7" x14ac:dyDescent="0.25">
      <c r="C71" s="969">
        <v>5.2389999999999999</v>
      </c>
      <c r="D71">
        <f t="shared" si="8"/>
        <v>238.99999999999989</v>
      </c>
      <c r="E71" t="str">
        <f t="shared" si="9"/>
        <v>2</v>
      </c>
      <c r="F71" t="str">
        <f t="shared" si="10"/>
        <v>39</v>
      </c>
      <c r="G71">
        <f t="shared" si="11"/>
        <v>392</v>
      </c>
    </row>
    <row r="72" spans="3:7" x14ac:dyDescent="0.25">
      <c r="C72" s="969">
        <v>2.14</v>
      </c>
      <c r="D72">
        <f t="shared" si="8"/>
        <v>140.00000000000011</v>
      </c>
      <c r="E72" t="str">
        <f t="shared" si="9"/>
        <v>1</v>
      </c>
      <c r="F72" t="str">
        <f t="shared" si="10"/>
        <v>40</v>
      </c>
      <c r="G72">
        <f t="shared" si="11"/>
        <v>401</v>
      </c>
    </row>
    <row r="73" spans="3:7" x14ac:dyDescent="0.25">
      <c r="C73" s="969">
        <v>2.2400000000000002</v>
      </c>
      <c r="D73">
        <f t="shared" si="8"/>
        <v>240.00000000000023</v>
      </c>
      <c r="E73" t="str">
        <f t="shared" si="9"/>
        <v>2</v>
      </c>
      <c r="F73" t="str">
        <f t="shared" si="10"/>
        <v>40</v>
      </c>
      <c r="G73">
        <f t="shared" si="11"/>
        <v>402</v>
      </c>
    </row>
    <row r="74" spans="3:7" x14ac:dyDescent="0.25">
      <c r="C74" s="969">
        <v>1.141</v>
      </c>
      <c r="D74">
        <f t="shared" si="8"/>
        <v>141</v>
      </c>
      <c r="E74" t="str">
        <f t="shared" si="9"/>
        <v>1</v>
      </c>
      <c r="F74" t="str">
        <f t="shared" si="10"/>
        <v>41</v>
      </c>
      <c r="G74">
        <f t="shared" si="11"/>
        <v>411</v>
      </c>
    </row>
    <row r="75" spans="3:7" x14ac:dyDescent="0.25">
      <c r="C75" s="969">
        <v>1.2410000000000001</v>
      </c>
      <c r="D75">
        <f t="shared" si="8"/>
        <v>241.00000000000011</v>
      </c>
      <c r="E75" t="str">
        <f t="shared" si="9"/>
        <v>2</v>
      </c>
      <c r="F75" t="str">
        <f t="shared" si="10"/>
        <v>41</v>
      </c>
      <c r="G75">
        <f t="shared" si="11"/>
        <v>412</v>
      </c>
    </row>
    <row r="76" spans="3:7" x14ac:dyDescent="0.25">
      <c r="C76" s="969">
        <v>4.1420000000000003</v>
      </c>
      <c r="D76">
        <f t="shared" si="8"/>
        <v>142.00000000000034</v>
      </c>
      <c r="E76" t="str">
        <f t="shared" si="9"/>
        <v>1</v>
      </c>
      <c r="F76" t="str">
        <f t="shared" si="10"/>
        <v>42</v>
      </c>
      <c r="G76">
        <f t="shared" si="11"/>
        <v>421</v>
      </c>
    </row>
    <row r="77" spans="3:7" x14ac:dyDescent="0.25">
      <c r="C77" s="969">
        <v>4.242</v>
      </c>
      <c r="D77">
        <f t="shared" si="8"/>
        <v>242</v>
      </c>
      <c r="E77" t="str">
        <f t="shared" si="9"/>
        <v>2</v>
      </c>
      <c r="F77" t="str">
        <f t="shared" si="10"/>
        <v>42</v>
      </c>
      <c r="G77">
        <f t="shared" si="11"/>
        <v>422</v>
      </c>
    </row>
    <row r="78" spans="3:7" x14ac:dyDescent="0.25">
      <c r="C78" s="969">
        <v>3.1429999999999998</v>
      </c>
      <c r="D78">
        <f t="shared" si="8"/>
        <v>142.9999999999998</v>
      </c>
      <c r="E78" t="str">
        <f t="shared" si="9"/>
        <v>1</v>
      </c>
      <c r="F78" t="str">
        <f t="shared" si="10"/>
        <v>43</v>
      </c>
      <c r="G78">
        <f t="shared" si="11"/>
        <v>431</v>
      </c>
    </row>
    <row r="79" spans="3:7" x14ac:dyDescent="0.25">
      <c r="C79" s="969">
        <v>3.2429999999999999</v>
      </c>
      <c r="D79">
        <f t="shared" si="8"/>
        <v>242.99999999999989</v>
      </c>
      <c r="E79" t="str">
        <f t="shared" si="9"/>
        <v>2</v>
      </c>
      <c r="F79" t="str">
        <f t="shared" si="10"/>
        <v>43</v>
      </c>
      <c r="G79">
        <f t="shared" si="11"/>
        <v>432</v>
      </c>
    </row>
    <row r="80" spans="3:7" x14ac:dyDescent="0.25">
      <c r="C80" s="969">
        <v>6.1440000000000001</v>
      </c>
      <c r="D80">
        <f t="shared" si="8"/>
        <v>144.00000000000011</v>
      </c>
      <c r="E80" t="str">
        <f t="shared" si="9"/>
        <v>1</v>
      </c>
      <c r="F80" t="str">
        <f t="shared" si="10"/>
        <v>44</v>
      </c>
      <c r="G80">
        <f t="shared" si="11"/>
        <v>441</v>
      </c>
    </row>
    <row r="81" spans="3:7" x14ac:dyDescent="0.25">
      <c r="C81" s="969">
        <v>6.2439999999999998</v>
      </c>
      <c r="D81">
        <f t="shared" si="8"/>
        <v>243.99999999999977</v>
      </c>
      <c r="E81" t="str">
        <f t="shared" si="9"/>
        <v>2</v>
      </c>
      <c r="F81" t="str">
        <f t="shared" si="10"/>
        <v>44</v>
      </c>
      <c r="G81">
        <f t="shared" si="11"/>
        <v>442</v>
      </c>
    </row>
    <row r="82" spans="3:7" x14ac:dyDescent="0.25">
      <c r="C82" s="969">
        <v>5.1449999999999996</v>
      </c>
      <c r="D82">
        <f t="shared" si="8"/>
        <v>144.99999999999957</v>
      </c>
      <c r="E82" t="str">
        <f t="shared" si="9"/>
        <v>1</v>
      </c>
      <c r="F82" t="str">
        <f t="shared" si="10"/>
        <v>45</v>
      </c>
      <c r="G82">
        <f t="shared" si="11"/>
        <v>451</v>
      </c>
    </row>
    <row r="83" spans="3:7" x14ac:dyDescent="0.25">
      <c r="C83" s="969">
        <v>5.2450000000000001</v>
      </c>
      <c r="D83">
        <f t="shared" si="8"/>
        <v>245.00000000000011</v>
      </c>
      <c r="E83" t="str">
        <f t="shared" si="9"/>
        <v>2</v>
      </c>
      <c r="F83" t="str">
        <f t="shared" si="10"/>
        <v>45</v>
      </c>
      <c r="G83">
        <f t="shared" si="11"/>
        <v>452</v>
      </c>
    </row>
    <row r="84" spans="3:7" x14ac:dyDescent="0.25">
      <c r="C84" s="969">
        <v>2.1459999999999999</v>
      </c>
      <c r="D84">
        <f t="shared" si="8"/>
        <v>145.99999999999991</v>
      </c>
      <c r="E84" t="str">
        <f t="shared" si="9"/>
        <v>1</v>
      </c>
      <c r="F84" t="str">
        <f t="shared" si="10"/>
        <v>46</v>
      </c>
      <c r="G84">
        <f t="shared" si="11"/>
        <v>461</v>
      </c>
    </row>
    <row r="85" spans="3:7" x14ac:dyDescent="0.25">
      <c r="C85" s="969">
        <v>2.246</v>
      </c>
      <c r="D85">
        <f t="shared" si="8"/>
        <v>246</v>
      </c>
      <c r="E85" t="str">
        <f t="shared" si="9"/>
        <v>2</v>
      </c>
      <c r="F85" t="str">
        <f t="shared" si="10"/>
        <v>46</v>
      </c>
      <c r="G85">
        <f t="shared" si="11"/>
        <v>462</v>
      </c>
    </row>
  </sheetData>
  <sortState xmlns:xlrd2="http://schemas.microsoft.com/office/spreadsheetml/2017/richdata2" ref="C6:G85">
    <sortCondition ref="G6:G85"/>
  </sortState>
  <conditionalFormatting sqref="C6:C85">
    <cfRule type="cellIs" dxfId="29" priority="1" stopIfTrue="1" operator="between">
      <formula>9</formula>
      <formula>9.99</formula>
    </cfRule>
    <cfRule type="cellIs" dxfId="28" priority="2" stopIfTrue="1" operator="between">
      <formula>8</formula>
      <formula>8.99</formula>
    </cfRule>
    <cfRule type="cellIs" dxfId="27" priority="3" stopIfTrue="1" operator="between">
      <formula>7</formula>
      <formula>7.99</formula>
    </cfRule>
    <cfRule type="cellIs" dxfId="26" priority="4" stopIfTrue="1" operator="between">
      <formula>6</formula>
      <formula>6.99</formula>
    </cfRule>
    <cfRule type="cellIs" dxfId="25" priority="5" stopIfTrue="1" operator="between">
      <formula>5</formula>
      <formula>5.99</formula>
    </cfRule>
    <cfRule type="cellIs" dxfId="24" priority="6" stopIfTrue="1" operator="between">
      <formula>4</formula>
      <formula>4.99</formula>
    </cfRule>
    <cfRule type="cellIs" dxfId="23" priority="7" stopIfTrue="1" operator="between">
      <formula>3</formula>
      <formula>3.99</formula>
    </cfRule>
    <cfRule type="cellIs" dxfId="22" priority="8" stopIfTrue="1" operator="between">
      <formula>2</formula>
      <formula>2.99</formula>
    </cfRule>
    <cfRule type="cellIs" dxfId="21" priority="9" stopIfTrue="1" operator="between">
      <formula>1</formula>
      <formula>1.99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Q1" sqref="Q1"/>
    </sheetView>
  </sheetViews>
  <sheetFormatPr defaultRowHeight="15" x14ac:dyDescent="0.25"/>
  <cols>
    <col min="1" max="10" width="9.7109375" customWidth="1"/>
    <col min="11" max="11" width="17.7109375" customWidth="1"/>
    <col min="12" max="12" width="13.7109375" customWidth="1"/>
    <col min="13" max="13" width="9.7109375" style="373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373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1181" t="str">
        <f>CONCATENATE(Settings!$C$19," ",Settings!$B$28)</f>
        <v>10.625 2746r00</v>
      </c>
      <c r="D1" s="1181"/>
      <c r="E1" s="1181"/>
      <c r="F1" s="1181"/>
      <c r="G1" s="1181"/>
      <c r="H1" s="1181"/>
      <c r="I1" s="1181"/>
      <c r="J1" s="1181"/>
      <c r="K1" s="1181"/>
      <c r="M1" s="103" t="s">
        <v>310</v>
      </c>
      <c r="N1" s="1378" t="s">
        <v>312</v>
      </c>
      <c r="O1" s="1378"/>
      <c r="P1" s="103">
        <v>4</v>
      </c>
      <c r="V1" s="103"/>
      <c r="W1" s="1"/>
      <c r="X1" s="141">
        <f>IF(M1="Y",Assy.Model!Y8,0)+(AS5*1)</f>
        <v>0</v>
      </c>
      <c r="Y1" s="141">
        <f>(AS5*2)</f>
        <v>0</v>
      </c>
      <c r="Z1" s="33" t="s">
        <v>311</v>
      </c>
      <c r="AK1" s="1"/>
      <c r="AL1" s="1"/>
      <c r="AW1" s="486"/>
      <c r="AX1" s="486"/>
      <c r="AY1" s="486"/>
      <c r="AZ1" s="486"/>
      <c r="BA1" s="486"/>
      <c r="BB1" s="486"/>
      <c r="BC1" s="486"/>
      <c r="IF1" s="31"/>
      <c r="IG1" s="31"/>
      <c r="IL1" s="31"/>
      <c r="IM1" s="323"/>
      <c r="JA1" s="82"/>
    </row>
    <row r="2" spans="1:265" ht="15" customHeight="1" thickBot="1" x14ac:dyDescent="0.3">
      <c r="B2" s="1387" t="str">
        <f>Settings!B28</f>
        <v>2746r00</v>
      </c>
      <c r="C2" s="1388"/>
      <c r="D2" s="1388"/>
      <c r="E2" s="1388"/>
      <c r="F2" s="1388"/>
      <c r="G2" s="1388"/>
      <c r="H2" s="1388"/>
      <c r="I2" s="1388"/>
      <c r="J2" s="1388"/>
      <c r="K2" s="1389"/>
      <c r="L2" s="1047" t="str" cm="1">
        <f t="array" ref="L2">IF(OR($K$9:$K$150="Undefined"),"Undefined Element","")</f>
        <v/>
      </c>
      <c r="M2" s="1384" t="s">
        <v>0</v>
      </c>
      <c r="N2" s="1159" t="s">
        <v>1</v>
      </c>
      <c r="O2" s="1160"/>
      <c r="P2" s="1160"/>
      <c r="Q2" s="1160"/>
      <c r="R2" s="1160"/>
      <c r="S2" s="1160"/>
      <c r="T2" s="1160"/>
      <c r="U2" s="1160"/>
      <c r="V2" s="1160"/>
      <c r="W2" s="1160"/>
      <c r="X2" s="1160"/>
      <c r="Y2" s="1234"/>
      <c r="Z2" s="1159" t="s">
        <v>2</v>
      </c>
      <c r="AA2" s="1160"/>
      <c r="AB2" s="1160"/>
      <c r="AC2" s="1160"/>
      <c r="AD2" s="1160"/>
      <c r="AE2" s="1160"/>
      <c r="AF2" s="1160"/>
      <c r="AG2" s="1160"/>
      <c r="AH2" s="1160"/>
      <c r="AI2" s="1160"/>
      <c r="AJ2" s="1160"/>
      <c r="AK2" s="1160"/>
      <c r="AL2" s="1160"/>
      <c r="AM2" s="1160"/>
      <c r="AN2" s="1160"/>
      <c r="AO2" s="1160"/>
      <c r="AP2" s="1160"/>
      <c r="AQ2" s="1161"/>
      <c r="AS2" s="1240" t="s">
        <v>44</v>
      </c>
      <c r="AT2" s="1241"/>
      <c r="AV2" s="1400" t="str">
        <f>M2</f>
        <v>CS-Name</v>
      </c>
      <c r="AW2" s="1414"/>
      <c r="AX2" s="1414"/>
      <c r="AY2" s="1414"/>
      <c r="AZ2" s="1414"/>
      <c r="BA2" s="1414"/>
      <c r="BB2" s="1414"/>
      <c r="BC2" s="1415"/>
      <c r="BF2" s="1407" t="s">
        <v>313</v>
      </c>
      <c r="BG2" s="1408"/>
      <c r="BH2" s="1408"/>
      <c r="BI2" s="1408"/>
      <c r="BJ2" s="1408"/>
      <c r="BK2" s="1409"/>
      <c r="BM2" s="1424" t="s">
        <v>270</v>
      </c>
      <c r="BN2" s="1279"/>
      <c r="BO2" s="1279"/>
      <c r="BP2" s="1280"/>
      <c r="BR2" s="1424" t="s">
        <v>270</v>
      </c>
      <c r="BS2" s="1279"/>
      <c r="BT2" s="1279"/>
      <c r="BU2" s="1280"/>
      <c r="BW2" s="445" t="s">
        <v>87</v>
      </c>
      <c r="BX2" s="439">
        <v>1.1000000000000001</v>
      </c>
      <c r="BY2" s="426">
        <v>1.2</v>
      </c>
      <c r="BZ2" s="426">
        <f t="shared" ref="BZ2:CO2" si="0">BX2+1</f>
        <v>2.1</v>
      </c>
      <c r="CA2" s="426">
        <f t="shared" si="0"/>
        <v>2.2000000000000002</v>
      </c>
      <c r="CB2" s="426">
        <f t="shared" si="0"/>
        <v>3.1</v>
      </c>
      <c r="CC2" s="426">
        <f t="shared" si="0"/>
        <v>3.2</v>
      </c>
      <c r="CD2" s="426">
        <f t="shared" si="0"/>
        <v>4.0999999999999996</v>
      </c>
      <c r="CE2" s="426">
        <f t="shared" si="0"/>
        <v>4.2</v>
      </c>
      <c r="CF2" s="426">
        <f t="shared" si="0"/>
        <v>5.0999999999999996</v>
      </c>
      <c r="CG2" s="426">
        <f t="shared" si="0"/>
        <v>5.2</v>
      </c>
      <c r="CH2" s="426">
        <f t="shared" si="0"/>
        <v>6.1</v>
      </c>
      <c r="CI2" s="426">
        <f t="shared" si="0"/>
        <v>6.2</v>
      </c>
      <c r="CJ2" s="426">
        <f t="shared" si="0"/>
        <v>7.1</v>
      </c>
      <c r="CK2" s="426">
        <f t="shared" si="0"/>
        <v>7.2</v>
      </c>
      <c r="CL2" s="426">
        <f t="shared" si="0"/>
        <v>8.1</v>
      </c>
      <c r="CM2" s="426">
        <f t="shared" si="0"/>
        <v>8.1999999999999993</v>
      </c>
      <c r="CN2" s="426">
        <f t="shared" si="0"/>
        <v>9.1</v>
      </c>
      <c r="CO2" s="427">
        <f t="shared" si="0"/>
        <v>9.1999999999999993</v>
      </c>
      <c r="CQ2" s="445" t="s">
        <v>87</v>
      </c>
      <c r="CR2" s="439">
        <v>1.1000000000000001</v>
      </c>
      <c r="CS2" s="426">
        <v>1.2</v>
      </c>
      <c r="CT2" s="426">
        <f t="shared" ref="CT2:DI2" si="1">CR2+1</f>
        <v>2.1</v>
      </c>
      <c r="CU2" s="426">
        <f t="shared" si="1"/>
        <v>2.2000000000000002</v>
      </c>
      <c r="CV2" s="426">
        <f t="shared" si="1"/>
        <v>3.1</v>
      </c>
      <c r="CW2" s="426">
        <f t="shared" si="1"/>
        <v>3.2</v>
      </c>
      <c r="CX2" s="426">
        <f t="shared" si="1"/>
        <v>4.0999999999999996</v>
      </c>
      <c r="CY2" s="426">
        <f t="shared" si="1"/>
        <v>4.2</v>
      </c>
      <c r="CZ2" s="426">
        <f t="shared" si="1"/>
        <v>5.0999999999999996</v>
      </c>
      <c r="DA2" s="426">
        <f t="shared" si="1"/>
        <v>5.2</v>
      </c>
      <c r="DB2" s="426">
        <f t="shared" si="1"/>
        <v>6.1</v>
      </c>
      <c r="DC2" s="426">
        <f t="shared" si="1"/>
        <v>6.2</v>
      </c>
      <c r="DD2" s="426">
        <f t="shared" si="1"/>
        <v>7.1</v>
      </c>
      <c r="DE2" s="426">
        <f t="shared" si="1"/>
        <v>7.2</v>
      </c>
      <c r="DF2" s="426">
        <f t="shared" si="1"/>
        <v>8.1</v>
      </c>
      <c r="DG2" s="426">
        <f t="shared" si="1"/>
        <v>8.1999999999999993</v>
      </c>
      <c r="DH2" s="426">
        <f t="shared" si="1"/>
        <v>9.1</v>
      </c>
      <c r="DI2" s="427">
        <f t="shared" si="1"/>
        <v>9.1999999999999993</v>
      </c>
      <c r="DK2" s="71" t="s">
        <v>87</v>
      </c>
      <c r="DL2">
        <v>1.1000000000000001</v>
      </c>
      <c r="DM2" s="489">
        <f>DL2+1</f>
        <v>2.1</v>
      </c>
      <c r="DN2" s="489">
        <f>DM2+1</f>
        <v>3.1</v>
      </c>
      <c r="DO2" s="489">
        <f t="shared" ref="DO2:DT2" si="2">DN2+1</f>
        <v>4.0999999999999996</v>
      </c>
      <c r="DP2" s="489">
        <f t="shared" si="2"/>
        <v>5.0999999999999996</v>
      </c>
      <c r="DQ2" s="489">
        <f t="shared" si="2"/>
        <v>6.1</v>
      </c>
      <c r="DR2" s="489">
        <f t="shared" si="2"/>
        <v>7.1</v>
      </c>
      <c r="DS2" s="489">
        <f t="shared" si="2"/>
        <v>8.1</v>
      </c>
      <c r="DT2" s="489">
        <f t="shared" si="2"/>
        <v>9.1</v>
      </c>
      <c r="DU2" s="489"/>
      <c r="DV2" s="489"/>
      <c r="IF2" s="31"/>
      <c r="IG2" s="31"/>
      <c r="IL2" s="31"/>
      <c r="IM2" s="323"/>
      <c r="JA2" s="82"/>
    </row>
    <row r="3" spans="1:265" ht="15" customHeight="1" thickBot="1" x14ac:dyDescent="0.3">
      <c r="B3" s="1183"/>
      <c r="C3" s="1184"/>
      <c r="D3" s="1184"/>
      <c r="E3" s="1184"/>
      <c r="F3" s="1184"/>
      <c r="G3" s="1184"/>
      <c r="H3" s="1184"/>
      <c r="I3" s="1184"/>
      <c r="J3" s="1184"/>
      <c r="K3" s="1185"/>
      <c r="L3" s="1047"/>
      <c r="M3" s="1385"/>
      <c r="N3" s="1235"/>
      <c r="O3" s="1236"/>
      <c r="P3" s="1236"/>
      <c r="Q3" s="1236"/>
      <c r="R3" s="1236"/>
      <c r="S3" s="1236"/>
      <c r="T3" s="1236"/>
      <c r="U3" s="1236"/>
      <c r="V3" s="1236"/>
      <c r="W3" s="1236"/>
      <c r="X3" s="1236"/>
      <c r="Y3" s="1237"/>
      <c r="Z3" s="1023"/>
      <c r="AA3" s="1024"/>
      <c r="AB3" s="1024"/>
      <c r="AC3" s="1024"/>
      <c r="AD3" s="1024"/>
      <c r="AE3" s="1024"/>
      <c r="AF3" s="1024"/>
      <c r="AG3" s="1024"/>
      <c r="AH3" s="1024"/>
      <c r="AI3" s="1024"/>
      <c r="AJ3" s="1024"/>
      <c r="AK3" s="1024"/>
      <c r="AL3" s="1024"/>
      <c r="AM3" s="1024"/>
      <c r="AN3" s="1024"/>
      <c r="AO3" s="1024"/>
      <c r="AP3" s="1024"/>
      <c r="AQ3" s="1162"/>
      <c r="AS3" s="415">
        <v>100</v>
      </c>
      <c r="AT3" s="412" t="s">
        <v>45</v>
      </c>
      <c r="AV3" s="1401"/>
      <c r="AW3" s="1416"/>
      <c r="AX3" s="1416"/>
      <c r="AY3" s="1416"/>
      <c r="AZ3" s="1416"/>
      <c r="BA3" s="1416"/>
      <c r="BB3" s="1416"/>
      <c r="BC3" s="1417"/>
      <c r="BF3" s="389" t="s">
        <v>8</v>
      </c>
      <c r="BG3" s="390" t="s">
        <v>9</v>
      </c>
      <c r="BH3" s="391" t="s">
        <v>10</v>
      </c>
      <c r="BI3" s="392" t="s">
        <v>267</v>
      </c>
      <c r="BJ3" s="393" t="s">
        <v>268</v>
      </c>
      <c r="BK3" s="394" t="s">
        <v>269</v>
      </c>
      <c r="BM3" s="401">
        <f>COS(RADIANS($BJ$4))*COS(RADIANS($BK$4))</f>
        <v>0.99999954655642542</v>
      </c>
      <c r="BN3" s="402">
        <f>-COS(RADIANS($BJ$4))*SIN(RADIANS($BK$4))</f>
        <v>8.5488794986011008E-4</v>
      </c>
      <c r="BO3" s="402">
        <f>SIN(RADIANS($BJ$4))</f>
        <v>4.1958734126354083E-4</v>
      </c>
      <c r="BP3" s="403">
        <f>$BF$4</f>
        <v>1.7693570498468309E-3</v>
      </c>
      <c r="BR3" s="179" t="s">
        <v>271</v>
      </c>
      <c r="BS3" s="388" t="s">
        <v>272</v>
      </c>
      <c r="BT3" s="388" t="s">
        <v>273</v>
      </c>
      <c r="BU3" s="35" t="s">
        <v>274</v>
      </c>
      <c r="BW3" s="446" t="s">
        <v>285</v>
      </c>
      <c r="BX3" s="440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28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28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28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28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28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28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28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28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28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28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28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28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28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28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28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28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29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455" t="s">
        <v>286</v>
      </c>
      <c r="CR3" s="453"/>
      <c r="CS3" s="435" t="str">
        <f t="shared" ref="CS3:DI3" si="3">IF(AND(ISNUMBER(BX$4),ISNUMBER(BY$4),BX$4&gt;BY$4),((BX$4-BY$4)/2),IF(AND(ISNUMBER(BW$4),ISNUMBER(BY$4),BW$4&gt;BY$4),((BW$4-BY$4)/2),""))</f>
        <v/>
      </c>
      <c r="CT3" s="435" t="str">
        <f t="shared" si="3"/>
        <v/>
      </c>
      <c r="CU3" s="435" t="str">
        <f t="shared" si="3"/>
        <v/>
      </c>
      <c r="CV3" s="435" t="str">
        <f t="shared" si="3"/>
        <v/>
      </c>
      <c r="CW3" s="435" t="str">
        <f t="shared" si="3"/>
        <v/>
      </c>
      <c r="CX3" s="435" t="str">
        <f t="shared" si="3"/>
        <v/>
      </c>
      <c r="CY3" s="435" t="str">
        <f t="shared" si="3"/>
        <v/>
      </c>
      <c r="CZ3" s="435" t="str">
        <f t="shared" si="3"/>
        <v/>
      </c>
      <c r="DA3" s="435" t="str">
        <f t="shared" si="3"/>
        <v/>
      </c>
      <c r="DB3" s="435" t="str">
        <f t="shared" si="3"/>
        <v/>
      </c>
      <c r="DC3" s="435" t="str">
        <f t="shared" si="3"/>
        <v/>
      </c>
      <c r="DD3" s="435" t="str">
        <f t="shared" si="3"/>
        <v/>
      </c>
      <c r="DE3" s="435" t="str">
        <f t="shared" si="3"/>
        <v/>
      </c>
      <c r="DF3" s="435" t="str">
        <f t="shared" si="3"/>
        <v/>
      </c>
      <c r="DG3" s="435" t="str">
        <f t="shared" si="3"/>
        <v/>
      </c>
      <c r="DH3" s="435" t="str">
        <f t="shared" si="3"/>
        <v/>
      </c>
      <c r="DI3" s="452" t="str">
        <f t="shared" si="3"/>
        <v/>
      </c>
      <c r="DK3" s="71" t="s">
        <v>308</v>
      </c>
      <c r="DL3" s="489" t="str" cm="1">
        <f t="array" ref="DL3">IF(LARGE(IF(IFERROR(VALUE(LEFT($AV$9:$AV$150,3)),0)=DL$2,$AV$9:$AV$150,0),1)=0,"",LARGE(IF(IFERROR(VALUE(LEFT($AV$9:$AV$150,3)),0)=DL$2,$AV$9:$AV$150,0),1))</f>
        <v/>
      </c>
      <c r="DM3" s="489" t="str" cm="1">
        <f t="array" ref="DM3">IF(LARGE(IF(IFERROR(VALUE(LEFT($AV$9:$AV$150,3)),0)=DM$2,$AV$9:$AV$150,0),1)=0,"",LARGE(IF(IFERROR(VALUE(LEFT($AV$9:$AV$150,3)),0)=DM$2,$AV$9:$AV$150,0),1))</f>
        <v/>
      </c>
      <c r="DN3" s="489" t="str" cm="1">
        <f t="array" ref="DN3">IF(LARGE(IF(IFERROR(VALUE(LEFT($AV$9:$AV$150,3)),0)=DN$2,$AV$9:$AV$150,0),1)=0,"",LARGE(IF(IFERROR(VALUE(LEFT($AV$9:$AV$150,3)),0)=DN$2,$AV$9:$AV$150,0),1))</f>
        <v/>
      </c>
      <c r="DO3" s="489" t="str" cm="1">
        <f t="array" ref="DO3">IF(LARGE(IF(IFERROR(VALUE(LEFT($AV$9:$AV$150,3)),0)=DO$2,$AV$9:$AV$150,0),1)=0,"",LARGE(IF(IFERROR(VALUE(LEFT($AV$9:$AV$150,3)),0)=DO$2,$AV$9:$AV$150,0),1))</f>
        <v/>
      </c>
      <c r="DP3" s="489" t="str" cm="1">
        <f t="array" ref="DP3">IF(LARGE(IF(IFERROR(VALUE(LEFT($AV$9:$AV$150,3)),0)=DP$2,$AV$9:$AV$150,0),1)=0,"",LARGE(IF(IFERROR(VALUE(LEFT($AV$9:$AV$150,3)),0)=DP$2,$AV$9:$AV$150,0),1))</f>
        <v/>
      </c>
      <c r="DQ3" s="489" t="str" cm="1">
        <f t="array" ref="DQ3">IF(LARGE(IF(IFERROR(VALUE(LEFT($AV$9:$AV$150,3)),0)=DQ$2,$AV$9:$AV$150,0),1)=0,"",LARGE(IF(IFERROR(VALUE(LEFT($AV$9:$AV$150,3)),0)=DQ$2,$AV$9:$AV$150,0),1))</f>
        <v/>
      </c>
      <c r="DR3" s="489" t="str" cm="1">
        <f t="array" ref="DR3">IF(LARGE(IF(IFERROR(VALUE(LEFT($AV$9:$AV$150,3)),0)=DR$2,$AV$9:$AV$150,0),1)=0,"",LARGE(IF(IFERROR(VALUE(LEFT($AV$9:$AV$150,3)),0)=DR$2,$AV$9:$AV$150,0),1))</f>
        <v/>
      </c>
      <c r="DS3" s="489" t="str" cm="1">
        <f t="array" ref="DS3">IF(LARGE(IF(IFERROR(VALUE(LEFT($AV$9:$AV$150,3)),0)=DS$2,$AV$9:$AV$150,0),1)=0,"",LARGE(IF(IFERROR(VALUE(LEFT($AV$9:$AV$150,3)),0)=DS$2,$AV$9:$AV$150,0),1))</f>
        <v/>
      </c>
      <c r="DT3" s="489" t="str" cm="1">
        <f t="array" ref="DT3">IF(LARGE(IF(IFERROR(VALUE(LEFT($AV$9:$AV$150,3)),0)=DT$2,$AV$9:$AV$150,0),1)=0,"",LARGE(IF(IFERROR(VALUE(LEFT($AV$9:$AV$150,3)),0)=DT$2,$AV$9:$AV$150,0),1))</f>
        <v/>
      </c>
      <c r="DU3" s="489"/>
      <c r="DV3" s="489"/>
      <c r="IF3" s="31"/>
      <c r="IG3" s="31"/>
      <c r="IL3" s="31"/>
      <c r="IM3" s="710"/>
      <c r="JA3" s="82"/>
      <c r="JB3" s="82"/>
      <c r="JC3" s="82"/>
    </row>
    <row r="4" spans="1:265" ht="15" customHeight="1" thickBot="1" x14ac:dyDescent="0.3">
      <c r="B4" s="1101" t="s">
        <v>307</v>
      </c>
      <c r="C4" s="1158"/>
      <c r="D4" s="1158"/>
      <c r="E4" s="1158"/>
      <c r="F4" s="1158"/>
      <c r="G4" s="1158"/>
      <c r="H4" s="1158"/>
      <c r="I4" s="1158"/>
      <c r="J4" s="1158"/>
      <c r="K4" s="1390"/>
      <c r="L4" s="1047"/>
      <c r="M4" s="1385"/>
      <c r="N4" s="1202" t="s">
        <v>3</v>
      </c>
      <c r="O4" s="1199"/>
      <c r="P4" s="1199"/>
      <c r="Q4" s="1198" t="s">
        <v>4</v>
      </c>
      <c r="R4" s="1199"/>
      <c r="S4" s="1217"/>
      <c r="T4" s="1211" t="str">
        <f>N4</f>
        <v>Cartesian Coordinates</v>
      </c>
      <c r="U4" s="1166"/>
      <c r="V4" s="1212"/>
      <c r="W4" s="1166" t="str">
        <f>Q4</f>
        <v>Polar XY; Cartesian Z</v>
      </c>
      <c r="X4" s="1166"/>
      <c r="Y4" s="1182"/>
      <c r="Z4" s="1380" t="s">
        <v>3</v>
      </c>
      <c r="AA4" s="1381"/>
      <c r="AB4" s="1381"/>
      <c r="AC4" s="1381"/>
      <c r="AD4" s="1381"/>
      <c r="AE4" s="1381"/>
      <c r="AF4" s="1381"/>
      <c r="AG4" s="1420" t="s">
        <v>31</v>
      </c>
      <c r="AH4" s="1381"/>
      <c r="AI4" s="1381"/>
      <c r="AJ4" s="1421"/>
      <c r="AK4" s="1427" t="s">
        <v>32</v>
      </c>
      <c r="AL4" s="1428"/>
      <c r="AM4" s="1428"/>
      <c r="AN4" s="1428"/>
      <c r="AO4" s="1428"/>
      <c r="AP4" s="1428"/>
      <c r="AQ4" s="1429"/>
      <c r="AS4" s="416">
        <v>0</v>
      </c>
      <c r="AT4" s="413" t="s">
        <v>46</v>
      </c>
      <c r="AV4" s="1401"/>
      <c r="AW4" s="1418"/>
      <c r="AX4" s="1418"/>
      <c r="AY4" s="1418"/>
      <c r="AZ4" s="1419"/>
      <c r="BA4" s="1418" t="str">
        <f>Z2</f>
        <v>PDC Orientation</v>
      </c>
      <c r="BB4" s="1418"/>
      <c r="BC4" s="1419"/>
      <c r="BD4" s="417"/>
      <c r="BF4" s="733">
        <v>1.7693570498468309E-3</v>
      </c>
      <c r="BG4" s="734">
        <v>1.856192388898044E-3</v>
      </c>
      <c r="BH4" s="735">
        <v>-8.6641535343794596E-2</v>
      </c>
      <c r="BI4" s="733">
        <v>-1.1268487054480062E-2</v>
      </c>
      <c r="BJ4" s="734">
        <v>2.4040584496921286E-2</v>
      </c>
      <c r="BK4" s="736">
        <v>-4.8981481761476542E-2</v>
      </c>
      <c r="BM4" s="404">
        <f>COS(RADIANS($BK$4))*SIN(RADIANS($BI$4))*SIN(RADIANS($BJ$4))+SIN(RADIANS($BK$4))*COS(RADIANS($BI$4))</f>
        <v>-8.5497052971478422E-4</v>
      </c>
      <c r="BN4" s="405">
        <f>-SIN(RADIANS($BI$4))*SIN(RADIANS($BJ$4))*SIN(RADIANS($BK$4))+COS(RADIANS($BI$4))*COS(RADIANS($BK$4))</f>
        <v>0.99999961517264913</v>
      </c>
      <c r="BO4" s="405">
        <f>-SIN(RADIANS($BI$4))*COS(RADIANS($BJ$4))</f>
        <v>1.9667218223873715E-4</v>
      </c>
      <c r="BP4" s="406">
        <f>$BG$4</f>
        <v>1.856192388898044E-3</v>
      </c>
      <c r="BR4" s="395" t="s">
        <v>275</v>
      </c>
      <c r="BS4" s="396" t="s">
        <v>276</v>
      </c>
      <c r="BT4" s="396" t="s">
        <v>277</v>
      </c>
      <c r="BU4" s="397" t="s">
        <v>278</v>
      </c>
      <c r="BW4" s="447" t="s">
        <v>18</v>
      </c>
      <c r="BX4" s="441" t="str">
        <f>INDEX($W$9:$W$150,MATCH(BX$3,$M$9:$M$150,0))</f>
        <v/>
      </c>
      <c r="BY4" s="430" t="str">
        <f t="shared" ref="BY4:CO4" si="4">INDEX($W$9:$W$150,MATCH(BY$3,$M$9:$M$150,0))</f>
        <v/>
      </c>
      <c r="BZ4" s="430" t="str">
        <f t="shared" si="4"/>
        <v/>
      </c>
      <c r="CA4" s="430" t="str">
        <f t="shared" si="4"/>
        <v/>
      </c>
      <c r="CB4" s="430" t="str">
        <f t="shared" si="4"/>
        <v/>
      </c>
      <c r="CC4" s="430" t="str">
        <f t="shared" si="4"/>
        <v/>
      </c>
      <c r="CD4" s="430" t="str">
        <f t="shared" si="4"/>
        <v/>
      </c>
      <c r="CE4" s="430" t="str">
        <f t="shared" si="4"/>
        <v/>
      </c>
      <c r="CF4" s="430" t="str">
        <f t="shared" si="4"/>
        <v/>
      </c>
      <c r="CG4" s="430" t="str">
        <f t="shared" si="4"/>
        <v/>
      </c>
      <c r="CH4" s="430" t="str">
        <f t="shared" si="4"/>
        <v/>
      </c>
      <c r="CI4" s="430" t="str">
        <f t="shared" si="4"/>
        <v/>
      </c>
      <c r="CJ4" s="430" t="str">
        <f t="shared" si="4"/>
        <v/>
      </c>
      <c r="CK4" s="430" t="str">
        <f t="shared" si="4"/>
        <v/>
      </c>
      <c r="CL4" s="430" t="str">
        <f t="shared" si="4"/>
        <v/>
      </c>
      <c r="CM4" s="430" t="str">
        <f t="shared" si="4"/>
        <v/>
      </c>
      <c r="CN4" s="430" t="str">
        <f t="shared" si="4"/>
        <v/>
      </c>
      <c r="CO4" s="431" t="str">
        <f t="shared" si="4"/>
        <v/>
      </c>
      <c r="CQ4" s="456" t="s">
        <v>287</v>
      </c>
      <c r="CR4" s="454" t="str">
        <f>IF(ISNUMBER(BX$3),MOD(((BX$4+360)+MIN($CR$3,$CT$3,$CV$3,$CX$3,$CZ$3,$DB$3,$DD$3,$DF$3,$DH$3)),360),"")</f>
        <v/>
      </c>
      <c r="CS4" s="421" t="str">
        <f>IF(ISNUMBER(BY$3),MOD(((BY$4+360)+MIN($CS$3,$CU$3,$CW$3,$CY$3,$DA$3,$DC$3,$DE$3,$DG$3,$DI$3)),360),"")</f>
        <v/>
      </c>
      <c r="CT4" s="421" t="str">
        <f>IF(ISNUMBER(BZ$3),MOD(((BZ$4+360)+MIN($CR$3,$CT$3,$CV$3,$CX$3,$CZ$3,$DB$3,$DD$3,$DF$3,$DH$3)),360),"")</f>
        <v/>
      </c>
      <c r="CU4" s="421" t="str">
        <f>IF(ISNUMBER(CA$3),MOD(((CA$4+360)+MIN($CS$3,$CU$3,$CW$3,$CY$3,$DA$3,$DC$3,$DE$3,$DG$3,$DI$3)),360),"")</f>
        <v/>
      </c>
      <c r="CV4" s="421" t="str">
        <f>IF(ISNUMBER(CB$3),MOD(((CB$4+360)+MIN($CR$3,$CT$3,$CV$3,$CX$3,$CZ$3,$DB$3,$DD$3,$DF$3,$DH$3)),360),"")</f>
        <v/>
      </c>
      <c r="CW4" s="421" t="str">
        <f>IF(ISNUMBER(CC$3),MOD(((CC$4+360)+MIN($CS$3,$CU$3,$CW$3,$CY$3,$DA$3,$DC$3,$DE$3,$DG$3,$DI$3)),360),"")</f>
        <v/>
      </c>
      <c r="CX4" s="421" t="str">
        <f>IF(ISNUMBER(CD$3),MOD(((CD$4+360)+MIN($CR$3,$CT$3,$CV$3,$CX$3,$CZ$3,$DB$3,$DD$3,$DF$3,$DH$3)),360),"")</f>
        <v/>
      </c>
      <c r="CY4" s="421" t="str">
        <f>IF(ISNUMBER(CE$3),MOD(((CE$4+360)+MIN($CS$3,$CU$3,$CW$3,$CY$3,$DA$3,$DC$3,$DE$3,$DG$3,$DI$3)),360),"")</f>
        <v/>
      </c>
      <c r="CZ4" s="421" t="str">
        <f>IF(ISNUMBER(CF$3),MOD(((CF$4+360)+MIN($CR$3,$CT$3,$CV$3,$CX$3,$CZ$3,$DB$3,$DD$3,$DF$3,$DH$3)),360),"")</f>
        <v/>
      </c>
      <c r="DA4" s="421" t="str">
        <f>IF(ISNUMBER(CG$3),MOD(((CG$4+360)+MIN($CS$3,$CU$3,$CW$3,$CY$3,$DA$3,$DC$3,$DE$3,$DG$3,$DI$3)),360),"")</f>
        <v/>
      </c>
      <c r="DB4" s="421" t="str">
        <f>IF(ISNUMBER(CH$3),MOD(((CH$4+360)+MIN($CR$3,$CT$3,$CV$3,$CX$3,$CZ$3,$DB$3,$DD$3,$DF$3,$DH$3)),360),"")</f>
        <v/>
      </c>
      <c r="DC4" s="421" t="str">
        <f>IF(ISNUMBER(CI$3),MOD(((CI$4+360)+MIN($CS$3,$CU$3,$CW$3,$CY$3,$DA$3,$DC$3,$DE$3,$DG$3,$DI$3)),360),"")</f>
        <v/>
      </c>
      <c r="DD4" s="421" t="str">
        <f>IF(ISNUMBER(CJ$3),MOD(((CJ$4+360)+MIN($CR$3,$CT$3,$CV$3,$CX$3,$CZ$3,$DB$3,$DD$3,$DF$3,$DH$3)),360),"")</f>
        <v/>
      </c>
      <c r="DE4" s="421" t="str">
        <f>IF(ISNUMBER(CK$3),MOD(((CK$4+360)+MIN($CS$3,$CU$3,$CW$3,$CY$3,$DA$3,$DC$3,$DE$3,$DG$3,$DI$3)),360),"")</f>
        <v/>
      </c>
      <c r="DF4" s="421" t="str">
        <f>IF(ISNUMBER(CL$3),MOD(((CL$4+360)+MIN($CR$3,$CT$3,$CV$3,$CX$3,$CZ$3,$DB$3,$DD$3,$DF$3,$DH$3)),360),"")</f>
        <v/>
      </c>
      <c r="DG4" s="421" t="str">
        <f>IF(ISNUMBER(CM$3),MOD(((CM$4+360)+MIN($CS$3,$CU$3,$CW$3,$CY$3,$DA$3,$DC$3,$DE$3,$DG$3,$DI$3)),360),"")</f>
        <v/>
      </c>
      <c r="DH4" s="421" t="str">
        <f>IF(ISNUMBER(CN$3),MOD(((CN$4+360)+MIN($CR$3,$CT$3,$CV$3,$CX$3,$CZ$3,$DB$3,$DD$3,$DF$3,$DH$3)),360),"")</f>
        <v/>
      </c>
      <c r="DI4" s="422" t="str">
        <f>IF(ISNUMBER(CO$3),MOD(((CO$4+360)+MIN($CS$3,$CU$3,$CW$3,$CY$3,$DA$3,$DC$3,$DE$3,$DG$3,$DI$3)),360),"")</f>
        <v/>
      </c>
      <c r="DK4" s="71" t="s">
        <v>103</v>
      </c>
      <c r="DL4" s="489" t="str">
        <f t="shared" ref="DL4:DT4" si="5">INDEX($AZ$9:$AZ$150,MATCH(DL$3,$AV$9:$AV$150,0))</f>
        <v/>
      </c>
      <c r="DM4" s="489" t="str">
        <f t="shared" si="5"/>
        <v/>
      </c>
      <c r="DN4" s="489" t="str">
        <f t="shared" si="5"/>
        <v/>
      </c>
      <c r="DO4" s="489" t="str">
        <f t="shared" si="5"/>
        <v/>
      </c>
      <c r="DP4" s="489" t="str">
        <f t="shared" si="5"/>
        <v/>
      </c>
      <c r="DQ4" s="489" t="str">
        <f t="shared" si="5"/>
        <v/>
      </c>
      <c r="DR4" s="489" t="str">
        <f t="shared" si="5"/>
        <v/>
      </c>
      <c r="DS4" s="489" t="str">
        <f t="shared" si="5"/>
        <v/>
      </c>
      <c r="DT4" s="489" t="str">
        <f t="shared" si="5"/>
        <v/>
      </c>
      <c r="DU4" s="489"/>
      <c r="DV4" s="489"/>
      <c r="IE4" s="1069" t="s">
        <v>372</v>
      </c>
      <c r="IF4" s="1069"/>
      <c r="IG4" s="710" cm="1">
        <f t="array" ref="IG4">MAX(MOD(IF($IG$9:$IG$150="",0,($IG$9:$IG$150*1000)),100))</f>
        <v>0</v>
      </c>
      <c r="IL4" s="31"/>
      <c r="IM4" s="710"/>
    </row>
    <row r="5" spans="1:265" ht="15" customHeight="1" thickTop="1" x14ac:dyDescent="0.25">
      <c r="B5" s="1183" t="str">
        <f>CONCATENATE(B7," ; ",E7," ; ",H8)</f>
        <v>Absolute-Point ; Incremental-Vector Point ; Radius</v>
      </c>
      <c r="C5" s="1184"/>
      <c r="D5" s="1184"/>
      <c r="E5" s="1184"/>
      <c r="F5" s="1184"/>
      <c r="G5" s="1184"/>
      <c r="H5" s="1184"/>
      <c r="I5" s="1184"/>
      <c r="J5" s="1184"/>
      <c r="K5" s="1185"/>
      <c r="L5" s="813" t="str" cm="1">
        <f t="array" ref="L5">IF(OR(IF(LEFT($K$9:$K$150,4)="&lt;&gt;CS",TRUE,FALSE)),"Wrong CS","")</f>
        <v/>
      </c>
      <c r="M5" s="1385"/>
      <c r="N5" s="1222" t="s">
        <v>5</v>
      </c>
      <c r="O5" s="1223"/>
      <c r="P5" s="1223"/>
      <c r="Q5" s="1275" t="s">
        <v>6</v>
      </c>
      <c r="R5" s="1223"/>
      <c r="S5" s="1261"/>
      <c r="T5" s="1228" t="str">
        <f>CONCATENATE("Relative to ",M8,"'s θ &amp; Z; Z Axis")</f>
        <v>Relative to 's θ &amp; Z; Z Axis</v>
      </c>
      <c r="U5" s="1173"/>
      <c r="V5" s="1252"/>
      <c r="W5" s="1173" t="str">
        <f>CONCATENATE("Relative to ",M8,"'s θ &amp; Z; Z Axis")</f>
        <v>Relative to 's θ &amp; Z; Z Axis</v>
      </c>
      <c r="X5" s="1173"/>
      <c r="Y5" s="1213"/>
      <c r="Z5" s="1203" t="str">
        <f>N5</f>
        <v>Relative to World_CS</v>
      </c>
      <c r="AA5" s="1173"/>
      <c r="AB5" s="1173"/>
      <c r="AC5" s="1173"/>
      <c r="AD5" s="1173"/>
      <c r="AE5" s="1173"/>
      <c r="AF5" s="1173"/>
      <c r="AG5" s="1228" t="str">
        <f>N5</f>
        <v>Relative to World_CS</v>
      </c>
      <c r="AH5" s="1173"/>
      <c r="AI5" s="1173"/>
      <c r="AJ5" s="1174"/>
      <c r="AK5" s="1260" t="s">
        <v>7</v>
      </c>
      <c r="AL5" s="1223"/>
      <c r="AM5" s="1223"/>
      <c r="AN5" s="1223"/>
      <c r="AO5" s="1223"/>
      <c r="AP5" s="1223"/>
      <c r="AQ5" s="1261"/>
      <c r="AS5" s="167">
        <f>(((AS4*12)/60)/AS3)</f>
        <v>0</v>
      </c>
      <c r="AT5" s="413" t="s">
        <v>47</v>
      </c>
      <c r="AV5" s="1401"/>
      <c r="AW5" s="1211" t="str">
        <f>W4</f>
        <v>Polar XY; Cartesian Z</v>
      </c>
      <c r="AX5" s="1166"/>
      <c r="AY5" s="1166"/>
      <c r="AZ5" s="1050" t="s">
        <v>104</v>
      </c>
      <c r="BA5" s="1166" t="str">
        <f>AK4</f>
        <v>Polar Z Projection → XZ Plane</v>
      </c>
      <c r="BB5" s="1166"/>
      <c r="BC5" s="1167"/>
      <c r="BD5" s="417"/>
      <c r="BF5" s="185"/>
      <c r="BG5" s="185"/>
      <c r="BH5" s="185"/>
      <c r="BI5" s="185"/>
      <c r="BJ5" s="185"/>
      <c r="BK5" s="185"/>
      <c r="BM5" s="407">
        <f>-COS(RADIANS($BI$4))*COS(RADIANS($BK$4))*SIN(RADIANS($BJ$4))+SIN(RADIANS($BI$4))*SIN(RADIANS($BK$4))</f>
        <v>-4.1941904711618723E-4</v>
      </c>
      <c r="BN5" s="408">
        <f>COS(RADIANS($BI$4))*SIN(RADIANS($BJ$4))*SIN(RADIANS($BK$4))+SIN(RADIANS($BI$4))*COS(RADIANS($BK$4))</f>
        <v>-1.9703082787042152E-4</v>
      </c>
      <c r="BO5" s="408">
        <f>COS(RADIANS($BI$4))*COS(RADIANS($BJ$4))</f>
        <v>0.99999989263325217</v>
      </c>
      <c r="BP5" s="409">
        <f>$BH$4</f>
        <v>-8.6641535343794596E-2</v>
      </c>
      <c r="BR5" s="398" t="s">
        <v>282</v>
      </c>
      <c r="BS5" s="399" t="s">
        <v>281</v>
      </c>
      <c r="BT5" s="399" t="s">
        <v>280</v>
      </c>
      <c r="BU5" s="400" t="s">
        <v>279</v>
      </c>
      <c r="BW5" s="448" t="s">
        <v>289</v>
      </c>
      <c r="BX5" s="442" t="str">
        <f>IF(ISNUMBER(BX$3),IF(CR$4&gt;CR$5,CR$4,(CR$4+360)),"")</f>
        <v/>
      </c>
      <c r="BY5" s="436" t="str">
        <f t="shared" ref="BY5:CI5" si="6">IF(ISNUMBER(BY$3),IF(CS$4&gt;CS$5,CS$4,(CS$4+360)),"")</f>
        <v/>
      </c>
      <c r="BZ5" s="436" t="str">
        <f t="shared" si="6"/>
        <v/>
      </c>
      <c r="CA5" s="436" t="str">
        <f t="shared" si="6"/>
        <v/>
      </c>
      <c r="CB5" s="436" t="str">
        <f t="shared" si="6"/>
        <v/>
      </c>
      <c r="CC5" s="436" t="str">
        <f t="shared" si="6"/>
        <v/>
      </c>
      <c r="CD5" s="436" t="str">
        <f t="shared" si="6"/>
        <v/>
      </c>
      <c r="CE5" s="436" t="str">
        <f t="shared" si="6"/>
        <v/>
      </c>
      <c r="CF5" s="436" t="str">
        <f t="shared" si="6"/>
        <v/>
      </c>
      <c r="CG5" s="436" t="str">
        <f t="shared" si="6"/>
        <v/>
      </c>
      <c r="CH5" s="436" t="str">
        <f t="shared" si="6"/>
        <v/>
      </c>
      <c r="CI5" s="436" t="str">
        <f t="shared" si="6"/>
        <v/>
      </c>
      <c r="CJ5" s="437"/>
      <c r="CK5" s="437"/>
      <c r="CL5" s="437"/>
      <c r="CM5" s="437"/>
      <c r="CN5" s="437"/>
      <c r="CO5" s="438"/>
      <c r="CQ5" s="449" t="s">
        <v>288</v>
      </c>
      <c r="CR5" s="443" t="str">
        <f>IF(ISNUMBER(BX$3),MOD(((BX$4+360)-MIN($CS$3,$CU$3,$CW$3,$CY$3,$DA$3,$DC$3,$DE$3,$DG$3,$DI$3)),360),"")</f>
        <v/>
      </c>
      <c r="CS5" s="423" t="str">
        <f>IF(ISNUMBER(BY$3),MOD(((BY$4+360)-MIN($CR$3,$CT$3,$CV$3,$CX$3,$CZ$3,$DB$3,$DD$3,$DF$3,$DH$3)),360),"")</f>
        <v/>
      </c>
      <c r="CT5" s="423" t="str">
        <f>IF(ISNUMBER(BZ$3),MOD(((BZ$4+360)-MIN($CS$3,$CU$3,$CW$3,$CY$3,$DA$3,$DC$3,$DE$3,$DG$3,$DI$3)),360),"")</f>
        <v/>
      </c>
      <c r="CU5" s="423" t="str">
        <f>IF(ISNUMBER(CA$3),MOD(((CA$4+360)-MIN($CR$3,$CT$3,$CV$3,$CX$3,$CZ$3,$DB$3,$DD$3,$DF$3,$DH$3)),360),"")</f>
        <v/>
      </c>
      <c r="CV5" s="423" t="str">
        <f>IF(ISNUMBER(CB$3),MOD(((CB$4+360)-MIN($CS$3,$CU$3,$CW$3,$CY$3,$DA$3,$DC$3,$DE$3,$DG$3,$DI$3)),360),"")</f>
        <v/>
      </c>
      <c r="CW5" s="423" t="str">
        <f>IF(ISNUMBER(CC$3),MOD(((CC$4+360)-MIN($CR$3,$CT$3,$CV$3,$CX$3,$CZ$3,$DB$3,$DD$3,$DF$3,$DH$3)),360),"")</f>
        <v/>
      </c>
      <c r="CX5" s="423" t="str">
        <f>IF(ISNUMBER(CD$3),MOD(((CD$4+360)-MIN($CS$3,$CU$3,$CW$3,$CY$3,$DA$3,$DC$3,$DE$3,$DG$3,$DI$3)),360),"")</f>
        <v/>
      </c>
      <c r="CY5" s="423" t="str">
        <f>IF(ISNUMBER(CE$3),MOD(((CE$4+360)-MIN($CR$3,$CT$3,$CV$3,$CX$3,$CZ$3,$DB$3,$DD$3,$DF$3,$DH$3)),360),"")</f>
        <v/>
      </c>
      <c r="CZ5" s="423" t="str">
        <f>IF(ISNUMBER(CF$3),MOD(((CF$4+360)-MIN($CS$3,$CU$3,$CW$3,$CY$3,$DA$3,$DC$3,$DE$3,$DG$3,$DI$3)),360),"")</f>
        <v/>
      </c>
      <c r="DA5" s="423" t="str">
        <f>IF(ISNUMBER(CG$3),MOD(((CG$4+360)-MIN($CR$3,$CT$3,$CV$3,$CX$3,$CZ$3,$DB$3,$DD$3,$DF$3,$DH$3)),360),"")</f>
        <v/>
      </c>
      <c r="DB5" s="423" t="str">
        <f>IF(ISNUMBER(CH$3),MOD(((CH$4+360)-MIN($CS$3,$CU$3,$CW$3,$CY$3,$DA$3,$DC$3,$DE$3,$DG$3,$DI$3)),360),"")</f>
        <v/>
      </c>
      <c r="DC5" s="423" t="str">
        <f>IF(ISNUMBER(CI$3),MOD(((CI$4+360)-MIN($CR$3,$CT$3,$CV$3,$CX$3,$CZ$3,$DB$3,$DD$3,$DF$3,$DH$3)),360),"")</f>
        <v/>
      </c>
      <c r="DD5" s="423" t="str">
        <f>IF(ISNUMBER(CJ$3),MOD(((CJ$4+360)-MIN($CS$3,$CU$3,$CW$3,$CY$3,$DA$3,$DC$3,$DE$3,$DG$3,$DI$3)),360),"")</f>
        <v/>
      </c>
      <c r="DE5" s="423" t="str">
        <f>IF(ISNUMBER(CK$3),MOD(((CK$4+360)-MIN($CR$3,$CT$3,$CV$3,$CX$3,$CZ$3,$DB$3,$DD$3,$DF$3,$DH$3)),360),"")</f>
        <v/>
      </c>
      <c r="DF5" s="423" t="str">
        <f>IF(ISNUMBER(CL$3),MOD(((CL$4+360)-MIN($CS$3,$CU$3,$CW$3,$CY$3,$DA$3,$DC$3,$DE$3,$DG$3,$DI$3)),360),"")</f>
        <v/>
      </c>
      <c r="DG5" s="423" t="str">
        <f>IF(ISNUMBER(CM$3),MOD(((CM$4+360)-MIN($CR$3,$CT$3,$CV$3,$CX$3,$CZ$3,$DB$3,$DD$3,$DF$3,$DH$3)),360),"")</f>
        <v/>
      </c>
      <c r="DH5" s="423" t="str">
        <f>IF(ISNUMBER(CN$3),MOD(((CN$4+360)-MIN($CS$3,$CU$3,$CW$3,$CY$3,$DA$3,$DC$3,$DE$3,$DG$3,$DI$3)),360),"")</f>
        <v/>
      </c>
      <c r="DI5" s="451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186"/>
      <c r="C6" s="1187"/>
      <c r="D6" s="1187"/>
      <c r="E6" s="1187"/>
      <c r="F6" s="1187"/>
      <c r="G6" s="1187"/>
      <c r="H6" s="1187"/>
      <c r="I6" s="1187"/>
      <c r="J6" s="1187"/>
      <c r="K6" s="1188"/>
      <c r="L6" s="1047" t="str" cm="1">
        <f t="array" ref="L6">IF(OR($K$9:$K$150="Inactive"),"Inactive Element","")</f>
        <v/>
      </c>
      <c r="M6" s="1385"/>
      <c r="N6" s="1218" t="s">
        <v>8</v>
      </c>
      <c r="O6" s="1220" t="s">
        <v>9</v>
      </c>
      <c r="P6" s="1273" t="s">
        <v>10</v>
      </c>
      <c r="Q6" s="1224" t="s">
        <v>11</v>
      </c>
      <c r="R6" s="1225"/>
      <c r="S6" s="1214" t="s">
        <v>10</v>
      </c>
      <c r="T6" s="1248" t="str">
        <f>N6</f>
        <v>X</v>
      </c>
      <c r="U6" s="1250" t="str">
        <f>O6</f>
        <v>Y</v>
      </c>
      <c r="V6" s="1209" t="str">
        <f>P6</f>
        <v>Z</v>
      </c>
      <c r="W6" s="1168" t="str">
        <f>Q6</f>
        <v>Projected XY</v>
      </c>
      <c r="X6" s="1169"/>
      <c r="Y6" s="1246" t="str">
        <f>S6</f>
        <v>Z</v>
      </c>
      <c r="Z6" s="1230" t="s">
        <v>12</v>
      </c>
      <c r="AA6" s="1193"/>
      <c r="AB6" s="1193"/>
      <c r="AC6" s="1231"/>
      <c r="AD6" s="1198" t="s">
        <v>13</v>
      </c>
      <c r="AE6" s="1199"/>
      <c r="AF6" s="1199"/>
      <c r="AG6" s="1229" t="s">
        <v>7</v>
      </c>
      <c r="AH6" s="1199"/>
      <c r="AI6" s="1198" t="s">
        <v>14</v>
      </c>
      <c r="AJ6" s="1217"/>
      <c r="AK6" s="1211" t="str">
        <f>AD6</f>
        <v>Unit Vector</v>
      </c>
      <c r="AL6" s="1166"/>
      <c r="AM6" s="1167"/>
      <c r="AN6" s="34" t="s">
        <v>15</v>
      </c>
      <c r="AO6" s="35" t="s">
        <v>16</v>
      </c>
      <c r="AP6" s="680" t="s">
        <v>17</v>
      </c>
      <c r="AQ6" s="1382" t="s">
        <v>108</v>
      </c>
      <c r="AS6" s="168">
        <f>(AS5/360)</f>
        <v>0</v>
      </c>
      <c r="AT6" s="414" t="s">
        <v>48</v>
      </c>
      <c r="AV6" s="1401"/>
      <c r="AW6" s="1228" t="str">
        <f>W5</f>
        <v>Relative to 's θ &amp; Z; Z Axis</v>
      </c>
      <c r="AX6" s="1173"/>
      <c r="AY6" s="1173"/>
      <c r="AZ6" s="1397"/>
      <c r="BA6" s="1173" t="str">
        <f>AK5</f>
        <v>Vector Along X Axis</v>
      </c>
      <c r="BB6" s="1173"/>
      <c r="BC6" s="1174"/>
      <c r="BD6" s="417"/>
      <c r="BF6" s="410">
        <f>SUM(AZ9:AZ150)</f>
        <v>0</v>
      </c>
      <c r="BG6" s="1379" t="s">
        <v>309</v>
      </c>
      <c r="BH6" s="1379"/>
      <c r="BI6" s="1379"/>
      <c r="BJ6" s="1379"/>
      <c r="BK6" s="1379"/>
      <c r="BW6" s="449" t="s">
        <v>292</v>
      </c>
      <c r="BX6" s="443" t="str">
        <f t="shared" ref="BX6:CI6" si="7">CR$5</f>
        <v/>
      </c>
      <c r="BY6" s="423" t="str">
        <f t="shared" si="7"/>
        <v/>
      </c>
      <c r="BZ6" s="423" t="str">
        <f t="shared" si="7"/>
        <v/>
      </c>
      <c r="CA6" s="423" t="str">
        <f t="shared" si="7"/>
        <v/>
      </c>
      <c r="CB6" s="423" t="str">
        <f t="shared" si="7"/>
        <v/>
      </c>
      <c r="CC6" s="423" t="str">
        <f t="shared" si="7"/>
        <v/>
      </c>
      <c r="CD6" s="423" t="str">
        <f t="shared" si="7"/>
        <v/>
      </c>
      <c r="CE6" s="423" t="str">
        <f t="shared" si="7"/>
        <v/>
      </c>
      <c r="CF6" s="423" t="str">
        <f t="shared" si="7"/>
        <v/>
      </c>
      <c r="CG6" s="423" t="str">
        <f t="shared" si="7"/>
        <v/>
      </c>
      <c r="CH6" s="423" t="str">
        <f t="shared" si="7"/>
        <v/>
      </c>
      <c r="CI6" s="423" t="str">
        <f t="shared" si="7"/>
        <v/>
      </c>
      <c r="CJ6" s="424"/>
      <c r="CK6" s="424"/>
      <c r="CL6" s="424"/>
      <c r="CM6" s="424"/>
      <c r="CN6" s="424"/>
      <c r="CO6" s="425"/>
      <c r="IE6" s="794"/>
      <c r="IF6" s="794"/>
      <c r="IG6" s="31"/>
    </row>
    <row r="7" spans="1:265" ht="15" customHeight="1" thickBot="1" x14ac:dyDescent="0.3">
      <c r="B7" s="1204" t="s">
        <v>40</v>
      </c>
      <c r="C7" s="1205"/>
      <c r="D7" s="1206"/>
      <c r="E7" s="1207" t="s">
        <v>41</v>
      </c>
      <c r="F7" s="1205"/>
      <c r="G7" s="1208"/>
      <c r="H7" s="981" t="s">
        <v>305</v>
      </c>
      <c r="I7" s="982"/>
      <c r="J7" s="983"/>
      <c r="K7" s="488"/>
      <c r="L7" s="1047"/>
      <c r="M7" s="1386"/>
      <c r="N7" s="1219"/>
      <c r="O7" s="1221"/>
      <c r="P7" s="1274"/>
      <c r="Q7" s="36" t="s">
        <v>18</v>
      </c>
      <c r="R7" s="2" t="s">
        <v>19</v>
      </c>
      <c r="S7" s="1215"/>
      <c r="T7" s="1249"/>
      <c r="U7" s="1251"/>
      <c r="V7" s="1210"/>
      <c r="W7" s="37" t="str">
        <f>Q7</f>
        <v>&lt; θ°</v>
      </c>
      <c r="X7" s="27" t="str">
        <f>R7</f>
        <v>r</v>
      </c>
      <c r="Y7" s="1247"/>
      <c r="Z7" s="681" t="str">
        <f>E8</f>
        <v>Delta X</v>
      </c>
      <c r="AA7" s="682" t="str">
        <f>F8</f>
        <v>Delta Y</v>
      </c>
      <c r="AB7" s="682" t="str">
        <f>G8</f>
        <v>Delta Z</v>
      </c>
      <c r="AC7" s="679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23" t="s">
        <v>28</v>
      </c>
      <c r="AQ7" s="1383"/>
      <c r="AS7" s="1422" t="s">
        <v>54</v>
      </c>
      <c r="AT7" s="1425" t="s">
        <v>53</v>
      </c>
      <c r="AV7" s="1401"/>
      <c r="AW7" s="1396" t="str">
        <f>$W$6</f>
        <v>Projected XY</v>
      </c>
      <c r="AX7" s="1169"/>
      <c r="AY7" s="1398" t="str">
        <f>$Y$6</f>
        <v>Z</v>
      </c>
      <c r="AZ7" s="1397"/>
      <c r="BA7" s="171" t="str">
        <f>$AN$6</f>
        <v>&lt;X°</v>
      </c>
      <c r="BB7" s="45" t="str">
        <f>$AO$6</f>
        <v>&lt;Y°</v>
      </c>
      <c r="BC7" s="374" t="str">
        <f>$AP$6</f>
        <v>Projection</v>
      </c>
      <c r="BD7" s="417"/>
      <c r="BF7" s="410"/>
      <c r="BG7" s="1379"/>
      <c r="BH7" s="1379"/>
      <c r="BI7" s="1379"/>
      <c r="BJ7" s="1379"/>
      <c r="BK7" s="1379"/>
      <c r="BW7" s="450" t="s">
        <v>291</v>
      </c>
      <c r="BX7" s="444" t="str">
        <f>IF(CR$4&gt;CR$5,"",CR$4)</f>
        <v/>
      </c>
      <c r="BY7" s="432" t="str">
        <f t="shared" ref="BY7:CI7" si="8">IF(CS$4&gt;CS$5,"",CS$4)</f>
        <v/>
      </c>
      <c r="BZ7" s="432" t="str">
        <f t="shared" si="8"/>
        <v/>
      </c>
      <c r="CA7" s="432" t="str">
        <f t="shared" si="8"/>
        <v/>
      </c>
      <c r="CB7" s="432" t="str">
        <f t="shared" si="8"/>
        <v/>
      </c>
      <c r="CC7" s="432" t="str">
        <f t="shared" si="8"/>
        <v/>
      </c>
      <c r="CD7" s="432" t="str">
        <f t="shared" si="8"/>
        <v/>
      </c>
      <c r="CE7" s="432" t="str">
        <f t="shared" si="8"/>
        <v/>
      </c>
      <c r="CF7" s="432" t="str">
        <f t="shared" si="8"/>
        <v/>
      </c>
      <c r="CG7" s="432" t="str">
        <f t="shared" si="8"/>
        <v/>
      </c>
      <c r="CH7" s="432" t="str">
        <f t="shared" si="8"/>
        <v/>
      </c>
      <c r="CI7" s="432" t="str">
        <f t="shared" si="8"/>
        <v/>
      </c>
      <c r="CJ7" s="433"/>
      <c r="CK7" s="433"/>
      <c r="CL7" s="433"/>
      <c r="CM7" s="433"/>
      <c r="CN7" s="433"/>
      <c r="CO7" s="434"/>
      <c r="IE7" s="785" t="s">
        <v>359</v>
      </c>
      <c r="IF7" s="319" t="s">
        <v>377</v>
      </c>
      <c r="IG7" s="1067" t="s">
        <v>33</v>
      </c>
      <c r="IH7" s="1065" t="s">
        <v>376</v>
      </c>
      <c r="II7" s="1048" t="s">
        <v>324</v>
      </c>
      <c r="IJ7" s="1049"/>
      <c r="IK7" s="1049"/>
      <c r="IL7" s="982"/>
      <c r="IM7" s="982"/>
      <c r="IN7" s="982"/>
      <c r="IO7" s="983"/>
      <c r="IP7" s="981" t="s">
        <v>320</v>
      </c>
      <c r="IQ7" s="982"/>
      <c r="IR7" s="982"/>
      <c r="IS7" s="982"/>
      <c r="IT7" s="982"/>
      <c r="IU7" s="981" t="s">
        <v>319</v>
      </c>
      <c r="IV7" s="982"/>
      <c r="IW7" s="982"/>
      <c r="IX7" s="982"/>
      <c r="IY7" s="983"/>
      <c r="JA7" s="725"/>
      <c r="JB7" s="1430" t="s">
        <v>355</v>
      </c>
      <c r="JC7" s="1276"/>
      <c r="JD7" s="1276"/>
      <c r="JE7" s="1277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487" t="s">
        <v>30</v>
      </c>
      <c r="L8" s="1047"/>
      <c r="M8" s="411" t="str" cm="1">
        <f t="array" ref="M8">IF(AND(ISNUMBER($P$1),COUNT($M$9:$M$150)&gt;=$P$1),INDEX($M$9:$M$150,$P$1),"")</f>
        <v/>
      </c>
      <c r="N8" s="551"/>
      <c r="O8" s="552"/>
      <c r="P8" s="553"/>
      <c r="Q8" s="554">
        <f>IFERROR(IF($M$1="Y",INDEX(Q$9:Q$150,MATCH($M$8,$M$9:$M$150,0)),0),"")</f>
        <v>0</v>
      </c>
      <c r="R8" s="552"/>
      <c r="S8" s="555">
        <f>IFERROR(IF($M$1="Y",INDEX(S$9:S$150,MATCH($M$8,$M$9:$M$150,0)),0),"")</f>
        <v>0</v>
      </c>
      <c r="T8" s="556"/>
      <c r="U8" s="552"/>
      <c r="V8" s="557"/>
      <c r="W8" s="558"/>
      <c r="X8" s="552"/>
      <c r="Y8" s="559"/>
      <c r="Z8" s="560"/>
      <c r="AA8" s="552"/>
      <c r="AB8" s="552"/>
      <c r="AC8" s="557"/>
      <c r="AD8" s="561"/>
      <c r="AE8" s="552"/>
      <c r="AF8" s="562"/>
      <c r="AG8" s="563"/>
      <c r="AH8" s="564"/>
      <c r="AI8" s="532"/>
      <c r="AJ8" s="533"/>
      <c r="AK8" s="556"/>
      <c r="AL8" s="552"/>
      <c r="AM8" s="565"/>
      <c r="AN8" s="530"/>
      <c r="AO8" s="531"/>
      <c r="AP8" s="532"/>
      <c r="AQ8" s="533"/>
      <c r="AS8" s="1423"/>
      <c r="AT8" s="1426"/>
      <c r="AV8" s="1402"/>
      <c r="AW8" s="46" t="str">
        <f>$W$7</f>
        <v>&lt; θ°</v>
      </c>
      <c r="AX8" s="27" t="str">
        <f>$X$7</f>
        <v>r</v>
      </c>
      <c r="AY8" s="1399"/>
      <c r="AZ8" s="1051"/>
      <c r="BA8" s="172" t="str">
        <f>$AN$7</f>
        <v>Tilt</v>
      </c>
      <c r="BB8" s="47" t="str">
        <f>$AO$7</f>
        <v>Back Rake</v>
      </c>
      <c r="BC8" s="375" t="str">
        <f>$AP$7</f>
        <v>Side Rake</v>
      </c>
      <c r="BD8" s="417"/>
      <c r="BF8" s="417"/>
      <c r="BG8" s="417"/>
      <c r="BH8" s="417"/>
      <c r="BM8" s="417"/>
      <c r="BN8" s="417"/>
      <c r="BO8" s="417"/>
      <c r="BP8" s="417"/>
      <c r="BQ8" s="417"/>
      <c r="BR8" s="417"/>
      <c r="BS8" s="417"/>
      <c r="BT8" s="417"/>
      <c r="BU8" s="417"/>
      <c r="BW8" s="449" t="s">
        <v>290</v>
      </c>
      <c r="BX8" s="443" t="str">
        <f>IF(ISNUMBER(BX$3),IF(CR$4&gt;CR$5,"",(CR$4-((CR$4+360)-CR$5))),"")</f>
        <v/>
      </c>
      <c r="BY8" s="423" t="str">
        <f t="shared" ref="BY8:CI8" si="9">IF(ISNUMBER(BY$3),IF(CS$4&gt;CS$5,"",(CS$4-((CS$4+360)-CS$5))),"")</f>
        <v/>
      </c>
      <c r="BZ8" s="423" t="str">
        <f t="shared" si="9"/>
        <v/>
      </c>
      <c r="CA8" s="423" t="str">
        <f t="shared" si="9"/>
        <v/>
      </c>
      <c r="CB8" s="423" t="str">
        <f t="shared" si="9"/>
        <v/>
      </c>
      <c r="CC8" s="423" t="str">
        <f t="shared" si="9"/>
        <v/>
      </c>
      <c r="CD8" s="423" t="str">
        <f t="shared" si="9"/>
        <v/>
      </c>
      <c r="CE8" s="423" t="str">
        <f t="shared" si="9"/>
        <v/>
      </c>
      <c r="CF8" s="423" t="str">
        <f t="shared" si="9"/>
        <v/>
      </c>
      <c r="CG8" s="423" t="str">
        <f t="shared" si="9"/>
        <v/>
      </c>
      <c r="CH8" s="423" t="str">
        <f t="shared" si="9"/>
        <v/>
      </c>
      <c r="CI8" s="423" t="str">
        <f t="shared" si="9"/>
        <v/>
      </c>
      <c r="CJ8" s="424"/>
      <c r="CK8" s="424"/>
      <c r="CL8" s="424"/>
      <c r="CM8" s="424"/>
      <c r="CN8" s="424"/>
      <c r="CO8" s="425"/>
      <c r="ID8" s="31"/>
      <c r="IE8" s="793">
        <v>0.75</v>
      </c>
      <c r="IF8" s="799">
        <v>-0.06</v>
      </c>
      <c r="IG8" s="1068"/>
      <c r="IH8" s="1066"/>
      <c r="II8" s="212" t="s">
        <v>314</v>
      </c>
      <c r="IJ8" s="128" t="s">
        <v>347</v>
      </c>
      <c r="IK8" s="128" t="s">
        <v>348</v>
      </c>
      <c r="IL8" s="127" t="s">
        <v>315</v>
      </c>
      <c r="IM8" s="700" t="s">
        <v>321</v>
      </c>
      <c r="IN8" s="127" t="s">
        <v>47</v>
      </c>
      <c r="IO8" s="712" t="s">
        <v>46</v>
      </c>
      <c r="IP8" s="104" t="s">
        <v>351</v>
      </c>
      <c r="IQ8" s="127" t="s">
        <v>316</v>
      </c>
      <c r="IR8" s="127" t="s">
        <v>317</v>
      </c>
      <c r="IS8" s="127" t="s">
        <v>318</v>
      </c>
      <c r="IT8" s="127" t="s">
        <v>26</v>
      </c>
      <c r="IU8" s="104" t="s">
        <v>351</v>
      </c>
      <c r="IV8" s="127" t="s">
        <v>316</v>
      </c>
      <c r="IW8" s="127" t="s">
        <v>317</v>
      </c>
      <c r="IX8" s="127" t="s">
        <v>318</v>
      </c>
      <c r="IY8" s="105" t="s">
        <v>26</v>
      </c>
      <c r="JA8" s="726" t="s">
        <v>352</v>
      </c>
      <c r="JB8" s="724" t="s">
        <v>349</v>
      </c>
      <c r="JC8" s="707" t="s">
        <v>350</v>
      </c>
      <c r="JD8" s="707" t="s">
        <v>353</v>
      </c>
      <c r="JE8" s="53" t="s">
        <v>354</v>
      </c>
    </row>
    <row r="9" spans="1:265" ht="15" customHeight="1" thickTop="1" x14ac:dyDescent="0.25">
      <c r="A9" s="75"/>
      <c r="B9" s="640" t="str">
        <f>INDEX(O$164:O$305,MATCH($M9,$M$164:$M$305,0))</f>
        <v/>
      </c>
      <c r="C9" s="641" t="str">
        <f t="shared" ref="C9:C40" si="10">INDEX(P$164:P$305,MATCH($M9,$M$164:$M$305,0))</f>
        <v/>
      </c>
      <c r="D9" s="642" t="str">
        <f t="shared" ref="D9:D40" si="11">INDEX(Q$164:Q$305,MATCH($M9,$M$164:$M$305,0))</f>
        <v/>
      </c>
      <c r="E9" s="643" t="str">
        <f t="shared" ref="E9:E40" si="12">INDEX(R$164:R$305,MATCH($M9,$M$164:$M$305,0))</f>
        <v/>
      </c>
      <c r="F9" s="641" t="str">
        <f t="shared" ref="F9:F40" si="13">INDEX(S$164:S$305,MATCH($M9,$M$164:$M$305,0))</f>
        <v/>
      </c>
      <c r="G9" s="644" t="str">
        <f t="shared" ref="G9:G40" si="14">INDEX(T$164:T$305,MATCH($M9,$M$164:$M$305,0))</f>
        <v/>
      </c>
      <c r="H9" s="643" t="str">
        <f>IF(INDEX(H$164:H$305,MATCH($M9,$M$164:$M$305,0))=0,"",INDEX(H$164:H$305,MATCH($M9,$M$164:$M$305,0)))</f>
        <v/>
      </c>
      <c r="I9" s="481"/>
      <c r="J9" s="483" t="str" cm="1">
        <f t="array" ref="J9:J150">_xlfn._xlws.SORT(IF(ISNUMBER($J$164:$J$305),$M$164:$M$305,""))</f>
        <v/>
      </c>
      <c r="K9" s="805" t="str">
        <f>IF(INDEX(N$164:N$305,MATCH($M9,$M$164:$M$305,0))=0,"",INDEX(N$164:N$305,MATCH($M9,$M$164:$M$305,0)))</f>
        <v/>
      </c>
      <c r="L9" s="31"/>
      <c r="M9" s="163" t="str">
        <f>IF(J9="","",J9)</f>
        <v/>
      </c>
      <c r="N9" s="566" t="str">
        <f>IF(M9="","",B9)</f>
        <v/>
      </c>
      <c r="O9" s="567" t="str">
        <f>IF(M9="","",C9)</f>
        <v/>
      </c>
      <c r="P9" s="568" t="str">
        <f>IF(M9="","",D9)</f>
        <v/>
      </c>
      <c r="Q9" s="526" t="str">
        <f>IF(M9="","",IF(DEGREES(ATAN2(N9,O9))&lt;0,DEGREES(ATAN2(N9,O9))+360,IF(DEGREES(ATAN2(N9,O9))&gt;360,DEGREES(ATAN2(N9,O9))-360,DEGREES(ATAN2(N9,O9)))))</f>
        <v/>
      </c>
      <c r="R9" s="567" t="str">
        <f>IF(M9="","",SQRT(N9^2+O9^2))</f>
        <v/>
      </c>
      <c r="S9" s="569" t="str">
        <f>IF(M9="","",P9)</f>
        <v/>
      </c>
      <c r="T9" s="570" t="str">
        <f>IF(M9="","",X9*COS(RADIANS(W9)))</f>
        <v/>
      </c>
      <c r="U9" s="567" t="str">
        <f>IF(M9="","",X9*SIN(RADIANS(W9)))</f>
        <v/>
      </c>
      <c r="V9" s="571" t="str">
        <f>IF(M9="","",Y9)</f>
        <v/>
      </c>
      <c r="W9" s="526" t="str">
        <f>IF(M9="","",IF(Q9-$Q$8&lt;0,360+Q9-$Q$8,Q9-$Q$8))</f>
        <v/>
      </c>
      <c r="X9" s="572" t="str">
        <f>IF(M9="","",R9)</f>
        <v/>
      </c>
      <c r="Y9" s="573" t="str">
        <f t="shared" ref="Y9:Y40" si="15">IF(M9="","",(S9-$S$8)+$X$1)</f>
        <v/>
      </c>
      <c r="Z9" s="566" t="str">
        <f>IF(M9="","",-E9)</f>
        <v/>
      </c>
      <c r="AA9" s="567" t="str">
        <f>IF(M9="","",-F9)</f>
        <v/>
      </c>
      <c r="AB9" s="567" t="str">
        <f>IF(M9="","",-G9)</f>
        <v/>
      </c>
      <c r="AC9" s="571" t="str">
        <f>IF(M9="","",SQRT(Z9^2+AA9^2+AB9^2))</f>
        <v/>
      </c>
      <c r="AD9" s="574" t="str">
        <f>IF(M9="","",Z9*(1/SQRT(Z9^2+AA9^2+AB9^2)))</f>
        <v/>
      </c>
      <c r="AE9" s="567" t="str">
        <f>IF(M9="","",AA9*(1/SQRT(Z9^2+AA9^2+AB9^2)))</f>
        <v/>
      </c>
      <c r="AF9" s="568" t="str">
        <f>IF(M9="","",AB9*(1/SQRT(Z9^2+AA9^2+AB9^2)))</f>
        <v/>
      </c>
      <c r="AG9" s="542" t="str">
        <f>IF(M9="","",DEGREES(ATAN2(-AF9,AE9)))</f>
        <v/>
      </c>
      <c r="AH9" s="543" t="str">
        <f>IF(M9="","",DEGREES(ACOS(AD9)))</f>
        <v/>
      </c>
      <c r="AI9" s="526" t="str">
        <f>IF(M9="","",DEGREES(-ACOS(-AF9)))</f>
        <v/>
      </c>
      <c r="AJ9" s="544" t="str">
        <f>IF(M9="","",DEGREES(ATAN2(-AE9,AD9)))</f>
        <v/>
      </c>
      <c r="AK9" s="570" t="str">
        <f>IF(M9="","",(COS(RADIANS((90-$Q$8)-W9))*AD9)+(-SIN(RADIANS((90-$Q$8)-W9))*AE9))</f>
        <v/>
      </c>
      <c r="AL9" s="567" t="str">
        <f>IF(M9="","",(SIN(RADIANS((90-$Q$8)-W9))*AD9)+(COS(RADIANS((90-$Q$8)-W9))*AE9))</f>
        <v/>
      </c>
      <c r="AM9" s="569" t="str">
        <f>IF(M9="","",AF9)</f>
        <v/>
      </c>
      <c r="AN9" s="524" t="str">
        <f t="shared" ref="AN9:AN39" si="16">IF(M9="","",IF(K9="Knuckle",((DEGREES(ATAN2(AK9,AM9))+90)*-1),DEGREES(ATAN2(-AM9,AL9))))</f>
        <v/>
      </c>
      <c r="AO9" s="525" t="str">
        <f t="shared" ref="AO9:AO72" si="17">IF(M9="","",IF(K9="Knuckle",0,DEGREES(ACOS(AK9))))</f>
        <v/>
      </c>
      <c r="AP9" s="526" t="str">
        <f>IF(M9="","",DEGREES(ATAN2(AK9,AL9)))</f>
        <v/>
      </c>
      <c r="AQ9" s="527" t="str">
        <f>IF(M9="","",DEGREES(ATAN(($AS$5*SIN(RADIANS(90)))/(($X9*2*PI())-($AS$5*COS(RADIANS(90)))))))</f>
        <v/>
      </c>
      <c r="AS9" s="597" t="str">
        <f t="shared" ref="AS9:AS36" si="18">IF(M9="","",IF(W9&lt;=LARGE($W$9:$W$17,1),W9,W9-360))</f>
        <v/>
      </c>
      <c r="AT9" s="601" t="str">
        <f>IF($M9="","",$Y9+((($AS9-$AS$9)*$AS$6)*-1)-IF($AS9&lt;30,$AS$5,0))</f>
        <v/>
      </c>
      <c r="AU9" s="515" t="str">
        <f t="shared" ref="AU9:AU40" si="19">IFERROR(ROUNDDOWN(AV9,1),"")</f>
        <v/>
      </c>
      <c r="AV9" s="163" t="str">
        <f>M9</f>
        <v/>
      </c>
      <c r="AW9" s="542" t="str">
        <f>IF($M9="","",W9-INDEX(Assy.Model!$W$9:$W$150,MATCH('SN#.Run#'!$M9,Assy.Model!$M$9:$M$150,0)))</f>
        <v/>
      </c>
      <c r="AX9" s="625" t="str">
        <f>IF($M9="","",X9-INDEX(Assy.Model!$X$9:$X$150,MATCH('SN#.Run#'!$M9,Assy.Model!$M$9:$M$150,0)))</f>
        <v/>
      </c>
      <c r="AY9" s="626" t="str">
        <f>IF($M9="","",Y9-INDEX(Assy.Model!$Y$9:$Y$150,MATCH('SN#.Run#'!$M9,Assy.Model!$M$9:$M$150,0)))</f>
        <v/>
      </c>
      <c r="AZ9" s="627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08" t="str">
        <f>IF($M9="","",AN9-INDEX(Assy.Model!$AN$9:$AN$150,MATCH('SN#.Run#'!$M9,Assy.Model!$M$9:$M$150,0)))</f>
        <v/>
      </c>
      <c r="BB9" s="609" t="str">
        <f>IF($M9="","",AO9-INDEX(Assy.Model!$AO$9:$AO$150,MATCH('SN#.Run#'!$M9,Assy.Model!$M$9:$M$150,0)))</f>
        <v/>
      </c>
      <c r="BC9" s="618" t="str">
        <f>IF($M9="","",AP9-INDEX(Assy.Model!$AP$9:$AP$150,MATCH('SN#.Run#'!$M9,Assy.Model!$M$9:$M$150,0)))</f>
        <v/>
      </c>
      <c r="BD9" s="419"/>
      <c r="BE9" s="699"/>
      <c r="BM9" s="417"/>
      <c r="BN9" s="417"/>
      <c r="BO9" s="417"/>
      <c r="BP9" s="417"/>
      <c r="BQ9" s="417"/>
      <c r="BR9" s="417"/>
      <c r="BS9" s="417"/>
      <c r="BT9" s="417"/>
      <c r="BU9" s="417"/>
      <c r="BW9" s="71"/>
      <c r="BX9" s="420"/>
      <c r="BY9" s="420"/>
      <c r="BZ9" s="420"/>
      <c r="CA9" s="420"/>
      <c r="CB9" s="420"/>
      <c r="CC9" s="420"/>
      <c r="CD9" s="420"/>
      <c r="CE9" s="420"/>
      <c r="CF9" s="420"/>
      <c r="CG9" s="420"/>
      <c r="CH9" s="420"/>
      <c r="CI9" s="420"/>
      <c r="CJ9" s="420"/>
      <c r="CK9" s="420"/>
      <c r="CL9" s="420"/>
      <c r="CM9" s="420"/>
      <c r="CN9" s="420"/>
      <c r="CO9" s="420"/>
      <c r="IE9" s="792" t="str">
        <f>IFERROR(IF($IU9="","",IF($IU9&lt;(((Settings!$C$19/2)*-1)*$IE$8),"Taper","Nose")),"")</f>
        <v/>
      </c>
      <c r="IF9" s="481" t="str">
        <f>IFERROR(IF((((($IW9*COS(RADIANS(180-$IY9)))*COS(RADIANS($IY9)))-(($IX9*SIN(RADIANS(180-$IY9)))*SIN(RADIANS($IY9))))+$IU9)&lt;(((Settings!$C$19+$IF$8)/2)*-1),"Gage",""),"")</f>
        <v/>
      </c>
      <c r="IG9" s="787" t="str">
        <f>$M9</f>
        <v/>
      </c>
      <c r="IH9" s="673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676" t="str" cm="1">
        <f t="array" ref="II9">IFERROR(IF($IH9&lt;1,$IH9+LARGE((IF($M$9:$M$150="",0,$M$9:$M$150)-MOD(IF($M$9:$M$150="",0,$M$9:$M$150),1)),1),$IH9),"")</f>
        <v/>
      </c>
      <c r="IJ9" s="781" t="str">
        <f>IF(ISNUMBER($II9),INDEX($K$9:$K$150,MATCH($II9,$M$9:$M$150,0)),$K9)</f>
        <v/>
      </c>
      <c r="IK9" s="781" t="str">
        <f t="shared" ref="IK9:IK58" si="20">IF(ISNUMBER($II9),INDEX($K$9:$K$150,MATCH($IG9,$M$9:$M$150,0)),"")</f>
        <v/>
      </c>
      <c r="IL9" s="672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01"/>
      <c r="IN9" s="20" t="str">
        <f t="shared" ref="IN9:IN15" si="22">IF(ISNUMBER($II9),(($IO9*12)/60)/$AS$3,"")</f>
        <v/>
      </c>
      <c r="IO9" s="713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672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04" t="str">
        <f t="shared" ref="IY9:IY15" si="32">IF(ISNUMBER($II9),(-1*$AN9),"")</f>
        <v/>
      </c>
      <c r="JA9" s="730" t="str" cm="1">
        <f t="array" ref="JA9">IFERROR(_xlfn._xlws.SORT(_xlfn.UNIQUE(_xlfn._xlws.FILTER(IF($II$9:$II$150="",$K$9:$K$150,""),IF($II$9:$II$150="",$K$9:$K$150,"")&lt;&gt;"")),,-1),"")</f>
        <v/>
      </c>
      <c r="JB9" s="727" t="str" cm="1">
        <f t="array" ref="JB9">IF($JA9="","",COUNT(IF(IF($II$9:$II$150="",$IJ$9:$IJ$150,"")=$JA9,$IG$9:$IG$150,"")))</f>
        <v/>
      </c>
      <c r="JC9" s="191" t="str" cm="1">
        <f t="array" ref="JC9">IF($JA9="","",AVERAGE(IF(IF($II$9:$II$150="",$K$9:$K$150,"")=$JA9,$AZ$9:$AZ$150,"")))</f>
        <v/>
      </c>
      <c r="JD9" s="191" t="str" cm="1">
        <f t="array" ref="JD9">IF($JA9="","",_xlfn.STDEV.P(IF(IF($II$9:$II$150="",$K$9:$K$150,"")=$JA9,$AZ$9:$AZ$150,"")))</f>
        <v/>
      </c>
      <c r="JE9" s="698" t="str" cm="1">
        <f t="array" ref="JE9">IF($JA9="","",MAX(IF(IF($II$9:$II$150="",$K$9:$K$150,"")=$JA9,$AZ$9:$AZ$150,"")))</f>
        <v/>
      </c>
    </row>
    <row r="10" spans="1:265" ht="15" customHeight="1" x14ac:dyDescent="0.25">
      <c r="A10" s="75"/>
      <c r="B10" s="578" t="str">
        <f t="shared" ref="B10:B40" si="33">INDEX(O$164:O$305,MATCH($M10,$M$164:$M$305,0))</f>
        <v/>
      </c>
      <c r="C10" s="572" t="str">
        <f t="shared" si="10"/>
        <v/>
      </c>
      <c r="D10" s="576" t="str">
        <f t="shared" si="11"/>
        <v/>
      </c>
      <c r="E10" s="580" t="str">
        <f t="shared" si="12"/>
        <v/>
      </c>
      <c r="F10" s="572" t="str">
        <f t="shared" si="13"/>
        <v/>
      </c>
      <c r="G10" s="579" t="str">
        <f t="shared" si="14"/>
        <v/>
      </c>
      <c r="H10" s="580" t="str">
        <f t="shared" ref="H10:H73" si="34">IF(INDEX(H$164:H$305,MATCH($M10,$M$164:$M$305,0))=0,"",INDEX(H$164:H$305,MATCH($M10,$M$164:$M$305,0)))</f>
        <v/>
      </c>
      <c r="I10" s="482"/>
      <c r="J10" s="483" t="str">
        <v/>
      </c>
      <c r="K10" s="806" t="str">
        <f>IF(INDEX(N$164:N$305,MATCH($M10,$M$164:$M$305,0))=0,"",INDEX(N$164:N$305,MATCH($M10,$M$164:$M$305,0)))</f>
        <v/>
      </c>
      <c r="L10" s="31"/>
      <c r="M10" s="164" t="str">
        <f t="shared" ref="M10:M48" si="35">IF(J10="","",J10)</f>
        <v/>
      </c>
      <c r="N10" s="575" t="str">
        <f t="shared" ref="N10:N48" si="36">IF(M10="","",B10)</f>
        <v/>
      </c>
      <c r="O10" s="572" t="str">
        <f t="shared" ref="O10:O48" si="37">IF(M10="","",C10)</f>
        <v/>
      </c>
      <c r="P10" s="576" t="str">
        <f t="shared" ref="P10:P48" si="38">IF(M10="","",D10)</f>
        <v/>
      </c>
      <c r="Q10" s="528" t="str">
        <f>IF(M10="","",IF(DEGREES(ATAN2(N10,O10))&lt;0,DEGREES(ATAN2(N10,O10))+360,IF(DEGREES(ATAN2(N10,O10))&gt;360,DEGREES(ATAN2(N10,O10))-360,DEGREES(ATAN2(N10,O10)))))</f>
        <v/>
      </c>
      <c r="R10" s="572" t="str">
        <f t="shared" ref="R10:R48" si="39">IF(M10="","",SQRT(N10^2+O10^2))</f>
        <v/>
      </c>
      <c r="S10" s="577" t="str">
        <f t="shared" ref="S10:S48" si="40">IF(M10="","",P10)</f>
        <v/>
      </c>
      <c r="T10" s="578" t="str">
        <f t="shared" ref="T10:T48" si="41">IF(M10="","",X10*COS(RADIANS(W10)))</f>
        <v/>
      </c>
      <c r="U10" s="572" t="str">
        <f t="shared" ref="U10:U48" si="42">IF(M10="","",X10*SIN(RADIANS(W10)))</f>
        <v/>
      </c>
      <c r="V10" s="579" t="str">
        <f t="shared" ref="V10:V48" si="43">IF(M10="","",Y10)</f>
        <v/>
      </c>
      <c r="W10" s="528" t="str">
        <f>IF(M10="","",IF(Q10-$Q$8&lt;0,360+Q10-$Q$8,Q10-$Q$8))</f>
        <v/>
      </c>
      <c r="X10" s="572" t="str">
        <f t="shared" ref="X10:X48" si="44">IF(M10="","",R10)</f>
        <v/>
      </c>
      <c r="Y10" s="573" t="str">
        <f t="shared" si="15"/>
        <v/>
      </c>
      <c r="Z10" s="575" t="str">
        <f t="shared" ref="Z10:Z48" si="45">IF(M10="","",-E10)</f>
        <v/>
      </c>
      <c r="AA10" s="572" t="str">
        <f t="shared" ref="AA10:AA48" si="46">IF(M10="","",-F10)</f>
        <v/>
      </c>
      <c r="AB10" s="572" t="str">
        <f t="shared" ref="AB10:AB48" si="47">IF(M10="","",-G10)</f>
        <v/>
      </c>
      <c r="AC10" s="579" t="str">
        <f t="shared" ref="AC10:AC48" si="48">IF(M10="","",SQRT(Z10^2+AA10^2+AB10^2))</f>
        <v/>
      </c>
      <c r="AD10" s="580" t="str">
        <f t="shared" ref="AD10:AD48" si="49">IF(M10="","",Z10*(1/SQRT(Z10^2+AA10^2+AB10^2)))</f>
        <v/>
      </c>
      <c r="AE10" s="572" t="str">
        <f t="shared" ref="AE10:AE48" si="50">IF(M10="","",AA10*(1/SQRT(Z10^2+AA10^2+AB10^2)))</f>
        <v/>
      </c>
      <c r="AF10" s="576" t="str">
        <f t="shared" ref="AF10:AF48" si="51">IF(M10="","",AB10*(1/SQRT(Z10^2+AA10^2+AB10^2)))</f>
        <v/>
      </c>
      <c r="AG10" s="545" t="str">
        <f t="shared" ref="AG10:AG48" si="52">IF(M10="","",DEGREES(ATAN2(-AF10,AE10)))</f>
        <v/>
      </c>
      <c r="AH10" s="546" t="str">
        <f t="shared" ref="AH10:AH48" si="53">IF(M10="","",DEGREES(ACOS(AD10)))</f>
        <v/>
      </c>
      <c r="AI10" s="528" t="str">
        <f t="shared" ref="AI10:AI48" si="54">IF(M10="","",DEGREES(-ACOS(-AF10)))</f>
        <v/>
      </c>
      <c r="AJ10" s="529" t="str">
        <f t="shared" ref="AJ10:AJ48" si="55">IF(M10="","",DEGREES(ATAN2(-AE10,AD10)))</f>
        <v/>
      </c>
      <c r="AK10" s="578" t="str">
        <f t="shared" ref="AK10:AK48" si="56">IF(M10="","",(COS(RADIANS((90-$Q$8)-W10))*AD10)+(-SIN(RADIANS((90-$Q$8)-W10))*AE10))</f>
        <v/>
      </c>
      <c r="AL10" s="572" t="str">
        <f t="shared" ref="AL10:AL48" si="57">IF(M10="","",(SIN(RADIANS((90-$Q$8)-W10))*AD10)+(COS(RADIANS((90-$Q$8)-W10))*AE10))</f>
        <v/>
      </c>
      <c r="AM10" s="577" t="str">
        <f t="shared" ref="AM10:AM48" si="58">IF(M10="","",AF10)</f>
        <v/>
      </c>
      <c r="AN10" s="524" t="str">
        <f t="shared" si="16"/>
        <v/>
      </c>
      <c r="AO10" s="525" t="str">
        <f t="shared" si="17"/>
        <v/>
      </c>
      <c r="AP10" s="528" t="str">
        <f t="shared" ref="AP10:AP48" si="59">IF(M10="","",DEGREES(ATAN2(AK10,AL10)))</f>
        <v/>
      </c>
      <c r="AQ10" s="529" t="str">
        <f t="shared" ref="AQ10:AQ73" si="60">IF(M10="","",DEGREES(ATAN(($AS$5*SIN(RADIANS(90)))/(($X10*2*PI())-($AS$5*COS(RADIANS(90)))))))</f>
        <v/>
      </c>
      <c r="AS10" s="598" t="str">
        <f t="shared" si="18"/>
        <v/>
      </c>
      <c r="AT10" s="602" t="str">
        <f t="shared" ref="AT10:AT73" si="61">IF($M10="","",$Y10+((($AS10-$AS$9)*$AS$6)*-1)-IF($AS10&lt;30,$AS$5,0))</f>
        <v/>
      </c>
      <c r="AU10" s="515" t="str">
        <f t="shared" si="19"/>
        <v/>
      </c>
      <c r="AV10" s="164" t="str">
        <f>M10</f>
        <v/>
      </c>
      <c r="AW10" s="545" t="str">
        <f>IF($M10="","",W10-INDEX(Assy.Model!$W$9:$W$150,MATCH('SN#.Run#'!$M10,Assy.Model!$M$9:$M$150,0)))</f>
        <v/>
      </c>
      <c r="AX10" s="628" t="str">
        <f>IF($M10="","",X10-INDEX(Assy.Model!$X$9:$X$150,MATCH('SN#.Run#'!$M10,Assy.Model!$M$9:$M$150,0)))</f>
        <v/>
      </c>
      <c r="AY10" s="629" t="str">
        <f>IF($M10="","",Y10-INDEX(Assy.Model!$Y$9:$Y$150,MATCH('SN#.Run#'!$M10,Assy.Model!$M$9:$M$150,0)))</f>
        <v/>
      </c>
      <c r="AZ10" s="602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10" t="str">
        <f>IF($M10="","",AN10-INDEX(Assy.Model!$AN$9:$AN$150,MATCH('SN#.Run#'!$M10,Assy.Model!$M$9:$M$150,0)))</f>
        <v/>
      </c>
      <c r="BB10" s="525" t="str">
        <f>IF($M10="","",AO10-INDEX(Assy.Model!$AO$9:$AO$150,MATCH('SN#.Run#'!$M10,Assy.Model!$M$9:$M$150,0)))</f>
        <v/>
      </c>
      <c r="BC10" s="619" t="str">
        <f>IF($M10="","",AP10-INDEX(Assy.Model!$AP$9:$AP$150,MATCH('SN#.Run#'!$M10,Assy.Model!$M$9:$M$150,0)))</f>
        <v/>
      </c>
      <c r="BD10" s="419"/>
      <c r="BE10" s="699"/>
      <c r="BM10" s="417"/>
      <c r="BN10" s="417"/>
      <c r="BO10" s="417"/>
      <c r="BP10" s="417"/>
      <c r="BQ10" s="417"/>
      <c r="BR10" s="417"/>
      <c r="BS10" s="417"/>
      <c r="BT10" s="417"/>
      <c r="BU10" s="417"/>
      <c r="BW10" s="71"/>
      <c r="BX10" s="420"/>
      <c r="BY10" s="420"/>
      <c r="BZ10" s="420"/>
      <c r="CA10" s="420"/>
      <c r="CB10" s="420"/>
      <c r="CC10" s="420"/>
      <c r="CD10" s="420"/>
      <c r="CE10" s="420"/>
      <c r="CF10" s="420"/>
      <c r="CG10" s="420"/>
      <c r="CH10" s="420"/>
      <c r="CI10" s="420"/>
      <c r="CJ10" s="420"/>
      <c r="CK10" s="420"/>
      <c r="CL10" s="420"/>
      <c r="CM10" s="420"/>
      <c r="CN10" s="420"/>
      <c r="CO10" s="420"/>
      <c r="IE10" s="790" t="str">
        <f>IFERROR(IF($IU10="","",IF($IU10&lt;(((Settings!$C$19/2)*-1)*$IE$8),"Taper","Nose")),"")</f>
        <v/>
      </c>
      <c r="IF10" s="482" t="str">
        <f>IFERROR(IF((((($IW10*COS(RADIANS(180-$IY10)))*COS(RADIANS($IY10)))-(($IX10*SIN(RADIANS(180-$IY10)))*SIN(RADIANS($IY10))))+$IU10)&lt;(((Settings!$C$19+$IF$8)/2)*-1),"Gage",""),"")</f>
        <v/>
      </c>
      <c r="IG10" s="788" t="str">
        <f>$M10</f>
        <v/>
      </c>
      <c r="IH10" s="674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677" t="str" cm="1">
        <f t="array" ref="II10">IFERROR(IF($IH10&lt;1,$IH10+LARGE((IF($M$9:$M$150="",0,$M$9:$M$150)-MOD(IF($M$9:$M$150="",0,$M$9:$M$150),1)),1),$IH10),"")</f>
        <v/>
      </c>
      <c r="IJ10" s="482" t="str">
        <f t="shared" ref="IJ10:IJ73" si="62">IF(ISNUMBER($II10),INDEX($K$9:$K$150,MATCH($II10,$M$9:$M$150,0)),$K10)</f>
        <v/>
      </c>
      <c r="IK10" s="482" t="str">
        <f t="shared" si="20"/>
        <v/>
      </c>
      <c r="IL10" s="670" t="str">
        <f t="shared" si="21"/>
        <v/>
      </c>
      <c r="IM10" s="702"/>
      <c r="IN10" s="5" t="str">
        <f t="shared" si="22"/>
        <v/>
      </c>
      <c r="IO10" s="714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670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05" t="str">
        <f t="shared" si="32"/>
        <v/>
      </c>
      <c r="JA10" s="731"/>
      <c r="JB10" s="728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5"/>
      <c r="B11" s="578" t="str">
        <f t="shared" si="33"/>
        <v/>
      </c>
      <c r="C11" s="572" t="str">
        <f t="shared" si="10"/>
        <v/>
      </c>
      <c r="D11" s="576" t="str">
        <f t="shared" si="11"/>
        <v/>
      </c>
      <c r="E11" s="580" t="str">
        <f t="shared" si="12"/>
        <v/>
      </c>
      <c r="F11" s="572" t="str">
        <f t="shared" si="13"/>
        <v/>
      </c>
      <c r="G11" s="579" t="str">
        <f t="shared" si="14"/>
        <v/>
      </c>
      <c r="H11" s="580" t="str">
        <f t="shared" si="34"/>
        <v/>
      </c>
      <c r="I11" s="482"/>
      <c r="J11" s="483" t="str">
        <v/>
      </c>
      <c r="K11" s="806" t="str">
        <f>IF(INDEX(N$164:N$305,MATCH($M11,$M$164:$M$305,0))=0,"",INDEX(N$164:N$305,MATCH($M11,$M$164:$M$305,0)))</f>
        <v/>
      </c>
      <c r="L11" s="720" t="s">
        <v>323</v>
      </c>
      <c r="M11" s="164" t="str">
        <f t="shared" si="35"/>
        <v/>
      </c>
      <c r="N11" s="575" t="str">
        <f t="shared" si="36"/>
        <v/>
      </c>
      <c r="O11" s="572" t="str">
        <f t="shared" si="37"/>
        <v/>
      </c>
      <c r="P11" s="576" t="str">
        <f t="shared" si="38"/>
        <v/>
      </c>
      <c r="Q11" s="528" t="str">
        <f t="shared" ref="Q11:Q48" si="63">IF(M11="","",IF(DEGREES(ATAN2(N11,O11))&lt;0,DEGREES(ATAN2(N11,O11))+360,IF(DEGREES(ATAN2(N11,O11))&gt;360,DEGREES(ATAN2(N11,O11))-360,DEGREES(ATAN2(N11,O11)))))</f>
        <v/>
      </c>
      <c r="R11" s="572" t="str">
        <f t="shared" si="39"/>
        <v/>
      </c>
      <c r="S11" s="577" t="str">
        <f t="shared" si="40"/>
        <v/>
      </c>
      <c r="T11" s="578" t="str">
        <f t="shared" si="41"/>
        <v/>
      </c>
      <c r="U11" s="572" t="str">
        <f t="shared" si="42"/>
        <v/>
      </c>
      <c r="V11" s="579" t="str">
        <f t="shared" si="43"/>
        <v/>
      </c>
      <c r="W11" s="528" t="str">
        <f>IF(M11="","",IF(Q11-$Q$8&lt;0,360+Q11-$Q$8,Q11-$Q$8))</f>
        <v/>
      </c>
      <c r="X11" s="572" t="str">
        <f t="shared" si="44"/>
        <v/>
      </c>
      <c r="Y11" s="573" t="str">
        <f t="shared" si="15"/>
        <v/>
      </c>
      <c r="Z11" s="575" t="str">
        <f t="shared" si="45"/>
        <v/>
      </c>
      <c r="AA11" s="572" t="str">
        <f t="shared" si="46"/>
        <v/>
      </c>
      <c r="AB11" s="572" t="str">
        <f t="shared" si="47"/>
        <v/>
      </c>
      <c r="AC11" s="579" t="str">
        <f t="shared" si="48"/>
        <v/>
      </c>
      <c r="AD11" s="580" t="str">
        <f t="shared" si="49"/>
        <v/>
      </c>
      <c r="AE11" s="572" t="str">
        <f t="shared" si="50"/>
        <v/>
      </c>
      <c r="AF11" s="576" t="str">
        <f t="shared" si="51"/>
        <v/>
      </c>
      <c r="AG11" s="545" t="str">
        <f t="shared" si="52"/>
        <v/>
      </c>
      <c r="AH11" s="546" t="str">
        <f t="shared" si="53"/>
        <v/>
      </c>
      <c r="AI11" s="528" t="str">
        <f t="shared" si="54"/>
        <v/>
      </c>
      <c r="AJ11" s="529" t="str">
        <f t="shared" si="55"/>
        <v/>
      </c>
      <c r="AK11" s="578" t="str">
        <f>IF(M11="","",(COS(RADIANS((90-$Q$8)-W11))*AD11)+(-SIN(RADIANS((90-$Q$8)-W11))*AE11))</f>
        <v/>
      </c>
      <c r="AL11" s="572" t="str">
        <f t="shared" si="57"/>
        <v/>
      </c>
      <c r="AM11" s="577" t="str">
        <f t="shared" si="58"/>
        <v/>
      </c>
      <c r="AN11" s="524" t="str">
        <f t="shared" si="16"/>
        <v/>
      </c>
      <c r="AO11" s="525" t="str">
        <f t="shared" si="17"/>
        <v/>
      </c>
      <c r="AP11" s="528" t="str">
        <f t="shared" si="59"/>
        <v/>
      </c>
      <c r="AQ11" s="529" t="str">
        <f t="shared" si="60"/>
        <v/>
      </c>
      <c r="AS11" s="598" t="str">
        <f t="shared" si="18"/>
        <v/>
      </c>
      <c r="AT11" s="602" t="str">
        <f t="shared" si="61"/>
        <v/>
      </c>
      <c r="AU11" s="515" t="str">
        <f t="shared" si="19"/>
        <v/>
      </c>
      <c r="AV11" s="164" t="str">
        <f t="shared" ref="AV11:AV48" si="64">M11</f>
        <v/>
      </c>
      <c r="AW11" s="545" t="str">
        <f>IF($M11="","",W11-INDEX(Assy.Model!$W$9:$W$150,MATCH('SN#.Run#'!$M11,Assy.Model!$M$9:$M$150,0)))</f>
        <v/>
      </c>
      <c r="AX11" s="628" t="str">
        <f>IF($M11="","",X11-INDEX(Assy.Model!$X$9:$X$150,MATCH('SN#.Run#'!$M11,Assy.Model!$M$9:$M$150,0)))</f>
        <v/>
      </c>
      <c r="AY11" s="629" t="str">
        <f>IF($M11="","",Y11-INDEX(Assy.Model!$Y$9:$Y$150,MATCH('SN#.Run#'!$M11,Assy.Model!$M$9:$M$150,0)))</f>
        <v/>
      </c>
      <c r="AZ11" s="602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10" t="str">
        <f>IF($M11="","",AN11-INDEX(Assy.Model!$AN$9:$AN$150,MATCH('SN#.Run#'!$M11,Assy.Model!$M$9:$M$150,0)))</f>
        <v/>
      </c>
      <c r="BB11" s="525" t="str">
        <f>IF($M11="","",AO11-INDEX(Assy.Model!$AO$9:$AO$150,MATCH('SN#.Run#'!$M11,Assy.Model!$M$9:$M$150,0)))</f>
        <v/>
      </c>
      <c r="BC11" s="619" t="str">
        <f>IF($M11="","",AP11-INDEX(Assy.Model!$AP$9:$AP$150,MATCH('SN#.Run#'!$M11,Assy.Model!$M$9:$M$150,0)))</f>
        <v/>
      </c>
      <c r="BD11" s="419"/>
      <c r="BE11" s="699"/>
      <c r="BM11" s="417"/>
      <c r="BN11" s="417"/>
      <c r="BO11" s="417"/>
      <c r="BP11" s="417"/>
      <c r="BQ11" s="417"/>
      <c r="BR11" s="417"/>
      <c r="BS11" s="417"/>
      <c r="BT11" s="417"/>
      <c r="BU11" s="417"/>
      <c r="BW11" s="71"/>
      <c r="BX11" s="420"/>
      <c r="BY11" s="420"/>
      <c r="BZ11" s="420"/>
      <c r="CA11" s="420"/>
      <c r="CB11" s="420"/>
      <c r="CC11" s="420"/>
      <c r="CD11" s="420"/>
      <c r="CE11" s="420"/>
      <c r="CF11" s="420"/>
      <c r="CG11" s="420"/>
      <c r="CH11" s="420"/>
      <c r="CI11" s="420"/>
      <c r="CJ11" s="420"/>
      <c r="CK11" s="420"/>
      <c r="CL11" s="420"/>
      <c r="CM11" s="420"/>
      <c r="CN11" s="420"/>
      <c r="CO11" s="420"/>
      <c r="IE11" s="790" t="str">
        <f>IFERROR(IF($IU11="","",IF($IU11&lt;(((Settings!$C$19/2)*-1)*$IE$8),"Taper","Nose")),"")</f>
        <v/>
      </c>
      <c r="IF11" s="482" t="str">
        <f>IFERROR(IF((((($IW11*COS(RADIANS(180-$IY11)))*COS(RADIANS($IY11)))-(($IX11*SIN(RADIANS(180-$IY11)))*SIN(RADIANS($IY11))))+$IU11)&lt;(((Settings!$C$19+$IF$8)/2)*-1),"Gage",""),"")</f>
        <v/>
      </c>
      <c r="IG11" s="788" t="str">
        <f t="shared" ref="IG11:IG74" si="65">$M11</f>
        <v/>
      </c>
      <c r="IH11" s="674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677" t="str" cm="1">
        <f t="array" ref="II11">IFERROR(IF($IH11&lt;1,$IH11+LARGE((IF($M$9:$M$150="",0,$M$9:$M$150)-MOD(IF($M$9:$M$150="",0,$M$9:$M$150),1)),1),$IH11),"")</f>
        <v/>
      </c>
      <c r="IJ11" s="482" t="str">
        <f t="shared" si="62"/>
        <v/>
      </c>
      <c r="IK11" s="482" t="str">
        <f t="shared" si="20"/>
        <v/>
      </c>
      <c r="IL11" s="670" t="str">
        <f t="shared" si="21"/>
        <v/>
      </c>
      <c r="IM11" s="702"/>
      <c r="IN11" s="5" t="str">
        <f t="shared" si="22"/>
        <v/>
      </c>
      <c r="IO11" s="714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670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05" t="str">
        <f t="shared" si="32"/>
        <v/>
      </c>
      <c r="JA11" s="731"/>
      <c r="JB11" s="728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5"/>
      <c r="B12" s="578" t="str">
        <f t="shared" si="33"/>
        <v/>
      </c>
      <c r="C12" s="572" t="str">
        <f t="shared" si="10"/>
        <v/>
      </c>
      <c r="D12" s="576" t="str">
        <f t="shared" si="11"/>
        <v/>
      </c>
      <c r="E12" s="580" t="str">
        <f t="shared" si="12"/>
        <v/>
      </c>
      <c r="F12" s="572" t="str">
        <f t="shared" si="13"/>
        <v/>
      </c>
      <c r="G12" s="579" t="str">
        <f t="shared" si="14"/>
        <v/>
      </c>
      <c r="H12" s="580" t="str">
        <f t="shared" si="34"/>
        <v/>
      </c>
      <c r="I12" s="482"/>
      <c r="J12" s="483" t="str">
        <v/>
      </c>
      <c r="K12" s="806" t="str">
        <f t="shared" ref="K12:K75" si="66">IF(INDEX(N$164:N$305,MATCH($M12,$M$164:$M$305,0))=0,"",INDEX(N$164:N$305,MATCH($M12,$M$164:$M$305,0)))</f>
        <v/>
      </c>
      <c r="L12" s="716" t="s">
        <v>357</v>
      </c>
      <c r="M12" s="164" t="str">
        <f>IF(J12="","",J12)</f>
        <v/>
      </c>
      <c r="N12" s="575" t="str">
        <f t="shared" si="36"/>
        <v/>
      </c>
      <c r="O12" s="572" t="str">
        <f t="shared" si="37"/>
        <v/>
      </c>
      <c r="P12" s="576" t="str">
        <f t="shared" si="38"/>
        <v/>
      </c>
      <c r="Q12" s="528" t="str">
        <f>IF(M12="","",IF(DEGREES(ATAN2(N12,O12))&lt;0,DEGREES(ATAN2(N12,O12))+360,IF(DEGREES(ATAN2(N12,O12))&gt;360,DEGREES(ATAN2(N12,O12))-360,DEGREES(ATAN2(N12,O12)))))</f>
        <v/>
      </c>
      <c r="R12" s="572" t="str">
        <f t="shared" si="39"/>
        <v/>
      </c>
      <c r="S12" s="577" t="str">
        <f t="shared" si="40"/>
        <v/>
      </c>
      <c r="T12" s="578" t="str">
        <f t="shared" si="41"/>
        <v/>
      </c>
      <c r="U12" s="572" t="str">
        <f t="shared" si="42"/>
        <v/>
      </c>
      <c r="V12" s="579" t="str">
        <f t="shared" si="43"/>
        <v/>
      </c>
      <c r="W12" s="528" t="str">
        <f>IF(M12="","",IF(Q12-$Q$8&lt;0,360+Q12-$Q$8,Q12-$Q$8))</f>
        <v/>
      </c>
      <c r="X12" s="572" t="str">
        <f t="shared" si="44"/>
        <v/>
      </c>
      <c r="Y12" s="573" t="str">
        <f t="shared" si="15"/>
        <v/>
      </c>
      <c r="Z12" s="575" t="str">
        <f>IF(M12="","",-E12)</f>
        <v/>
      </c>
      <c r="AA12" s="572" t="str">
        <f t="shared" si="46"/>
        <v/>
      </c>
      <c r="AB12" s="572" t="str">
        <f t="shared" si="47"/>
        <v/>
      </c>
      <c r="AC12" s="579" t="str">
        <f t="shared" si="48"/>
        <v/>
      </c>
      <c r="AD12" s="580" t="str">
        <f t="shared" si="49"/>
        <v/>
      </c>
      <c r="AE12" s="572" t="str">
        <f t="shared" si="50"/>
        <v/>
      </c>
      <c r="AF12" s="576" t="str">
        <f t="shared" si="51"/>
        <v/>
      </c>
      <c r="AG12" s="545" t="str">
        <f>IF(M12="","",DEGREES(ATAN2(-AF12,AE12)))</f>
        <v/>
      </c>
      <c r="AH12" s="546" t="str">
        <f t="shared" si="53"/>
        <v/>
      </c>
      <c r="AI12" s="528" t="str">
        <f t="shared" si="54"/>
        <v/>
      </c>
      <c r="AJ12" s="529" t="str">
        <f t="shared" si="55"/>
        <v/>
      </c>
      <c r="AK12" s="578" t="str">
        <f>IF(M12="","",(COS(RADIANS((90-$Q$8)-W12))*AD12)+(-SIN(RADIANS((90-$Q$8)-W12))*AE12))</f>
        <v/>
      </c>
      <c r="AL12" s="572" t="str">
        <f t="shared" si="57"/>
        <v/>
      </c>
      <c r="AM12" s="577" t="str">
        <f t="shared" si="58"/>
        <v/>
      </c>
      <c r="AN12" s="524" t="str">
        <f t="shared" si="16"/>
        <v/>
      </c>
      <c r="AO12" s="525" t="str">
        <f t="shared" si="17"/>
        <v/>
      </c>
      <c r="AP12" s="528" t="str">
        <f t="shared" si="59"/>
        <v/>
      </c>
      <c r="AQ12" s="529" t="str">
        <f t="shared" si="60"/>
        <v/>
      </c>
      <c r="AS12" s="598" t="str">
        <f>IF(M12="","",IF(W12&lt;=LARGE($W$9:$W$17,1),W12,W12-360))</f>
        <v/>
      </c>
      <c r="AT12" s="602" t="str">
        <f t="shared" si="61"/>
        <v/>
      </c>
      <c r="AU12" s="515" t="str">
        <f t="shared" si="19"/>
        <v/>
      </c>
      <c r="AV12" s="164" t="str">
        <f t="shared" si="64"/>
        <v/>
      </c>
      <c r="AW12" s="545" t="str">
        <f>IF($M12="","",W12-INDEX(Assy.Model!$W$9:$W$150,MATCH('SN#.Run#'!$M12,Assy.Model!$M$9:$M$150,0)))</f>
        <v/>
      </c>
      <c r="AX12" s="628" t="str">
        <f>IF($M12="","",X12-INDEX(Assy.Model!$X$9:$X$150,MATCH('SN#.Run#'!$M12,Assy.Model!$M$9:$M$150,0)))</f>
        <v/>
      </c>
      <c r="AY12" s="629" t="str">
        <f>IF($M12="","",Y12-INDEX(Assy.Model!$Y$9:$Y$150,MATCH('SN#.Run#'!$M12,Assy.Model!$M$9:$M$150,0)))</f>
        <v/>
      </c>
      <c r="AZ12" s="602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10" t="str">
        <f>IF($M12="","",AN12-INDEX(Assy.Model!$AN$9:$AN$150,MATCH('SN#.Run#'!$M12,Assy.Model!$M$9:$M$150,0)))</f>
        <v/>
      </c>
      <c r="BB12" s="525" t="str">
        <f>IF($M12="","",AO12-INDEX(Assy.Model!$AO$9:$AO$150,MATCH('SN#.Run#'!$M12,Assy.Model!$M$9:$M$150,0)))</f>
        <v/>
      </c>
      <c r="BC12" s="619" t="str">
        <f>IF($M12="","",AP12-INDEX(Assy.Model!$AP$9:$AP$150,MATCH('SN#.Run#'!$M12,Assy.Model!$M$9:$M$150,0)))</f>
        <v/>
      </c>
      <c r="BD12" s="419"/>
      <c r="BE12" s="699"/>
      <c r="BM12" s="417"/>
      <c r="BN12" s="417"/>
      <c r="BO12" s="417"/>
      <c r="BP12" s="417"/>
      <c r="BQ12" s="417"/>
      <c r="BR12" s="417"/>
      <c r="BS12" s="417"/>
      <c r="BT12" s="417"/>
      <c r="BU12" s="417"/>
      <c r="CJ12" s="420"/>
      <c r="CK12" s="420"/>
      <c r="CL12" s="420"/>
      <c r="CM12" s="420"/>
      <c r="CN12" s="420"/>
      <c r="CO12" s="420"/>
      <c r="IE12" s="790" t="str">
        <f>IFERROR(IF($IU12="","",IF($IU12&lt;(((Settings!$C$19/2)*-1)*$IE$8),"Taper","Nose")),"")</f>
        <v/>
      </c>
      <c r="IF12" s="482" t="str">
        <f>IFERROR(IF((((($IW12*COS(RADIANS(180-$IY12)))*COS(RADIANS($IY12)))-(($IX12*SIN(RADIANS(180-$IY12)))*SIN(RADIANS($IY12))))+$IU12)&lt;(((Settings!$C$19+$IF$8)/2)*-1),"Gage",""),"")</f>
        <v/>
      </c>
      <c r="IG12" s="788" t="str">
        <f t="shared" si="65"/>
        <v/>
      </c>
      <c r="IH12" s="674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677" t="str" cm="1">
        <f t="array" ref="II12">IFERROR(IF($IH12&lt;1,$IH12+LARGE((IF($M$9:$M$150="",0,$M$9:$M$150)-MOD(IF($M$9:$M$150="",0,$M$9:$M$150),1)),1),$IH12),"")</f>
        <v/>
      </c>
      <c r="IJ12" s="482" t="str">
        <f t="shared" si="62"/>
        <v/>
      </c>
      <c r="IK12" s="482" t="str">
        <f t="shared" si="20"/>
        <v/>
      </c>
      <c r="IL12" s="670" t="str">
        <f t="shared" si="21"/>
        <v/>
      </c>
      <c r="IM12" s="702"/>
      <c r="IN12" s="5" t="str">
        <f t="shared" si="22"/>
        <v/>
      </c>
      <c r="IO12" s="714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670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05" t="str">
        <f t="shared" si="32"/>
        <v/>
      </c>
      <c r="JA12" s="731"/>
      <c r="JB12" s="728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5"/>
      <c r="B13" s="578" t="str">
        <f t="shared" si="33"/>
        <v/>
      </c>
      <c r="C13" s="572" t="str">
        <f t="shared" si="10"/>
        <v/>
      </c>
      <c r="D13" s="576" t="str">
        <f t="shared" si="11"/>
        <v/>
      </c>
      <c r="E13" s="580" t="str">
        <f t="shared" si="12"/>
        <v/>
      </c>
      <c r="F13" s="572" t="str">
        <f t="shared" si="13"/>
        <v/>
      </c>
      <c r="G13" s="579" t="str">
        <f t="shared" si="14"/>
        <v/>
      </c>
      <c r="H13" s="580" t="str">
        <f t="shared" si="34"/>
        <v/>
      </c>
      <c r="I13" s="482"/>
      <c r="J13" s="483" t="str">
        <v/>
      </c>
      <c r="K13" s="806" t="str">
        <f t="shared" si="66"/>
        <v/>
      </c>
      <c r="L13" s="717" t="str">
        <f>IF($L12=$JH$22,$JH$29,IF($L12=$JI$22,$JI$29,""))</f>
        <v/>
      </c>
      <c r="M13" s="164" t="str">
        <f t="shared" si="35"/>
        <v/>
      </c>
      <c r="N13" s="575" t="str">
        <f t="shared" si="36"/>
        <v/>
      </c>
      <c r="O13" s="572" t="str">
        <f t="shared" si="37"/>
        <v/>
      </c>
      <c r="P13" s="576" t="str">
        <f t="shared" si="38"/>
        <v/>
      </c>
      <c r="Q13" s="528" t="str">
        <f t="shared" si="63"/>
        <v/>
      </c>
      <c r="R13" s="572" t="str">
        <f t="shared" si="39"/>
        <v/>
      </c>
      <c r="S13" s="577" t="str">
        <f t="shared" si="40"/>
        <v/>
      </c>
      <c r="T13" s="578" t="str">
        <f t="shared" si="41"/>
        <v/>
      </c>
      <c r="U13" s="572" t="str">
        <f t="shared" si="42"/>
        <v/>
      </c>
      <c r="V13" s="579" t="str">
        <f t="shared" si="43"/>
        <v/>
      </c>
      <c r="W13" s="528" t="str">
        <f t="shared" ref="W13:W48" si="67">IF(M13="","",IF(Q13-$Q$8&lt;0,360+Q13-$Q$8,Q13-$Q$8))</f>
        <v/>
      </c>
      <c r="X13" s="572" t="str">
        <f t="shared" si="44"/>
        <v/>
      </c>
      <c r="Y13" s="573" t="str">
        <f t="shared" si="15"/>
        <v/>
      </c>
      <c r="Z13" s="575" t="str">
        <f t="shared" si="45"/>
        <v/>
      </c>
      <c r="AA13" s="572" t="str">
        <f t="shared" si="46"/>
        <v/>
      </c>
      <c r="AB13" s="572" t="str">
        <f t="shared" si="47"/>
        <v/>
      </c>
      <c r="AC13" s="579" t="str">
        <f t="shared" si="48"/>
        <v/>
      </c>
      <c r="AD13" s="580" t="str">
        <f t="shared" si="49"/>
        <v/>
      </c>
      <c r="AE13" s="572" t="str">
        <f t="shared" si="50"/>
        <v/>
      </c>
      <c r="AF13" s="576" t="str">
        <f t="shared" si="51"/>
        <v/>
      </c>
      <c r="AG13" s="545" t="str">
        <f t="shared" si="52"/>
        <v/>
      </c>
      <c r="AH13" s="546" t="str">
        <f t="shared" si="53"/>
        <v/>
      </c>
      <c r="AI13" s="528" t="str">
        <f t="shared" si="54"/>
        <v/>
      </c>
      <c r="AJ13" s="529" t="str">
        <f t="shared" si="55"/>
        <v/>
      </c>
      <c r="AK13" s="578" t="str">
        <f t="shared" si="56"/>
        <v/>
      </c>
      <c r="AL13" s="572" t="str">
        <f t="shared" si="57"/>
        <v/>
      </c>
      <c r="AM13" s="577" t="str">
        <f t="shared" si="58"/>
        <v/>
      </c>
      <c r="AN13" s="524" t="str">
        <f t="shared" si="16"/>
        <v/>
      </c>
      <c r="AO13" s="525" t="str">
        <f t="shared" si="17"/>
        <v/>
      </c>
      <c r="AP13" s="528" t="str">
        <f t="shared" si="59"/>
        <v/>
      </c>
      <c r="AQ13" s="529" t="str">
        <f t="shared" si="60"/>
        <v/>
      </c>
      <c r="AS13" s="598" t="str">
        <f t="shared" si="18"/>
        <v/>
      </c>
      <c r="AT13" s="602" t="str">
        <f t="shared" si="61"/>
        <v/>
      </c>
      <c r="AU13" s="515" t="str">
        <f t="shared" si="19"/>
        <v/>
      </c>
      <c r="AV13" s="164" t="str">
        <f t="shared" si="64"/>
        <v/>
      </c>
      <c r="AW13" s="545" t="str">
        <f>IF($M13="","",W13-INDEX(Assy.Model!$W$9:$W$150,MATCH('SN#.Run#'!$M13,Assy.Model!$M$9:$M$150,0)))</f>
        <v/>
      </c>
      <c r="AX13" s="628" t="str">
        <f>IF($M13="","",X13-INDEX(Assy.Model!$X$9:$X$150,MATCH('SN#.Run#'!$M13,Assy.Model!$M$9:$M$150,0)))</f>
        <v/>
      </c>
      <c r="AY13" s="629" t="str">
        <f>IF($M13="","",Y13-INDEX(Assy.Model!$Y$9:$Y$150,MATCH('SN#.Run#'!$M13,Assy.Model!$M$9:$M$150,0)))</f>
        <v/>
      </c>
      <c r="AZ13" s="602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10" t="str">
        <f>IF($M13="","",AN13-INDEX(Assy.Model!$AN$9:$AN$150,MATCH('SN#.Run#'!$M13,Assy.Model!$M$9:$M$150,0)))</f>
        <v/>
      </c>
      <c r="BB13" s="525" t="str">
        <f>IF($M13="","",AO13-INDEX(Assy.Model!$AO$9:$AO$150,MATCH('SN#.Run#'!$M13,Assy.Model!$M$9:$M$150,0)))</f>
        <v/>
      </c>
      <c r="BC13" s="619" t="str">
        <f>IF($M13="","",AP13-INDEX(Assy.Model!$AP$9:$AP$150,MATCH('SN#.Run#'!$M13,Assy.Model!$M$9:$M$150,0)))</f>
        <v/>
      </c>
      <c r="BD13" s="419"/>
      <c r="BE13" s="699"/>
      <c r="BM13" s="417"/>
      <c r="BN13" s="417"/>
      <c r="BO13" s="417"/>
      <c r="BP13" s="417"/>
      <c r="BQ13" s="417"/>
      <c r="BR13" s="417"/>
      <c r="BS13" s="417"/>
      <c r="BT13" s="417"/>
      <c r="BU13" s="417"/>
      <c r="CJ13" s="420"/>
      <c r="CK13" s="420"/>
      <c r="CL13" s="420"/>
      <c r="CM13" s="420"/>
      <c r="CN13" s="420"/>
      <c r="CO13" s="420"/>
      <c r="IE13" s="790" t="str">
        <f>IFERROR(IF($IU13="","",IF($IU13&lt;(((Settings!$C$19/2)*-1)*$IE$8),"Taper","Nose")),"")</f>
        <v/>
      </c>
      <c r="IF13" s="482" t="str">
        <f>IFERROR(IF((((($IW13*COS(RADIANS(180-$IY13)))*COS(RADIANS($IY13)))-(($IX13*SIN(RADIANS(180-$IY13)))*SIN(RADIANS($IY13))))+$IU13)&lt;(((Settings!$C$19+$IF$8)/2)*-1),"Gage",""),"")</f>
        <v/>
      </c>
      <c r="IG13" s="788" t="str">
        <f t="shared" si="65"/>
        <v/>
      </c>
      <c r="IH13" s="674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677" t="str" cm="1">
        <f t="array" ref="II13">IFERROR(IF($IH13&lt;1,$IH13+LARGE((IF($M$9:$M$150="",0,$M$9:$M$150)-MOD(IF($M$9:$M$150="",0,$M$9:$M$150),1)),1),$IH13),"")</f>
        <v/>
      </c>
      <c r="IJ13" s="482" t="str">
        <f t="shared" si="62"/>
        <v/>
      </c>
      <c r="IK13" s="482" t="str">
        <f t="shared" si="20"/>
        <v/>
      </c>
      <c r="IL13" s="670" t="str">
        <f t="shared" si="21"/>
        <v/>
      </c>
      <c r="IM13" s="702"/>
      <c r="IN13" s="5" t="str">
        <f t="shared" si="22"/>
        <v/>
      </c>
      <c r="IO13" s="714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670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05" t="str">
        <f t="shared" si="32"/>
        <v/>
      </c>
      <c r="JA13" s="731"/>
      <c r="JB13" s="728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5"/>
      <c r="B14" s="578" t="str">
        <f t="shared" si="33"/>
        <v/>
      </c>
      <c r="C14" s="572" t="str">
        <f t="shared" si="10"/>
        <v/>
      </c>
      <c r="D14" s="576" t="str">
        <f t="shared" si="11"/>
        <v/>
      </c>
      <c r="E14" s="580" t="str">
        <f t="shared" si="12"/>
        <v/>
      </c>
      <c r="F14" s="572" t="str">
        <f t="shared" si="13"/>
        <v/>
      </c>
      <c r="G14" s="579" t="str">
        <f t="shared" si="14"/>
        <v/>
      </c>
      <c r="H14" s="580" t="str">
        <f t="shared" si="34"/>
        <v/>
      </c>
      <c r="I14" s="482"/>
      <c r="J14" s="483" t="str">
        <v/>
      </c>
      <c r="K14" s="806" t="str">
        <f t="shared" si="66"/>
        <v/>
      </c>
      <c r="L14" s="719" t="s">
        <v>358</v>
      </c>
      <c r="M14" s="164" t="str">
        <f t="shared" si="35"/>
        <v/>
      </c>
      <c r="N14" s="575" t="str">
        <f t="shared" si="36"/>
        <v/>
      </c>
      <c r="O14" s="572" t="str">
        <f t="shared" si="37"/>
        <v/>
      </c>
      <c r="P14" s="576" t="str">
        <f>IF(M14="","",D14)</f>
        <v/>
      </c>
      <c r="Q14" s="528" t="str">
        <f t="shared" si="63"/>
        <v/>
      </c>
      <c r="R14" s="572" t="str">
        <f t="shared" si="39"/>
        <v/>
      </c>
      <c r="S14" s="577" t="str">
        <f>IF(M14="","",P14)</f>
        <v/>
      </c>
      <c r="T14" s="578" t="str">
        <f t="shared" si="41"/>
        <v/>
      </c>
      <c r="U14" s="572" t="str">
        <f t="shared" si="42"/>
        <v/>
      </c>
      <c r="V14" s="579" t="str">
        <f t="shared" si="43"/>
        <v/>
      </c>
      <c r="W14" s="528" t="str">
        <f t="shared" si="67"/>
        <v/>
      </c>
      <c r="X14" s="572" t="str">
        <f t="shared" si="44"/>
        <v/>
      </c>
      <c r="Y14" s="573" t="str">
        <f t="shared" si="15"/>
        <v/>
      </c>
      <c r="Z14" s="575" t="str">
        <f t="shared" si="45"/>
        <v/>
      </c>
      <c r="AA14" s="572" t="str">
        <f t="shared" si="46"/>
        <v/>
      </c>
      <c r="AB14" s="572" t="str">
        <f t="shared" si="47"/>
        <v/>
      </c>
      <c r="AC14" s="579" t="str">
        <f>IF(M14="","",SQRT(Z14^2+AA14^2+AB14^2))</f>
        <v/>
      </c>
      <c r="AD14" s="580" t="str">
        <f>IF(M14="","",Z14*(1/SQRT(Z14^2+AA14^2+AB14^2)))</f>
        <v/>
      </c>
      <c r="AE14" s="572" t="str">
        <f t="shared" si="50"/>
        <v/>
      </c>
      <c r="AF14" s="576" t="str">
        <f t="shared" si="51"/>
        <v/>
      </c>
      <c r="AG14" s="545" t="str">
        <f t="shared" si="52"/>
        <v/>
      </c>
      <c r="AH14" s="546" t="str">
        <f t="shared" si="53"/>
        <v/>
      </c>
      <c r="AI14" s="528" t="str">
        <f t="shared" si="54"/>
        <v/>
      </c>
      <c r="AJ14" s="529" t="str">
        <f t="shared" si="55"/>
        <v/>
      </c>
      <c r="AK14" s="578" t="str">
        <f>IF(M14="","",(COS(RADIANS((90-$Q$8)-W14))*AD14)+(-SIN(RADIANS((90-$Q$8)-W14))*AE14))</f>
        <v/>
      </c>
      <c r="AL14" s="572" t="str">
        <f t="shared" si="57"/>
        <v/>
      </c>
      <c r="AM14" s="577" t="str">
        <f t="shared" si="58"/>
        <v/>
      </c>
      <c r="AN14" s="524" t="str">
        <f t="shared" si="16"/>
        <v/>
      </c>
      <c r="AO14" s="525" t="str">
        <f t="shared" si="17"/>
        <v/>
      </c>
      <c r="AP14" s="528" t="str">
        <f t="shared" si="59"/>
        <v/>
      </c>
      <c r="AQ14" s="529" t="str">
        <f t="shared" si="60"/>
        <v/>
      </c>
      <c r="AS14" s="598" t="str">
        <f t="shared" si="18"/>
        <v/>
      </c>
      <c r="AT14" s="602" t="str">
        <f t="shared" si="61"/>
        <v/>
      </c>
      <c r="AU14" s="515" t="str">
        <f t="shared" si="19"/>
        <v/>
      </c>
      <c r="AV14" s="164" t="str">
        <f t="shared" si="64"/>
        <v/>
      </c>
      <c r="AW14" s="545" t="str">
        <f>IF($M14="","",W14-INDEX(Assy.Model!$W$9:$W$150,MATCH('SN#.Run#'!$M14,Assy.Model!$M$9:$M$150,0)))</f>
        <v/>
      </c>
      <c r="AX14" s="628" t="str">
        <f>IF($M14="","",X14-INDEX(Assy.Model!$X$9:$X$150,MATCH('SN#.Run#'!$M14,Assy.Model!$M$9:$M$150,0)))</f>
        <v/>
      </c>
      <c r="AY14" s="629" t="str">
        <f>IF($M14="","",Y14-INDEX(Assy.Model!$Y$9:$Y$150,MATCH('SN#.Run#'!$M14,Assy.Model!$M$9:$M$150,0)))</f>
        <v/>
      </c>
      <c r="AZ14" s="602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10" t="str">
        <f>IF($M14="","",AN14-INDEX(Assy.Model!$AN$9:$AN$150,MATCH('SN#.Run#'!$M14,Assy.Model!$M$9:$M$150,0)))</f>
        <v/>
      </c>
      <c r="BB14" s="525" t="str">
        <f>IF($M14="","",AO14-INDEX(Assy.Model!$AO$9:$AO$150,MATCH('SN#.Run#'!$M14,Assy.Model!$M$9:$M$150,0)))</f>
        <v/>
      </c>
      <c r="BC14" s="619" t="str">
        <f>IF($M14="","",AP14-INDEX(Assy.Model!$AP$9:$AP$150,MATCH('SN#.Run#'!$M14,Assy.Model!$M$9:$M$150,0)))</f>
        <v/>
      </c>
      <c r="BD14" s="419"/>
      <c r="BE14" s="699"/>
      <c r="BM14" s="417"/>
      <c r="BN14" s="417"/>
      <c r="BO14" s="417"/>
      <c r="BP14" s="417"/>
      <c r="BQ14" s="417"/>
      <c r="BR14" s="417"/>
      <c r="BS14" s="417"/>
      <c r="BT14" s="417"/>
      <c r="BU14" s="417"/>
      <c r="CJ14" s="420"/>
      <c r="CK14" s="420"/>
      <c r="CL14" s="420"/>
      <c r="CM14" s="420"/>
      <c r="CN14" s="420"/>
      <c r="CO14" s="420"/>
      <c r="IE14" s="790" t="str">
        <f>IFERROR(IF($IU14="","",IF($IU14&lt;(((Settings!$C$19/2)*-1)*$IE$8),"Taper","Nose")),"")</f>
        <v/>
      </c>
      <c r="IF14" s="482" t="str">
        <f>IFERROR(IF((((($IW14*COS(RADIANS(180-$IY14)))*COS(RADIANS($IY14)))-(($IX14*SIN(RADIANS(180-$IY14)))*SIN(RADIANS($IY14))))+$IU14)&lt;(((Settings!$C$19+$IF$8)/2)*-1),"Gage",""),"")</f>
        <v/>
      </c>
      <c r="IG14" s="788" t="str">
        <f t="shared" si="65"/>
        <v/>
      </c>
      <c r="IH14" s="674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677" t="str" cm="1">
        <f t="array" ref="II14">IFERROR(IF($IH14&lt;1,$IH14+LARGE((IF($M$9:$M$150="",0,$M$9:$M$150)-MOD(IF($M$9:$M$150="",0,$M$9:$M$150),1)),1),$IH14),"")</f>
        <v/>
      </c>
      <c r="IJ14" s="482" t="str">
        <f t="shared" si="62"/>
        <v/>
      </c>
      <c r="IK14" s="482" t="str">
        <f t="shared" si="20"/>
        <v/>
      </c>
      <c r="IL14" s="670" t="str">
        <f t="shared" si="21"/>
        <v/>
      </c>
      <c r="IM14" s="702"/>
      <c r="IN14" s="5" t="str">
        <f t="shared" si="22"/>
        <v/>
      </c>
      <c r="IO14" s="714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670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05" t="str">
        <f t="shared" si="32"/>
        <v/>
      </c>
      <c r="JA14" s="732"/>
      <c r="JB14" s="729" t="str" cm="1">
        <f t="array" ref="JB14">IF($JA14="","",COUNT(IF(IF($II$9:$II$150="",$IJ$9:$IJ$150,"")=$JA14,$IG$9:$IG$150,"")))</f>
        <v/>
      </c>
      <c r="JC14" s="175" t="str" cm="1">
        <f t="array" ref="JC14">IF($JA14="","",AVERAGE(IF(IF($II$9:$II$150="",$K$9:$K$150,"")=$JA14,$AZ$9:$AZ$150,"")))</f>
        <v/>
      </c>
      <c r="JD14" s="175" t="str" cm="1">
        <f t="array" ref="JD14">IF($JA14="","",_xlfn.STDEV.P(IF(IF($II$9:$II$150="",$K$9:$K$150,"")=$JA14,$AZ$9:$AZ$150,"")))</f>
        <v/>
      </c>
      <c r="JE14" s="665" t="str" cm="1">
        <f t="array" ref="JE14">IF($JA14="","",MAX(IF(IF($II$9:$II$150="",$K$9:$K$150,"")=$JA14,$AZ$9:$AZ$150,"")))</f>
        <v/>
      </c>
    </row>
    <row r="15" spans="1:265" ht="15" customHeight="1" x14ac:dyDescent="0.25">
      <c r="A15" s="75"/>
      <c r="B15" s="578" t="str">
        <f t="shared" si="33"/>
        <v/>
      </c>
      <c r="C15" s="572" t="str">
        <f t="shared" si="10"/>
        <v/>
      </c>
      <c r="D15" s="576" t="str">
        <f t="shared" si="11"/>
        <v/>
      </c>
      <c r="E15" s="580" t="str">
        <f t="shared" si="12"/>
        <v/>
      </c>
      <c r="F15" s="572" t="str">
        <f t="shared" si="13"/>
        <v/>
      </c>
      <c r="G15" s="579" t="str">
        <f t="shared" si="14"/>
        <v/>
      </c>
      <c r="H15" s="580" t="str">
        <f t="shared" si="34"/>
        <v/>
      </c>
      <c r="I15" s="482"/>
      <c r="J15" s="483" t="str">
        <v/>
      </c>
      <c r="K15" s="806" t="str">
        <f t="shared" si="66"/>
        <v/>
      </c>
      <c r="L15" s="814" t="str">
        <f>IF($L14=$JH$22,$JH$29,IF($L14=$JI$22,$JI$29,""))</f>
        <v/>
      </c>
      <c r="M15" s="164" t="str">
        <f t="shared" si="35"/>
        <v/>
      </c>
      <c r="N15" s="575" t="str">
        <f t="shared" si="36"/>
        <v/>
      </c>
      <c r="O15" s="572" t="str">
        <f t="shared" si="37"/>
        <v/>
      </c>
      <c r="P15" s="576" t="str">
        <f t="shared" si="38"/>
        <v/>
      </c>
      <c r="Q15" s="528" t="str">
        <f t="shared" si="63"/>
        <v/>
      </c>
      <c r="R15" s="572" t="str">
        <f t="shared" si="39"/>
        <v/>
      </c>
      <c r="S15" s="577" t="str">
        <f t="shared" si="40"/>
        <v/>
      </c>
      <c r="T15" s="578" t="str">
        <f t="shared" si="41"/>
        <v/>
      </c>
      <c r="U15" s="572" t="str">
        <f t="shared" si="42"/>
        <v/>
      </c>
      <c r="V15" s="579" t="str">
        <f t="shared" si="43"/>
        <v/>
      </c>
      <c r="W15" s="528" t="str">
        <f t="shared" si="67"/>
        <v/>
      </c>
      <c r="X15" s="572" t="str">
        <f t="shared" si="44"/>
        <v/>
      </c>
      <c r="Y15" s="573" t="str">
        <f t="shared" si="15"/>
        <v/>
      </c>
      <c r="Z15" s="575" t="str">
        <f t="shared" si="45"/>
        <v/>
      </c>
      <c r="AA15" s="572" t="str">
        <f t="shared" si="46"/>
        <v/>
      </c>
      <c r="AB15" s="572" t="str">
        <f t="shared" si="47"/>
        <v/>
      </c>
      <c r="AC15" s="579" t="str">
        <f t="shared" si="48"/>
        <v/>
      </c>
      <c r="AD15" s="580" t="str">
        <f t="shared" si="49"/>
        <v/>
      </c>
      <c r="AE15" s="572" t="str">
        <f t="shared" si="50"/>
        <v/>
      </c>
      <c r="AF15" s="576" t="str">
        <f t="shared" si="51"/>
        <v/>
      </c>
      <c r="AG15" s="545" t="str">
        <f t="shared" si="52"/>
        <v/>
      </c>
      <c r="AH15" s="546" t="str">
        <f t="shared" si="53"/>
        <v/>
      </c>
      <c r="AI15" s="528" t="str">
        <f t="shared" si="54"/>
        <v/>
      </c>
      <c r="AJ15" s="529" t="str">
        <f t="shared" si="55"/>
        <v/>
      </c>
      <c r="AK15" s="578" t="str">
        <f t="shared" si="56"/>
        <v/>
      </c>
      <c r="AL15" s="572" t="str">
        <f t="shared" si="57"/>
        <v/>
      </c>
      <c r="AM15" s="577" t="str">
        <f t="shared" si="58"/>
        <v/>
      </c>
      <c r="AN15" s="524" t="str">
        <f t="shared" si="16"/>
        <v/>
      </c>
      <c r="AO15" s="525" t="str">
        <f t="shared" si="17"/>
        <v/>
      </c>
      <c r="AP15" s="528" t="str">
        <f t="shared" si="59"/>
        <v/>
      </c>
      <c r="AQ15" s="529" t="str">
        <f t="shared" si="60"/>
        <v/>
      </c>
      <c r="AS15" s="598" t="str">
        <f t="shared" si="18"/>
        <v/>
      </c>
      <c r="AT15" s="602" t="str">
        <f t="shared" si="61"/>
        <v/>
      </c>
      <c r="AU15" s="515" t="str">
        <f t="shared" si="19"/>
        <v/>
      </c>
      <c r="AV15" s="164" t="str">
        <f t="shared" si="64"/>
        <v/>
      </c>
      <c r="AW15" s="545" t="str">
        <f>IF($M15="","",W15-INDEX(Assy.Model!$W$9:$W$150,MATCH('SN#.Run#'!$M15,Assy.Model!$M$9:$M$150,0)))</f>
        <v/>
      </c>
      <c r="AX15" s="628" t="str">
        <f>IF($M15="","",X15-INDEX(Assy.Model!$X$9:$X$150,MATCH('SN#.Run#'!$M15,Assy.Model!$M$9:$M$150,0)))</f>
        <v/>
      </c>
      <c r="AY15" s="629" t="str">
        <f>IF($M15="","",Y15-INDEX(Assy.Model!$Y$9:$Y$150,MATCH('SN#.Run#'!$M15,Assy.Model!$M$9:$M$150,0)))</f>
        <v/>
      </c>
      <c r="AZ15" s="602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10" t="str">
        <f>IF($M15="","",AN15-INDEX(Assy.Model!$AN$9:$AN$150,MATCH('SN#.Run#'!$M15,Assy.Model!$M$9:$M$150,0)))</f>
        <v/>
      </c>
      <c r="BB15" s="525" t="str">
        <f>IF($M15="","",AO15-INDEX(Assy.Model!$AO$9:$AO$150,MATCH('SN#.Run#'!$M15,Assy.Model!$M$9:$M$150,0)))</f>
        <v/>
      </c>
      <c r="BC15" s="619" t="str">
        <f>IF($M15="","",AP15-INDEX(Assy.Model!$AP$9:$AP$150,MATCH('SN#.Run#'!$M15,Assy.Model!$M$9:$M$150,0)))</f>
        <v/>
      </c>
      <c r="BD15" s="419"/>
      <c r="BE15" s="699"/>
      <c r="BM15" s="417"/>
      <c r="BN15" s="417"/>
      <c r="BO15" s="417"/>
      <c r="BP15" s="417"/>
      <c r="BQ15" s="417"/>
      <c r="BR15" s="417"/>
      <c r="BS15" s="417"/>
      <c r="BT15" s="417"/>
      <c r="BU15" s="417"/>
      <c r="CJ15" s="420"/>
      <c r="CK15" s="420"/>
      <c r="CL15" s="420"/>
      <c r="CM15" s="420"/>
      <c r="CN15" s="420"/>
      <c r="CO15" s="420"/>
      <c r="IE15" s="790" t="str">
        <f>IFERROR(IF($IU15="","",IF($IU15&lt;(((Settings!$C$19/2)*-1)*$IE$8),"Taper","Nose")),"")</f>
        <v/>
      </c>
      <c r="IF15" s="482" t="str">
        <f>IFERROR(IF((((($IW15*COS(RADIANS(180-$IY15)))*COS(RADIANS($IY15)))-(($IX15*SIN(RADIANS(180-$IY15)))*SIN(RADIANS($IY15))))+$IU15)&lt;(((Settings!$C$19+$IF$8)/2)*-1),"Gage",""),"")</f>
        <v/>
      </c>
      <c r="IG15" s="788" t="str">
        <f t="shared" si="65"/>
        <v/>
      </c>
      <c r="IH15" s="674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677" t="str" cm="1">
        <f t="array" ref="II15">IFERROR(IF($IH15&lt;1,$IH15+LARGE((IF($M$9:$M$150="",0,$M$9:$M$150)-MOD(IF($M$9:$M$150="",0,$M$9:$M$150),1)),1),$IH15),"")</f>
        <v/>
      </c>
      <c r="IJ15" s="482" t="str">
        <f t="shared" si="62"/>
        <v/>
      </c>
      <c r="IK15" s="482" t="str">
        <f t="shared" si="20"/>
        <v/>
      </c>
      <c r="IL15" s="670" t="str">
        <f t="shared" si="21"/>
        <v/>
      </c>
      <c r="IM15" s="702"/>
      <c r="IN15" s="5" t="str">
        <f t="shared" si="22"/>
        <v/>
      </c>
      <c r="IO15" s="714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670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05" t="str">
        <f t="shared" si="32"/>
        <v/>
      </c>
      <c r="JA15" s="419" t="s">
        <v>380</v>
      </c>
      <c r="JB15" s="745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19"/>
      <c r="JE15" s="219"/>
    </row>
    <row r="16" spans="1:265" ht="15" customHeight="1" x14ac:dyDescent="0.25">
      <c r="A16" s="75"/>
      <c r="B16" s="578" t="str">
        <f t="shared" si="33"/>
        <v/>
      </c>
      <c r="C16" s="572" t="str">
        <f t="shared" si="10"/>
        <v/>
      </c>
      <c r="D16" s="576" t="str">
        <f t="shared" si="11"/>
        <v/>
      </c>
      <c r="E16" s="580" t="str">
        <f t="shared" si="12"/>
        <v/>
      </c>
      <c r="F16" s="572" t="str">
        <f t="shared" si="13"/>
        <v/>
      </c>
      <c r="G16" s="579" t="str">
        <f t="shared" si="14"/>
        <v/>
      </c>
      <c r="H16" s="580" t="str">
        <f t="shared" si="34"/>
        <v/>
      </c>
      <c r="I16" s="482"/>
      <c r="J16" s="483" t="str">
        <v/>
      </c>
      <c r="K16" s="806" t="str">
        <f t="shared" si="66"/>
        <v/>
      </c>
      <c r="L16" s="309"/>
      <c r="M16" s="164" t="str">
        <f t="shared" si="35"/>
        <v/>
      </c>
      <c r="N16" s="575" t="str">
        <f t="shared" si="36"/>
        <v/>
      </c>
      <c r="O16" s="572" t="str">
        <f t="shared" si="37"/>
        <v/>
      </c>
      <c r="P16" s="576" t="str">
        <f t="shared" si="38"/>
        <v/>
      </c>
      <c r="Q16" s="528" t="str">
        <f t="shared" si="63"/>
        <v/>
      </c>
      <c r="R16" s="572" t="str">
        <f t="shared" si="39"/>
        <v/>
      </c>
      <c r="S16" s="577" t="str">
        <f t="shared" si="40"/>
        <v/>
      </c>
      <c r="T16" s="578" t="str">
        <f t="shared" si="41"/>
        <v/>
      </c>
      <c r="U16" s="572" t="str">
        <f t="shared" si="42"/>
        <v/>
      </c>
      <c r="V16" s="579" t="str">
        <f>IF(M16="","",Y16)</f>
        <v/>
      </c>
      <c r="W16" s="528" t="str">
        <f t="shared" si="67"/>
        <v/>
      </c>
      <c r="X16" s="572" t="str">
        <f t="shared" si="44"/>
        <v/>
      </c>
      <c r="Y16" s="573" t="str">
        <f t="shared" si="15"/>
        <v/>
      </c>
      <c r="Z16" s="575" t="str">
        <f t="shared" si="45"/>
        <v/>
      </c>
      <c r="AA16" s="572" t="str">
        <f t="shared" si="46"/>
        <v/>
      </c>
      <c r="AB16" s="572" t="str">
        <f t="shared" si="47"/>
        <v/>
      </c>
      <c r="AC16" s="579" t="str">
        <f t="shared" si="48"/>
        <v/>
      </c>
      <c r="AD16" s="580" t="str">
        <f t="shared" si="49"/>
        <v/>
      </c>
      <c r="AE16" s="572" t="str">
        <f t="shared" si="50"/>
        <v/>
      </c>
      <c r="AF16" s="576" t="str">
        <f t="shared" si="51"/>
        <v/>
      </c>
      <c r="AG16" s="545" t="str">
        <f t="shared" si="52"/>
        <v/>
      </c>
      <c r="AH16" s="546" t="str">
        <f t="shared" si="53"/>
        <v/>
      </c>
      <c r="AI16" s="528" t="str">
        <f t="shared" si="54"/>
        <v/>
      </c>
      <c r="AJ16" s="529" t="str">
        <f t="shared" si="55"/>
        <v/>
      </c>
      <c r="AK16" s="578" t="str">
        <f>IF(M16="","",(COS(RADIANS((90-$Q$8)-W16))*AD16)+(-SIN(RADIANS((90-$Q$8)-W16))*AE16))</f>
        <v/>
      </c>
      <c r="AL16" s="572" t="str">
        <f t="shared" si="57"/>
        <v/>
      </c>
      <c r="AM16" s="577" t="str">
        <f t="shared" si="58"/>
        <v/>
      </c>
      <c r="AN16" s="524" t="str">
        <f t="shared" si="16"/>
        <v/>
      </c>
      <c r="AO16" s="525" t="str">
        <f t="shared" si="17"/>
        <v/>
      </c>
      <c r="AP16" s="528" t="str">
        <f t="shared" si="59"/>
        <v/>
      </c>
      <c r="AQ16" s="529" t="str">
        <f t="shared" si="60"/>
        <v/>
      </c>
      <c r="AS16" s="598" t="str">
        <f t="shared" si="18"/>
        <v/>
      </c>
      <c r="AT16" s="602" t="str">
        <f t="shared" si="61"/>
        <v/>
      </c>
      <c r="AU16" s="515" t="str">
        <f t="shared" si="19"/>
        <v/>
      </c>
      <c r="AV16" s="164" t="str">
        <f t="shared" si="64"/>
        <v/>
      </c>
      <c r="AW16" s="545" t="str">
        <f>IF($M16="","",W16-INDEX(Assy.Model!$W$9:$W$150,MATCH('SN#.Run#'!$M16,Assy.Model!$M$9:$M$150,0)))</f>
        <v/>
      </c>
      <c r="AX16" s="628" t="str">
        <f>IF($M16="","",X16-INDEX(Assy.Model!$X$9:$X$150,MATCH('SN#.Run#'!$M16,Assy.Model!$M$9:$M$150,0)))</f>
        <v/>
      </c>
      <c r="AY16" s="629" t="str">
        <f>IF($M16="","",Y16-INDEX(Assy.Model!$Y$9:$Y$150,MATCH('SN#.Run#'!$M16,Assy.Model!$M$9:$M$150,0)))</f>
        <v/>
      </c>
      <c r="AZ16" s="602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10" t="str">
        <f>IF($M16="","",AN16-INDEX(Assy.Model!$AN$9:$AN$150,MATCH('SN#.Run#'!$M16,Assy.Model!$M$9:$M$150,0)))</f>
        <v/>
      </c>
      <c r="BB16" s="525" t="str">
        <f>IF($M16="","",AO16-INDEX(Assy.Model!$AO$9:$AO$150,MATCH('SN#.Run#'!$M16,Assy.Model!$M$9:$M$150,0)))</f>
        <v/>
      </c>
      <c r="BC16" s="619" t="str">
        <f>IF($M16="","",AP16-INDEX(Assy.Model!$AP$9:$AP$150,MATCH('SN#.Run#'!$M16,Assy.Model!$M$9:$M$150,0)))</f>
        <v/>
      </c>
      <c r="BD16" s="419"/>
      <c r="BE16" s="699"/>
      <c r="BM16" s="417"/>
      <c r="BN16" s="417"/>
      <c r="BO16" s="417"/>
      <c r="BP16" s="417"/>
      <c r="BQ16" s="417"/>
      <c r="BR16" s="417"/>
      <c r="BS16" s="417"/>
      <c r="BT16" s="417"/>
      <c r="BU16" s="417"/>
      <c r="ID16" s="82"/>
      <c r="IE16" s="790" t="str">
        <f>IFERROR(IF($IU16="","",IF($IU16&lt;(((Settings!$C$19/2)*-1)*$IE$8),"Taper","Nose")),"")</f>
        <v/>
      </c>
      <c r="IF16" s="482" t="str">
        <f>IFERROR(IF((((($IW16*COS(RADIANS(180-$IY16)))*COS(RADIANS($IY16)))-(($IX16*SIN(RADIANS(180-$IY16)))*SIN(RADIANS($IY16))))+$IU16)&lt;(((Settings!$C$19+$IF$8)/2)*-1),"Gage",""),"")</f>
        <v/>
      </c>
      <c r="IG16" s="788" t="str">
        <f t="shared" si="65"/>
        <v/>
      </c>
      <c r="IH16" s="674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677" t="str" cm="1">
        <f t="array" ref="II16">IFERROR(IF($IH16&lt;1,$IH16+LARGE((IF($M$9:$M$150="",0,$M$9:$M$150)-MOD(IF($M$9:$M$150="",0,$M$9:$M$150),1)),1),$IH16),"")</f>
        <v/>
      </c>
      <c r="IJ16" s="482" t="str">
        <f t="shared" si="62"/>
        <v/>
      </c>
      <c r="IK16" s="482" t="str">
        <f t="shared" si="20"/>
        <v/>
      </c>
      <c r="IL16" s="670" t="str">
        <f>IF(ISNUMBER($II16),IFERROR(IF(INDEX($W$9:$W$150,MATCH($II16,$M$9:$M$150,0))&lt;$W16,((INDEX($W$9:$W$150,MATCH($II16,$M$9:$M$150,0))+360)-$W16),INDEX($W$9:$W$150,MATCH($II16,$M$9:$M$150,0))-$W16),""),"")</f>
        <v/>
      </c>
      <c r="IM16" s="702"/>
      <c r="IN16" s="5" t="str">
        <f>IF(ISNUMBER($II16),(($IO16*12)/60)/$AS$3,"")</f>
        <v/>
      </c>
      <c r="IO16" s="714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670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05" t="str">
        <f>IF(ISNUMBER($II16),(-1*$AN16),"")</f>
        <v/>
      </c>
      <c r="JA16" s="31" t="s">
        <v>322</v>
      </c>
      <c r="JB16" s="745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5"/>
      <c r="B17" s="578" t="str">
        <f t="shared" si="33"/>
        <v/>
      </c>
      <c r="C17" s="572" t="str">
        <f t="shared" si="10"/>
        <v/>
      </c>
      <c r="D17" s="576" t="str">
        <f t="shared" si="11"/>
        <v/>
      </c>
      <c r="E17" s="580" t="str">
        <f t="shared" si="12"/>
        <v/>
      </c>
      <c r="F17" s="572" t="str">
        <f t="shared" si="13"/>
        <v/>
      </c>
      <c r="G17" s="579" t="str">
        <f t="shared" si="14"/>
        <v/>
      </c>
      <c r="H17" s="580" t="str">
        <f t="shared" si="34"/>
        <v/>
      </c>
      <c r="I17" s="482"/>
      <c r="J17" s="483" t="str">
        <v/>
      </c>
      <c r="K17" s="806" t="str">
        <f t="shared" si="66"/>
        <v/>
      </c>
      <c r="L17" s="31"/>
      <c r="M17" s="164" t="str">
        <f t="shared" si="35"/>
        <v/>
      </c>
      <c r="N17" s="575" t="str">
        <f t="shared" si="36"/>
        <v/>
      </c>
      <c r="O17" s="572" t="str">
        <f t="shared" si="37"/>
        <v/>
      </c>
      <c r="P17" s="576" t="str">
        <f t="shared" si="38"/>
        <v/>
      </c>
      <c r="Q17" s="528" t="str">
        <f t="shared" si="63"/>
        <v/>
      </c>
      <c r="R17" s="572" t="str">
        <f t="shared" si="39"/>
        <v/>
      </c>
      <c r="S17" s="577" t="str">
        <f t="shared" si="40"/>
        <v/>
      </c>
      <c r="T17" s="578" t="str">
        <f t="shared" si="41"/>
        <v/>
      </c>
      <c r="U17" s="572" t="str">
        <f t="shared" si="42"/>
        <v/>
      </c>
      <c r="V17" s="579" t="str">
        <f>IF(M17="","",Y17)</f>
        <v/>
      </c>
      <c r="W17" s="528" t="str">
        <f t="shared" si="67"/>
        <v/>
      </c>
      <c r="X17" s="572" t="str">
        <f t="shared" si="44"/>
        <v/>
      </c>
      <c r="Y17" s="573" t="str">
        <f t="shared" si="15"/>
        <v/>
      </c>
      <c r="Z17" s="575" t="str">
        <f>IF(M17="","",-E17)</f>
        <v/>
      </c>
      <c r="AA17" s="572" t="str">
        <f t="shared" si="46"/>
        <v/>
      </c>
      <c r="AB17" s="572" t="str">
        <f>IF(M17="","",-G17)</f>
        <v/>
      </c>
      <c r="AC17" s="579" t="str">
        <f t="shared" si="48"/>
        <v/>
      </c>
      <c r="AD17" s="580" t="str">
        <f t="shared" si="49"/>
        <v/>
      </c>
      <c r="AE17" s="572" t="str">
        <f t="shared" si="50"/>
        <v/>
      </c>
      <c r="AF17" s="576" t="str">
        <f t="shared" si="51"/>
        <v/>
      </c>
      <c r="AG17" s="545" t="str">
        <f t="shared" si="52"/>
        <v/>
      </c>
      <c r="AH17" s="546" t="str">
        <f t="shared" si="53"/>
        <v/>
      </c>
      <c r="AI17" s="528" t="str">
        <f t="shared" si="54"/>
        <v/>
      </c>
      <c r="AJ17" s="529" t="str">
        <f t="shared" si="55"/>
        <v/>
      </c>
      <c r="AK17" s="578" t="str">
        <f t="shared" si="56"/>
        <v/>
      </c>
      <c r="AL17" s="572" t="str">
        <f t="shared" si="57"/>
        <v/>
      </c>
      <c r="AM17" s="577" t="str">
        <f t="shared" si="58"/>
        <v/>
      </c>
      <c r="AN17" s="524" t="str">
        <f t="shared" si="16"/>
        <v/>
      </c>
      <c r="AO17" s="525" t="str">
        <f t="shared" si="17"/>
        <v/>
      </c>
      <c r="AP17" s="528" t="str">
        <f t="shared" si="59"/>
        <v/>
      </c>
      <c r="AQ17" s="529" t="str">
        <f t="shared" si="60"/>
        <v/>
      </c>
      <c r="AS17" s="598" t="str">
        <f t="shared" si="18"/>
        <v/>
      </c>
      <c r="AT17" s="602" t="str">
        <f t="shared" si="61"/>
        <v/>
      </c>
      <c r="AU17" s="515" t="str">
        <f t="shared" si="19"/>
        <v/>
      </c>
      <c r="AV17" s="164" t="str">
        <f t="shared" si="64"/>
        <v/>
      </c>
      <c r="AW17" s="545" t="str">
        <f>IF($M17="","",W17-INDEX(Assy.Model!$W$9:$W$150,MATCH('SN#.Run#'!$M17,Assy.Model!$M$9:$M$150,0)))</f>
        <v/>
      </c>
      <c r="AX17" s="628" t="str">
        <f>IF($M17="","",X17-INDEX(Assy.Model!$X$9:$X$150,MATCH('SN#.Run#'!$M17,Assy.Model!$M$9:$M$150,0)))</f>
        <v/>
      </c>
      <c r="AY17" s="629" t="str">
        <f>IF($M17="","",Y17-INDEX(Assy.Model!$Y$9:$Y$150,MATCH('SN#.Run#'!$M17,Assy.Model!$M$9:$M$150,0)))</f>
        <v/>
      </c>
      <c r="AZ17" s="602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10" t="str">
        <f>IF($M17="","",AN17-INDEX(Assy.Model!$AN$9:$AN$150,MATCH('SN#.Run#'!$M17,Assy.Model!$M$9:$M$150,0)))</f>
        <v/>
      </c>
      <c r="BB17" s="525" t="str">
        <f>IF($M17="","",AO17-INDEX(Assy.Model!$AO$9:$AO$150,MATCH('SN#.Run#'!$M17,Assy.Model!$M$9:$M$150,0)))</f>
        <v/>
      </c>
      <c r="BC17" s="619" t="str">
        <f>IF($M17="","",AP17-INDEX(Assy.Model!$AP$9:$AP$150,MATCH('SN#.Run#'!$M17,Assy.Model!$M$9:$M$150,0)))</f>
        <v/>
      </c>
      <c r="BD17" s="419"/>
      <c r="BE17" s="699"/>
      <c r="BM17" s="417"/>
      <c r="BN17" s="417"/>
      <c r="BO17" s="417"/>
      <c r="BP17" s="417"/>
      <c r="BQ17" s="417"/>
      <c r="BR17" s="417"/>
      <c r="BS17" s="417"/>
      <c r="BT17" s="417"/>
      <c r="BU17" s="417"/>
      <c r="IE17" s="790" t="str">
        <f>IFERROR(IF($IU17="","",IF($IU17&lt;(((Settings!$C$19/2)*-1)*$IE$8),"Taper","Nose")),"")</f>
        <v/>
      </c>
      <c r="IF17" s="482" t="str">
        <f>IFERROR(IF((((($IW17*COS(RADIANS(180-$IY17)))*COS(RADIANS($IY17)))-(($IX17*SIN(RADIANS(180-$IY17)))*SIN(RADIANS($IY17))))+$IU17)&lt;(((Settings!$C$19+$IF$8)/2)*-1),"Gage",""),"")</f>
        <v/>
      </c>
      <c r="IG17" s="788" t="str">
        <f t="shared" si="65"/>
        <v/>
      </c>
      <c r="IH17" s="674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677" t="str" cm="1">
        <f t="array" ref="II17">IFERROR(IF($IH17&lt;1,$IH17+LARGE((IF($M$9:$M$150="",0,$M$9:$M$150)-MOD(IF($M$9:$M$150="",0,$M$9:$M$150),1)),1),$IH17),"")</f>
        <v/>
      </c>
      <c r="IJ17" s="482" t="str">
        <f t="shared" si="62"/>
        <v/>
      </c>
      <c r="IK17" s="482" t="str">
        <f t="shared" si="20"/>
        <v/>
      </c>
      <c r="IL17" s="670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02"/>
      <c r="IN17" s="5" t="str">
        <f t="shared" ref="IN17:IN80" si="69">IF(ISNUMBER($II17),(($IO17*12)/60)/$AS$3,"")</f>
        <v/>
      </c>
      <c r="IO17" s="714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670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05" t="str">
        <f t="shared" ref="IY17:IY80" si="77">IF(ISNUMBER($II17),(-1*$AN17),"")</f>
        <v/>
      </c>
    </row>
    <row r="18" spans="1:269" ht="15" customHeight="1" x14ac:dyDescent="0.25">
      <c r="A18" s="75"/>
      <c r="B18" s="578" t="str">
        <f t="shared" si="33"/>
        <v/>
      </c>
      <c r="C18" s="572" t="str">
        <f t="shared" si="10"/>
        <v/>
      </c>
      <c r="D18" s="576" t="str">
        <f t="shared" si="11"/>
        <v/>
      </c>
      <c r="E18" s="580" t="str">
        <f t="shared" si="12"/>
        <v/>
      </c>
      <c r="F18" s="572" t="str">
        <f t="shared" si="13"/>
        <v/>
      </c>
      <c r="G18" s="579" t="str">
        <f t="shared" si="14"/>
        <v/>
      </c>
      <c r="H18" s="580" t="str">
        <f t="shared" si="34"/>
        <v/>
      </c>
      <c r="I18" s="482"/>
      <c r="J18" s="483" t="str">
        <v/>
      </c>
      <c r="K18" s="806" t="str">
        <f t="shared" si="66"/>
        <v/>
      </c>
      <c r="L18" s="720" t="s">
        <v>322</v>
      </c>
      <c r="M18" s="164" t="str">
        <f t="shared" si="35"/>
        <v/>
      </c>
      <c r="N18" s="575" t="str">
        <f t="shared" si="36"/>
        <v/>
      </c>
      <c r="O18" s="572" t="str">
        <f t="shared" si="37"/>
        <v/>
      </c>
      <c r="P18" s="576" t="str">
        <f t="shared" si="38"/>
        <v/>
      </c>
      <c r="Q18" s="528" t="str">
        <f t="shared" si="63"/>
        <v/>
      </c>
      <c r="R18" s="572" t="str">
        <f t="shared" si="39"/>
        <v/>
      </c>
      <c r="S18" s="577" t="str">
        <f>IF(M18="","",P18)</f>
        <v/>
      </c>
      <c r="T18" s="578" t="str">
        <f t="shared" si="41"/>
        <v/>
      </c>
      <c r="U18" s="572" t="str">
        <f t="shared" si="42"/>
        <v/>
      </c>
      <c r="V18" s="579" t="str">
        <f>IF(M18="","",Y18)</f>
        <v/>
      </c>
      <c r="W18" s="528" t="str">
        <f t="shared" si="67"/>
        <v/>
      </c>
      <c r="X18" s="572" t="str">
        <f t="shared" si="44"/>
        <v/>
      </c>
      <c r="Y18" s="573" t="str">
        <f t="shared" si="15"/>
        <v/>
      </c>
      <c r="Z18" s="575" t="str">
        <f t="shared" si="45"/>
        <v/>
      </c>
      <c r="AA18" s="572" t="str">
        <f t="shared" si="46"/>
        <v/>
      </c>
      <c r="AB18" s="572" t="str">
        <f t="shared" si="47"/>
        <v/>
      </c>
      <c r="AC18" s="579" t="str">
        <f t="shared" si="48"/>
        <v/>
      </c>
      <c r="AD18" s="580" t="str">
        <f t="shared" si="49"/>
        <v/>
      </c>
      <c r="AE18" s="572" t="str">
        <f t="shared" si="50"/>
        <v/>
      </c>
      <c r="AF18" s="576" t="str">
        <f t="shared" si="51"/>
        <v/>
      </c>
      <c r="AG18" s="545" t="str">
        <f t="shared" si="52"/>
        <v/>
      </c>
      <c r="AH18" s="546" t="str">
        <f t="shared" si="53"/>
        <v/>
      </c>
      <c r="AI18" s="528" t="str">
        <f t="shared" si="54"/>
        <v/>
      </c>
      <c r="AJ18" s="529" t="str">
        <f t="shared" si="55"/>
        <v/>
      </c>
      <c r="AK18" s="578" t="str">
        <f t="shared" si="56"/>
        <v/>
      </c>
      <c r="AL18" s="572" t="str">
        <f t="shared" si="57"/>
        <v/>
      </c>
      <c r="AM18" s="577" t="str">
        <f t="shared" si="58"/>
        <v/>
      </c>
      <c r="AN18" s="524" t="str">
        <f t="shared" si="16"/>
        <v/>
      </c>
      <c r="AO18" s="525" t="str">
        <f t="shared" si="17"/>
        <v/>
      </c>
      <c r="AP18" s="528" t="str">
        <f t="shared" si="59"/>
        <v/>
      </c>
      <c r="AQ18" s="529" t="str">
        <f t="shared" si="60"/>
        <v/>
      </c>
      <c r="AS18" s="598" t="str">
        <f t="shared" si="18"/>
        <v/>
      </c>
      <c r="AT18" s="602" t="str">
        <f t="shared" si="61"/>
        <v/>
      </c>
      <c r="AU18" s="515" t="str">
        <f t="shared" si="19"/>
        <v/>
      </c>
      <c r="AV18" s="164" t="str">
        <f t="shared" si="64"/>
        <v/>
      </c>
      <c r="AW18" s="545" t="str">
        <f>IF($M18="","",W18-INDEX(Assy.Model!$W$9:$W$150,MATCH('SN#.Run#'!$M18,Assy.Model!$M$9:$M$150,0)))</f>
        <v/>
      </c>
      <c r="AX18" s="628" t="str">
        <f>IF($M18="","",X18-INDEX(Assy.Model!$X$9:$X$150,MATCH('SN#.Run#'!$M18,Assy.Model!$M$9:$M$150,0)))</f>
        <v/>
      </c>
      <c r="AY18" s="629" t="str">
        <f>IF($M18="","",Y18-INDEX(Assy.Model!$Y$9:$Y$150,MATCH('SN#.Run#'!$M18,Assy.Model!$M$9:$M$150,0)))</f>
        <v/>
      </c>
      <c r="AZ18" s="602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10" t="str">
        <f>IF($M18="","",AN18-INDEX(Assy.Model!$AN$9:$AN$150,MATCH('SN#.Run#'!$M18,Assy.Model!$M$9:$M$150,0)))</f>
        <v/>
      </c>
      <c r="BB18" s="525" t="str">
        <f>IF($M18="","",AO18-INDEX(Assy.Model!$AO$9:$AO$150,MATCH('SN#.Run#'!$M18,Assy.Model!$M$9:$M$150,0)))</f>
        <v/>
      </c>
      <c r="BC18" s="619" t="str">
        <f>IF($M18="","",AP18-INDEX(Assy.Model!$AP$9:$AP$150,MATCH('SN#.Run#'!$M18,Assy.Model!$M$9:$M$150,0)))</f>
        <v/>
      </c>
      <c r="BD18" s="419"/>
      <c r="BE18" s="699"/>
      <c r="BM18" s="417"/>
      <c r="BN18" s="417"/>
      <c r="BO18" s="417"/>
      <c r="BP18" s="417"/>
      <c r="BQ18" s="417"/>
      <c r="BR18" s="417"/>
      <c r="BS18" s="417"/>
      <c r="BT18" s="417"/>
      <c r="BU18" s="417"/>
      <c r="IE18" s="790" t="str">
        <f>IFERROR(IF($IU18="","",IF($IU18&lt;(((Settings!$C$19/2)*-1)*$IE$8),"Taper","Nose")),"")</f>
        <v/>
      </c>
      <c r="IF18" s="482" t="str">
        <f>IFERROR(IF((((($IW18*COS(RADIANS(180-$IY18)))*COS(RADIANS($IY18)))-(($IX18*SIN(RADIANS(180-$IY18)))*SIN(RADIANS($IY18))))+$IU18)&lt;(((Settings!$C$19+$IF$8)/2)*-1),"Gage",""),"")</f>
        <v/>
      </c>
      <c r="IG18" s="788" t="str">
        <f t="shared" si="65"/>
        <v/>
      </c>
      <c r="IH18" s="674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677" t="str" cm="1">
        <f t="array" ref="II18">IFERROR(IF($IH18&lt;1,$IH18+LARGE((IF($M$9:$M$150="",0,$M$9:$M$150)-MOD(IF($M$9:$M$150="",0,$M$9:$M$150),1)),1),$IH18),"")</f>
        <v/>
      </c>
      <c r="IJ18" s="482" t="str">
        <f t="shared" si="62"/>
        <v/>
      </c>
      <c r="IK18" s="482" t="str">
        <f t="shared" si="20"/>
        <v/>
      </c>
      <c r="IL18" s="670" t="str">
        <f t="shared" si="68"/>
        <v/>
      </c>
      <c r="IM18" s="702"/>
      <c r="IN18" s="5" t="str">
        <f t="shared" si="69"/>
        <v/>
      </c>
      <c r="IO18" s="714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670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05" t="str">
        <f t="shared" si="77"/>
        <v/>
      </c>
    </row>
    <row r="19" spans="1:269" ht="15" customHeight="1" thickBot="1" x14ac:dyDescent="0.3">
      <c r="A19" s="75"/>
      <c r="B19" s="578" t="str">
        <f t="shared" si="33"/>
        <v/>
      </c>
      <c r="C19" s="572" t="str">
        <f t="shared" si="10"/>
        <v/>
      </c>
      <c r="D19" s="576" t="str">
        <f t="shared" si="11"/>
        <v/>
      </c>
      <c r="E19" s="580" t="str">
        <f t="shared" si="12"/>
        <v/>
      </c>
      <c r="F19" s="572" t="str">
        <f t="shared" si="13"/>
        <v/>
      </c>
      <c r="G19" s="579" t="str">
        <f t="shared" si="14"/>
        <v/>
      </c>
      <c r="H19" s="580" t="str">
        <f t="shared" si="34"/>
        <v/>
      </c>
      <c r="I19" s="482"/>
      <c r="J19" s="483" t="str">
        <v/>
      </c>
      <c r="K19" s="806" t="str">
        <f t="shared" si="66"/>
        <v/>
      </c>
      <c r="L19" s="718" t="s">
        <v>357</v>
      </c>
      <c r="M19" s="164" t="str">
        <f t="shared" si="35"/>
        <v/>
      </c>
      <c r="N19" s="575" t="str">
        <f t="shared" si="36"/>
        <v/>
      </c>
      <c r="O19" s="572" t="str">
        <f t="shared" si="37"/>
        <v/>
      </c>
      <c r="P19" s="576" t="str">
        <f t="shared" si="38"/>
        <v/>
      </c>
      <c r="Q19" s="528" t="str">
        <f t="shared" si="63"/>
        <v/>
      </c>
      <c r="R19" s="572" t="str">
        <f t="shared" si="39"/>
        <v/>
      </c>
      <c r="S19" s="577" t="str">
        <f t="shared" si="40"/>
        <v/>
      </c>
      <c r="T19" s="578" t="str">
        <f t="shared" si="41"/>
        <v/>
      </c>
      <c r="U19" s="572" t="str">
        <f t="shared" si="42"/>
        <v/>
      </c>
      <c r="V19" s="579" t="str">
        <f>IF(M19="","",Y19)</f>
        <v/>
      </c>
      <c r="W19" s="528" t="str">
        <f t="shared" si="67"/>
        <v/>
      </c>
      <c r="X19" s="572" t="str">
        <f t="shared" si="44"/>
        <v/>
      </c>
      <c r="Y19" s="573" t="str">
        <f t="shared" si="15"/>
        <v/>
      </c>
      <c r="Z19" s="575" t="str">
        <f t="shared" si="45"/>
        <v/>
      </c>
      <c r="AA19" s="572" t="str">
        <f t="shared" si="46"/>
        <v/>
      </c>
      <c r="AB19" s="572" t="str">
        <f t="shared" si="47"/>
        <v/>
      </c>
      <c r="AC19" s="579" t="str">
        <f t="shared" si="48"/>
        <v/>
      </c>
      <c r="AD19" s="580" t="str">
        <f t="shared" si="49"/>
        <v/>
      </c>
      <c r="AE19" s="572" t="str">
        <f t="shared" si="50"/>
        <v/>
      </c>
      <c r="AF19" s="576" t="str">
        <f t="shared" si="51"/>
        <v/>
      </c>
      <c r="AG19" s="545" t="str">
        <f t="shared" si="52"/>
        <v/>
      </c>
      <c r="AH19" s="546" t="str">
        <f t="shared" si="53"/>
        <v/>
      </c>
      <c r="AI19" s="528" t="str">
        <f t="shared" si="54"/>
        <v/>
      </c>
      <c r="AJ19" s="529" t="str">
        <f t="shared" si="55"/>
        <v/>
      </c>
      <c r="AK19" s="578" t="str">
        <f t="shared" si="56"/>
        <v/>
      </c>
      <c r="AL19" s="572" t="str">
        <f t="shared" si="57"/>
        <v/>
      </c>
      <c r="AM19" s="577" t="str">
        <f t="shared" si="58"/>
        <v/>
      </c>
      <c r="AN19" s="524" t="str">
        <f t="shared" si="16"/>
        <v/>
      </c>
      <c r="AO19" s="525" t="str">
        <f t="shared" si="17"/>
        <v/>
      </c>
      <c r="AP19" s="528" t="str">
        <f t="shared" si="59"/>
        <v/>
      </c>
      <c r="AQ19" s="529" t="str">
        <f t="shared" si="60"/>
        <v/>
      </c>
      <c r="AS19" s="598" t="str">
        <f t="shared" si="18"/>
        <v/>
      </c>
      <c r="AT19" s="602" t="str">
        <f t="shared" si="61"/>
        <v/>
      </c>
      <c r="AU19" s="515" t="str">
        <f t="shared" si="19"/>
        <v/>
      </c>
      <c r="AV19" s="164" t="str">
        <f t="shared" si="64"/>
        <v/>
      </c>
      <c r="AW19" s="545" t="str">
        <f>IF($M19="","",W19-INDEX(Assy.Model!$W$9:$W$150,MATCH('SN#.Run#'!$M19,Assy.Model!$M$9:$M$150,0)))</f>
        <v/>
      </c>
      <c r="AX19" s="628" t="str">
        <f>IF($M19="","",X19-INDEX(Assy.Model!$X$9:$X$150,MATCH('SN#.Run#'!$M19,Assy.Model!$M$9:$M$150,0)))</f>
        <v/>
      </c>
      <c r="AY19" s="629" t="str">
        <f>IF($M19="","",Y19-INDEX(Assy.Model!$Y$9:$Y$150,MATCH('SN#.Run#'!$M19,Assy.Model!$M$9:$M$150,0)))</f>
        <v/>
      </c>
      <c r="AZ19" s="602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10" t="str">
        <f>IF($M19="","",AN19-INDEX(Assy.Model!$AN$9:$AN$150,MATCH('SN#.Run#'!$M19,Assy.Model!$M$9:$M$150,0)))</f>
        <v/>
      </c>
      <c r="BB19" s="525" t="str">
        <f>IF($M19="","",AO19-INDEX(Assy.Model!$AO$9:$AO$150,MATCH('SN#.Run#'!$M19,Assy.Model!$M$9:$M$150,0)))</f>
        <v/>
      </c>
      <c r="BC19" s="619" t="str">
        <f>IF($M19="","",AP19-INDEX(Assy.Model!$AP$9:$AP$150,MATCH('SN#.Run#'!$M19,Assy.Model!$M$9:$M$150,0)))</f>
        <v/>
      </c>
      <c r="BD19" s="419"/>
      <c r="BE19" s="699"/>
      <c r="BM19" s="417"/>
      <c r="BN19" s="417"/>
      <c r="BO19" s="417"/>
      <c r="BP19" s="417"/>
      <c r="BQ19" s="417"/>
      <c r="BR19" s="417"/>
      <c r="BS19" s="417"/>
      <c r="BT19" s="417"/>
      <c r="BU19" s="417"/>
      <c r="IE19" s="790" t="str">
        <f>IFERROR(IF($IU19="","",IF($IU19&lt;(((Settings!$C$19/2)*-1)*$IE$8),"Taper","Nose")),"")</f>
        <v/>
      </c>
      <c r="IF19" s="482" t="str">
        <f>IFERROR(IF((((($IW19*COS(RADIANS(180-$IY19)))*COS(RADIANS($IY19)))-(($IX19*SIN(RADIANS(180-$IY19)))*SIN(RADIANS($IY19))))+$IU19)&lt;(((Settings!$C$19+$IF$8)/2)*-1),"Gage",""),"")</f>
        <v/>
      </c>
      <c r="IG19" s="788" t="str">
        <f t="shared" si="65"/>
        <v/>
      </c>
      <c r="IH19" s="674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677" t="str" cm="1">
        <f t="array" ref="II19">IFERROR(IF($IH19&lt;1,$IH19+LARGE((IF($M$9:$M$150="",0,$M$9:$M$150)-MOD(IF($M$9:$M$150="",0,$M$9:$M$150),1)),1),$IH19),"")</f>
        <v/>
      </c>
      <c r="IJ19" s="482" t="str">
        <f t="shared" si="62"/>
        <v/>
      </c>
      <c r="IK19" s="482" t="str">
        <f t="shared" si="20"/>
        <v/>
      </c>
      <c r="IL19" s="670" t="str">
        <f t="shared" si="68"/>
        <v/>
      </c>
      <c r="IM19" s="702"/>
      <c r="IN19" s="5" t="str">
        <f t="shared" si="69"/>
        <v/>
      </c>
      <c r="IO19" s="714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670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05" t="str">
        <f t="shared" si="77"/>
        <v/>
      </c>
      <c r="JB19" s="1278" t="s">
        <v>356</v>
      </c>
      <c r="JC19" s="1279"/>
      <c r="JD19" s="1279"/>
      <c r="JE19" s="1279"/>
      <c r="JF19" s="1279"/>
      <c r="JG19" s="1279"/>
      <c r="JH19" s="1279"/>
      <c r="JI19" s="1280"/>
    </row>
    <row r="20" spans="1:269" ht="15" customHeight="1" x14ac:dyDescent="0.25">
      <c r="A20" s="75"/>
      <c r="B20" s="578" t="str">
        <f t="shared" si="33"/>
        <v/>
      </c>
      <c r="C20" s="572" t="str">
        <f t="shared" si="10"/>
        <v/>
      </c>
      <c r="D20" s="576" t="str">
        <f t="shared" si="11"/>
        <v/>
      </c>
      <c r="E20" s="580" t="str">
        <f t="shared" si="12"/>
        <v/>
      </c>
      <c r="F20" s="572" t="str">
        <f t="shared" si="13"/>
        <v/>
      </c>
      <c r="G20" s="579" t="str">
        <f t="shared" si="14"/>
        <v/>
      </c>
      <c r="H20" s="580" t="str">
        <f t="shared" si="34"/>
        <v/>
      </c>
      <c r="I20" s="482"/>
      <c r="J20" s="483" t="str">
        <v/>
      </c>
      <c r="K20" s="806" t="str">
        <f t="shared" si="66"/>
        <v/>
      </c>
      <c r="L20" s="717" t="str">
        <f>IF($L19=$JH$22,$JH$30,IF($L19=$JI$22,$JI$30,""))</f>
        <v/>
      </c>
      <c r="M20" s="164" t="str">
        <f t="shared" si="35"/>
        <v/>
      </c>
      <c r="N20" s="575" t="str">
        <f t="shared" si="36"/>
        <v/>
      </c>
      <c r="O20" s="572" t="str">
        <f t="shared" si="37"/>
        <v/>
      </c>
      <c r="P20" s="576" t="str">
        <f t="shared" si="38"/>
        <v/>
      </c>
      <c r="Q20" s="528" t="str">
        <f t="shared" si="63"/>
        <v/>
      </c>
      <c r="R20" s="572" t="str">
        <f t="shared" si="39"/>
        <v/>
      </c>
      <c r="S20" s="577" t="str">
        <f t="shared" si="40"/>
        <v/>
      </c>
      <c r="T20" s="578" t="str">
        <f t="shared" si="41"/>
        <v/>
      </c>
      <c r="U20" s="572" t="str">
        <f t="shared" si="42"/>
        <v/>
      </c>
      <c r="V20" s="579" t="str">
        <f t="shared" si="43"/>
        <v/>
      </c>
      <c r="W20" s="528" t="str">
        <f t="shared" si="67"/>
        <v/>
      </c>
      <c r="X20" s="572" t="str">
        <f t="shared" si="44"/>
        <v/>
      </c>
      <c r="Y20" s="573" t="str">
        <f t="shared" si="15"/>
        <v/>
      </c>
      <c r="Z20" s="575" t="str">
        <f t="shared" si="45"/>
        <v/>
      </c>
      <c r="AA20" s="572" t="str">
        <f t="shared" si="46"/>
        <v/>
      </c>
      <c r="AB20" s="572" t="str">
        <f t="shared" si="47"/>
        <v/>
      </c>
      <c r="AC20" s="579" t="str">
        <f t="shared" si="48"/>
        <v/>
      </c>
      <c r="AD20" s="580" t="str">
        <f t="shared" si="49"/>
        <v/>
      </c>
      <c r="AE20" s="572" t="str">
        <f t="shared" si="50"/>
        <v/>
      </c>
      <c r="AF20" s="576" t="str">
        <f t="shared" si="51"/>
        <v/>
      </c>
      <c r="AG20" s="545" t="str">
        <f t="shared" si="52"/>
        <v/>
      </c>
      <c r="AH20" s="546" t="str">
        <f t="shared" si="53"/>
        <v/>
      </c>
      <c r="AI20" s="528" t="str">
        <f t="shared" si="54"/>
        <v/>
      </c>
      <c r="AJ20" s="529" t="str">
        <f t="shared" si="55"/>
        <v/>
      </c>
      <c r="AK20" s="578" t="str">
        <f t="shared" si="56"/>
        <v/>
      </c>
      <c r="AL20" s="572" t="str">
        <f t="shared" si="57"/>
        <v/>
      </c>
      <c r="AM20" s="577" t="str">
        <f t="shared" si="58"/>
        <v/>
      </c>
      <c r="AN20" s="524" t="str">
        <f t="shared" si="16"/>
        <v/>
      </c>
      <c r="AO20" s="525" t="str">
        <f t="shared" si="17"/>
        <v/>
      </c>
      <c r="AP20" s="528" t="str">
        <f t="shared" si="59"/>
        <v/>
      </c>
      <c r="AQ20" s="529" t="str">
        <f t="shared" si="60"/>
        <v/>
      </c>
      <c r="AS20" s="598" t="str">
        <f t="shared" si="18"/>
        <v/>
      </c>
      <c r="AT20" s="602" t="str">
        <f t="shared" si="61"/>
        <v/>
      </c>
      <c r="AU20" s="515" t="str">
        <f t="shared" si="19"/>
        <v/>
      </c>
      <c r="AV20" s="164" t="str">
        <f t="shared" si="64"/>
        <v/>
      </c>
      <c r="AW20" s="545" t="str">
        <f>IF($M20="","",W20-INDEX(Assy.Model!$W$9:$W$150,MATCH('SN#.Run#'!$M20,Assy.Model!$M$9:$M$150,0)))</f>
        <v/>
      </c>
      <c r="AX20" s="628" t="str">
        <f>IF($M20="","",X20-INDEX(Assy.Model!$X$9:$X$150,MATCH('SN#.Run#'!$M20,Assy.Model!$M$9:$M$150,0)))</f>
        <v/>
      </c>
      <c r="AY20" s="629" t="str">
        <f>IF($M20="","",Y20-INDEX(Assy.Model!$Y$9:$Y$150,MATCH('SN#.Run#'!$M20,Assy.Model!$M$9:$M$150,0)))</f>
        <v/>
      </c>
      <c r="AZ20" s="602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10" t="str">
        <f>IF($M20="","",AN20-INDEX(Assy.Model!$AN$9:$AN$150,MATCH('SN#.Run#'!$M20,Assy.Model!$M$9:$M$150,0)))</f>
        <v/>
      </c>
      <c r="BB20" s="525" t="str">
        <f>IF($M20="","",AO20-INDEX(Assy.Model!$AO$9:$AO$150,MATCH('SN#.Run#'!$M20,Assy.Model!$M$9:$M$150,0)))</f>
        <v/>
      </c>
      <c r="BC20" s="619" t="str">
        <f>IF($M20="","",AP20-INDEX(Assy.Model!$AP$9:$AP$150,MATCH('SN#.Run#'!$M20,Assy.Model!$M$9:$M$150,0)))</f>
        <v/>
      </c>
      <c r="BD20" s="419"/>
      <c r="BE20" s="699"/>
      <c r="BM20" s="417"/>
      <c r="BN20" s="417"/>
      <c r="BO20" s="417"/>
      <c r="BP20" s="417"/>
      <c r="BQ20" s="417"/>
      <c r="BR20" s="417"/>
      <c r="BS20" s="417"/>
      <c r="BT20" s="417"/>
      <c r="BU20" s="417"/>
      <c r="IE20" s="790" t="str">
        <f>IFERROR(IF($IU20="","",IF($IU20&lt;(((Settings!$C$19/2)*-1)*$IE$8),"Taper","Nose")),"")</f>
        <v/>
      </c>
      <c r="IF20" s="482" t="str">
        <f>IFERROR(IF((((($IW20*COS(RADIANS(180-$IY20)))*COS(RADIANS($IY20)))-(($IX20*SIN(RADIANS(180-$IY20)))*SIN(RADIANS($IY20))))+$IU20)&lt;(((Settings!$C$19+$IF$8)/2)*-1),"Gage",""),"")</f>
        <v/>
      </c>
      <c r="IG20" s="788" t="str">
        <f t="shared" si="65"/>
        <v/>
      </c>
      <c r="IH20" s="674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677" t="str" cm="1">
        <f t="array" ref="II20">IFERROR(IF($IH20&lt;1,$IH20+LARGE((IF($M$9:$M$150="",0,$M$9:$M$150)-MOD(IF($M$9:$M$150="",0,$M$9:$M$150),1)),1),$IH20),"")</f>
        <v/>
      </c>
      <c r="IJ20" s="482" t="str">
        <f t="shared" si="62"/>
        <v/>
      </c>
      <c r="IK20" s="482" t="str">
        <f t="shared" si="20"/>
        <v/>
      </c>
      <c r="IL20" s="670" t="str">
        <f t="shared" si="68"/>
        <v/>
      </c>
      <c r="IM20" s="702"/>
      <c r="IN20" s="5" t="str">
        <f t="shared" si="69"/>
        <v/>
      </c>
      <c r="IO20" s="714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670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05" t="str">
        <f t="shared" si="77"/>
        <v/>
      </c>
      <c r="JA20" s="31"/>
      <c r="JB20" s="1281" t="s">
        <v>360</v>
      </c>
      <c r="JC20" s="1282"/>
      <c r="JD20" s="1282"/>
      <c r="JE20" s="1282"/>
      <c r="JF20" s="1042" t="s">
        <v>361</v>
      </c>
      <c r="JG20" s="1043"/>
      <c r="JH20" s="1043"/>
      <c r="JI20" s="1044"/>
    </row>
    <row r="21" spans="1:269" ht="15" customHeight="1" x14ac:dyDescent="0.25">
      <c r="A21" s="75"/>
      <c r="B21" s="578" t="str">
        <f t="shared" si="33"/>
        <v/>
      </c>
      <c r="C21" s="572" t="str">
        <f t="shared" si="10"/>
        <v/>
      </c>
      <c r="D21" s="576" t="str">
        <f t="shared" si="11"/>
        <v/>
      </c>
      <c r="E21" s="580" t="str">
        <f t="shared" si="12"/>
        <v/>
      </c>
      <c r="F21" s="572" t="str">
        <f t="shared" si="13"/>
        <v/>
      </c>
      <c r="G21" s="579" t="str">
        <f t="shared" si="14"/>
        <v/>
      </c>
      <c r="H21" s="580" t="str">
        <f t="shared" si="34"/>
        <v/>
      </c>
      <c r="I21" s="482"/>
      <c r="J21" s="483" t="str">
        <v/>
      </c>
      <c r="K21" s="806" t="str">
        <f>IF(INDEX(N$164:N$305,MATCH($M21,$M$164:$M$305,0))=0,"",INDEX(N$164:N$305,MATCH($M21,$M$164:$M$305,0)))</f>
        <v/>
      </c>
      <c r="L21" s="719" t="s">
        <v>358</v>
      </c>
      <c r="M21" s="164" t="str">
        <f t="shared" si="35"/>
        <v/>
      </c>
      <c r="N21" s="575" t="str">
        <f t="shared" si="36"/>
        <v/>
      </c>
      <c r="O21" s="572" t="str">
        <f t="shared" si="37"/>
        <v/>
      </c>
      <c r="P21" s="576" t="str">
        <f t="shared" si="38"/>
        <v/>
      </c>
      <c r="Q21" s="528" t="str">
        <f t="shared" si="63"/>
        <v/>
      </c>
      <c r="R21" s="572" t="str">
        <f t="shared" si="39"/>
        <v/>
      </c>
      <c r="S21" s="577" t="str">
        <f t="shared" si="40"/>
        <v/>
      </c>
      <c r="T21" s="578" t="str">
        <f t="shared" si="41"/>
        <v/>
      </c>
      <c r="U21" s="572" t="str">
        <f t="shared" si="42"/>
        <v/>
      </c>
      <c r="V21" s="579" t="str">
        <f t="shared" si="43"/>
        <v/>
      </c>
      <c r="W21" s="528" t="str">
        <f t="shared" si="67"/>
        <v/>
      </c>
      <c r="X21" s="572" t="str">
        <f t="shared" si="44"/>
        <v/>
      </c>
      <c r="Y21" s="573" t="str">
        <f t="shared" si="15"/>
        <v/>
      </c>
      <c r="Z21" s="575" t="str">
        <f t="shared" si="45"/>
        <v/>
      </c>
      <c r="AA21" s="572" t="str">
        <f t="shared" si="46"/>
        <v/>
      </c>
      <c r="AB21" s="572" t="str">
        <f t="shared" si="47"/>
        <v/>
      </c>
      <c r="AC21" s="579" t="str">
        <f t="shared" si="48"/>
        <v/>
      </c>
      <c r="AD21" s="580" t="str">
        <f t="shared" si="49"/>
        <v/>
      </c>
      <c r="AE21" s="572" t="str">
        <f t="shared" si="50"/>
        <v/>
      </c>
      <c r="AF21" s="576" t="str">
        <f t="shared" si="51"/>
        <v/>
      </c>
      <c r="AG21" s="545" t="str">
        <f t="shared" si="52"/>
        <v/>
      </c>
      <c r="AH21" s="546" t="str">
        <f t="shared" si="53"/>
        <v/>
      </c>
      <c r="AI21" s="528" t="str">
        <f t="shared" si="54"/>
        <v/>
      </c>
      <c r="AJ21" s="529" t="str">
        <f t="shared" si="55"/>
        <v/>
      </c>
      <c r="AK21" s="578" t="str">
        <f t="shared" si="56"/>
        <v/>
      </c>
      <c r="AL21" s="572" t="str">
        <f t="shared" si="57"/>
        <v/>
      </c>
      <c r="AM21" s="577" t="str">
        <f t="shared" si="58"/>
        <v/>
      </c>
      <c r="AN21" s="524" t="str">
        <f t="shared" si="16"/>
        <v/>
      </c>
      <c r="AO21" s="525" t="str">
        <f t="shared" si="17"/>
        <v/>
      </c>
      <c r="AP21" s="528" t="str">
        <f t="shared" si="59"/>
        <v/>
      </c>
      <c r="AQ21" s="529" t="str">
        <f t="shared" si="60"/>
        <v/>
      </c>
      <c r="AS21" s="598" t="str">
        <f t="shared" si="18"/>
        <v/>
      </c>
      <c r="AT21" s="602" t="str">
        <f t="shared" si="61"/>
        <v/>
      </c>
      <c r="AU21" s="515" t="str">
        <f t="shared" si="19"/>
        <v/>
      </c>
      <c r="AV21" s="164" t="str">
        <f t="shared" si="64"/>
        <v/>
      </c>
      <c r="AW21" s="545" t="str">
        <f>IF($M21="","",W21-INDEX(Assy.Model!$W$9:$W$150,MATCH('SN#.Run#'!$M21,Assy.Model!$M$9:$M$150,0)))</f>
        <v/>
      </c>
      <c r="AX21" s="628" t="str">
        <f>IF($M21="","",X21-INDEX(Assy.Model!$X$9:$X$150,MATCH('SN#.Run#'!$M21,Assy.Model!$M$9:$M$150,0)))</f>
        <v/>
      </c>
      <c r="AY21" s="629" t="str">
        <f>IF($M21="","",Y21-INDEX(Assy.Model!$Y$9:$Y$150,MATCH('SN#.Run#'!$M21,Assy.Model!$M$9:$M$150,0)))</f>
        <v/>
      </c>
      <c r="AZ21" s="602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10" t="str">
        <f>IF($M21="","",AN21-INDEX(Assy.Model!$AN$9:$AN$150,MATCH('SN#.Run#'!$M21,Assy.Model!$M$9:$M$150,0)))</f>
        <v/>
      </c>
      <c r="BB21" s="525" t="str">
        <f>IF($M21="","",AO21-INDEX(Assy.Model!$AO$9:$AO$150,MATCH('SN#.Run#'!$M21,Assy.Model!$M$9:$M$150,0)))</f>
        <v/>
      </c>
      <c r="BC21" s="619" t="str">
        <f>IF($M21="","",AP21-INDEX(Assy.Model!$AP$9:$AP$150,MATCH('SN#.Run#'!$M21,Assy.Model!$M$9:$M$150,0)))</f>
        <v/>
      </c>
      <c r="BD21" s="419"/>
      <c r="BE21" s="699"/>
      <c r="BM21" s="417"/>
      <c r="BN21" s="417"/>
      <c r="BO21" s="417"/>
      <c r="BP21" s="417"/>
      <c r="BQ21" s="417"/>
      <c r="BR21" s="417"/>
      <c r="BS21" s="417"/>
      <c r="BT21" s="417"/>
      <c r="BU21" s="417"/>
      <c r="IE21" s="790" t="str">
        <f>IFERROR(IF($IU21="","",IF($IU21&lt;(((Settings!$C$19/2)*-1)*$IE$8),"Taper","Nose")),"")</f>
        <v/>
      </c>
      <c r="IF21" s="482" t="str">
        <f>IFERROR(IF((((($IW21*COS(RADIANS(180-$IY21)))*COS(RADIANS($IY21)))-(($IX21*SIN(RADIANS(180-$IY21)))*SIN(RADIANS($IY21))))+$IU21)&lt;(((Settings!$C$19+$IF$8)/2)*-1),"Gage",""),"")</f>
        <v/>
      </c>
      <c r="IG21" s="788" t="str">
        <f t="shared" si="65"/>
        <v/>
      </c>
      <c r="IH21" s="674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677" t="str" cm="1">
        <f t="array" ref="II21">IFERROR(IF($IH21&lt;1,$IH21+LARGE((IF($M$9:$M$150="",0,$M$9:$M$150)-MOD(IF($M$9:$M$150="",0,$M$9:$M$150),1)),1),$IH21),"")</f>
        <v/>
      </c>
      <c r="IJ21" s="482" t="str">
        <f t="shared" si="62"/>
        <v/>
      </c>
      <c r="IK21" s="482" t="str">
        <f t="shared" si="20"/>
        <v/>
      </c>
      <c r="IL21" s="670" t="str">
        <f t="shared" si="68"/>
        <v/>
      </c>
      <c r="IM21" s="702"/>
      <c r="IN21" s="5" t="str">
        <f t="shared" si="69"/>
        <v/>
      </c>
      <c r="IO21" s="714"/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670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05" t="str">
        <f t="shared" si="77"/>
        <v/>
      </c>
      <c r="JA21" s="708"/>
      <c r="JB21" s="1126"/>
      <c r="JC21" s="1127"/>
      <c r="JD21" s="1127"/>
      <c r="JE21" s="1127"/>
      <c r="JF21" s="1045" t="s">
        <v>349</v>
      </c>
      <c r="JG21" s="1046"/>
      <c r="JH21" s="1283" t="s">
        <v>362</v>
      </c>
      <c r="JI21" s="1284"/>
    </row>
    <row r="22" spans="1:269" ht="15" customHeight="1" thickBot="1" x14ac:dyDescent="0.3">
      <c r="A22" s="75"/>
      <c r="B22" s="578" t="str">
        <f t="shared" si="33"/>
        <v/>
      </c>
      <c r="C22" s="572" t="str">
        <f t="shared" si="10"/>
        <v/>
      </c>
      <c r="D22" s="576" t="str">
        <f t="shared" si="11"/>
        <v/>
      </c>
      <c r="E22" s="580" t="str">
        <f t="shared" si="12"/>
        <v/>
      </c>
      <c r="F22" s="572" t="str">
        <f t="shared" si="13"/>
        <v/>
      </c>
      <c r="G22" s="579" t="str">
        <f t="shared" si="14"/>
        <v/>
      </c>
      <c r="H22" s="580" t="str">
        <f t="shared" si="34"/>
        <v/>
      </c>
      <c r="I22" s="482"/>
      <c r="J22" s="483" t="str">
        <v/>
      </c>
      <c r="K22" s="806" t="str">
        <f t="shared" si="66"/>
        <v/>
      </c>
      <c r="L22" s="814" t="str">
        <f>IF($L21=$JH$22,$JH$30,IF($L21=$JI$22,$JI$30,""))</f>
        <v/>
      </c>
      <c r="M22" s="164" t="str">
        <f t="shared" si="35"/>
        <v/>
      </c>
      <c r="N22" s="575" t="str">
        <f t="shared" si="36"/>
        <v/>
      </c>
      <c r="O22" s="572" t="str">
        <f t="shared" si="37"/>
        <v/>
      </c>
      <c r="P22" s="576" t="str">
        <f t="shared" si="38"/>
        <v/>
      </c>
      <c r="Q22" s="528" t="str">
        <f t="shared" si="63"/>
        <v/>
      </c>
      <c r="R22" s="572" t="str">
        <f t="shared" si="39"/>
        <v/>
      </c>
      <c r="S22" s="577" t="str">
        <f t="shared" si="40"/>
        <v/>
      </c>
      <c r="T22" s="578" t="str">
        <f t="shared" si="41"/>
        <v/>
      </c>
      <c r="U22" s="572" t="str">
        <f t="shared" si="42"/>
        <v/>
      </c>
      <c r="V22" s="579" t="str">
        <f t="shared" si="43"/>
        <v/>
      </c>
      <c r="W22" s="528" t="str">
        <f t="shared" si="67"/>
        <v/>
      </c>
      <c r="X22" s="572" t="str">
        <f t="shared" si="44"/>
        <v/>
      </c>
      <c r="Y22" s="573" t="str">
        <f t="shared" si="15"/>
        <v/>
      </c>
      <c r="Z22" s="575" t="str">
        <f t="shared" si="45"/>
        <v/>
      </c>
      <c r="AA22" s="572" t="str">
        <f t="shared" si="46"/>
        <v/>
      </c>
      <c r="AB22" s="572" t="str">
        <f t="shared" si="47"/>
        <v/>
      </c>
      <c r="AC22" s="579" t="str">
        <f t="shared" si="48"/>
        <v/>
      </c>
      <c r="AD22" s="580" t="str">
        <f t="shared" si="49"/>
        <v/>
      </c>
      <c r="AE22" s="572" t="str">
        <f t="shared" si="50"/>
        <v/>
      </c>
      <c r="AF22" s="576" t="str">
        <f t="shared" si="51"/>
        <v/>
      </c>
      <c r="AG22" s="545" t="str">
        <f t="shared" si="52"/>
        <v/>
      </c>
      <c r="AH22" s="546" t="str">
        <f t="shared" si="53"/>
        <v/>
      </c>
      <c r="AI22" s="528" t="str">
        <f t="shared" si="54"/>
        <v/>
      </c>
      <c r="AJ22" s="529" t="str">
        <f t="shared" si="55"/>
        <v/>
      </c>
      <c r="AK22" s="578" t="str">
        <f t="shared" si="56"/>
        <v/>
      </c>
      <c r="AL22" s="572" t="str">
        <f t="shared" si="57"/>
        <v/>
      </c>
      <c r="AM22" s="577" t="str">
        <f t="shared" si="58"/>
        <v/>
      </c>
      <c r="AN22" s="524" t="str">
        <f t="shared" si="16"/>
        <v/>
      </c>
      <c r="AO22" s="525" t="str">
        <f t="shared" si="17"/>
        <v/>
      </c>
      <c r="AP22" s="528" t="str">
        <f t="shared" si="59"/>
        <v/>
      </c>
      <c r="AQ22" s="529" t="str">
        <f t="shared" si="60"/>
        <v/>
      </c>
      <c r="AS22" s="598" t="str">
        <f t="shared" si="18"/>
        <v/>
      </c>
      <c r="AT22" s="602" t="str">
        <f t="shared" si="61"/>
        <v/>
      </c>
      <c r="AU22" s="515" t="str">
        <f t="shared" si="19"/>
        <v/>
      </c>
      <c r="AV22" s="164" t="str">
        <f t="shared" si="64"/>
        <v/>
      </c>
      <c r="AW22" s="545" t="str">
        <f>IF($M22="","",W22-INDEX(Assy.Model!$W$9:$W$150,MATCH('SN#.Run#'!$M22,Assy.Model!$M$9:$M$150,0)))</f>
        <v/>
      </c>
      <c r="AX22" s="628" t="str">
        <f>IF($M22="","",X22-INDEX(Assy.Model!$X$9:$X$150,MATCH('SN#.Run#'!$M22,Assy.Model!$M$9:$M$150,0)))</f>
        <v/>
      </c>
      <c r="AY22" s="629" t="str">
        <f>IF($M22="","",Y22-INDEX(Assy.Model!$Y$9:$Y$150,MATCH('SN#.Run#'!$M22,Assy.Model!$M$9:$M$150,0)))</f>
        <v/>
      </c>
      <c r="AZ22" s="602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10" t="str">
        <f>IF($M22="","",AN22-INDEX(Assy.Model!$AN$9:$AN$150,MATCH('SN#.Run#'!$M22,Assy.Model!$M$9:$M$150,0)))</f>
        <v/>
      </c>
      <c r="BB22" s="525" t="str">
        <f>IF($M22="","",AO22-INDEX(Assy.Model!$AO$9:$AO$150,MATCH('SN#.Run#'!$M22,Assy.Model!$M$9:$M$150,0)))</f>
        <v/>
      </c>
      <c r="BC22" s="619" t="str">
        <f>IF($M22="","",AP22-INDEX(Assy.Model!$AP$9:$AP$150,MATCH('SN#.Run#'!$M22,Assy.Model!$M$9:$M$150,0)))</f>
        <v/>
      </c>
      <c r="BD22" s="419"/>
      <c r="BE22" s="699"/>
      <c r="BM22" s="417"/>
      <c r="BN22" s="417"/>
      <c r="BO22" s="417"/>
      <c r="BP22" s="417"/>
      <c r="BQ22" s="417"/>
      <c r="BR22" s="417"/>
      <c r="BS22" s="417"/>
      <c r="BT22" s="417"/>
      <c r="BU22" s="417"/>
      <c r="IE22" s="790" t="str">
        <f>IFERROR(IF($IU22="","",IF($IU22&lt;(((Settings!$C$19/2)*-1)*$IE$8),"Taper","Nose")),"")</f>
        <v/>
      </c>
      <c r="IF22" s="482" t="str">
        <f>IFERROR(IF((((($IW22*COS(RADIANS(180-$IY22)))*COS(RADIANS($IY22)))-(($IX22*SIN(RADIANS(180-$IY22)))*SIN(RADIANS($IY22))))+$IU22)&lt;(((Settings!$C$19+$IF$8)/2)*-1),"Gage",""),"")</f>
        <v/>
      </c>
      <c r="IG22" s="788" t="str">
        <f t="shared" si="65"/>
        <v/>
      </c>
      <c r="IH22" s="674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677" t="str" cm="1">
        <f t="array" ref="II22">IFERROR(IF($IH22&lt;1,$IH22+LARGE((IF($M$9:$M$150="",0,$M$9:$M$150)-MOD(IF($M$9:$M$150="",0,$M$9:$M$150),1)),1),$IH22),"")</f>
        <v/>
      </c>
      <c r="IJ22" s="482" t="str">
        <f t="shared" si="62"/>
        <v/>
      </c>
      <c r="IK22" s="482" t="str">
        <f t="shared" si="20"/>
        <v/>
      </c>
      <c r="IL22" s="670" t="str">
        <f t="shared" si="68"/>
        <v/>
      </c>
      <c r="IM22" s="702"/>
      <c r="IN22" s="5" t="str">
        <f t="shared" si="69"/>
        <v/>
      </c>
      <c r="IO22" s="714"/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670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05" t="str">
        <f t="shared" si="77"/>
        <v/>
      </c>
      <c r="JA22" s="31" t="s">
        <v>352</v>
      </c>
      <c r="JB22" s="801" t="s">
        <v>379</v>
      </c>
      <c r="JC22" s="361" t="s">
        <v>350</v>
      </c>
      <c r="JD22" s="361" t="s">
        <v>353</v>
      </c>
      <c r="JE22" s="333" t="s">
        <v>102</v>
      </c>
      <c r="JF22" s="802" t="str" cm="1">
        <f t="array" ref="JF22">IFERROR(TRANSPOSE(_xlfn._xlws.SORT(_xlfn.UNIQUE(_xlfn._xlws.FILTER($IE$9:$IE$150,$IE$9:$IE$150&lt;&gt;"")),,1)),"")</f>
        <v/>
      </c>
      <c r="JG22" s="803"/>
      <c r="JH22" s="804" t="str" cm="1">
        <f t="array" ref="JH22">IFERROR(TRANSPOSE(_xlfn._xlws.SORT(_xlfn.UNIQUE(_xlfn._xlws.FILTER($IE$9:$IE$150,$IE$9:$IE$150&lt;&gt;"")),,1)),"")</f>
        <v/>
      </c>
      <c r="JI22" s="803"/>
    </row>
    <row r="23" spans="1:269" ht="15" customHeight="1" thickTop="1" x14ac:dyDescent="0.25">
      <c r="A23" s="75"/>
      <c r="B23" s="578" t="str">
        <f t="shared" si="33"/>
        <v/>
      </c>
      <c r="C23" s="572" t="str">
        <f t="shared" si="10"/>
        <v/>
      </c>
      <c r="D23" s="576" t="str">
        <f t="shared" si="11"/>
        <v/>
      </c>
      <c r="E23" s="580" t="str">
        <f t="shared" si="12"/>
        <v/>
      </c>
      <c r="F23" s="572" t="str">
        <f t="shared" si="13"/>
        <v/>
      </c>
      <c r="G23" s="579" t="str">
        <f t="shared" si="14"/>
        <v/>
      </c>
      <c r="H23" s="580" t="str">
        <f t="shared" si="34"/>
        <v/>
      </c>
      <c r="I23" s="482"/>
      <c r="J23" s="483" t="str">
        <v/>
      </c>
      <c r="K23" s="806" t="str">
        <f t="shared" si="66"/>
        <v/>
      </c>
      <c r="L23" s="31"/>
      <c r="M23" s="164" t="str">
        <f t="shared" si="35"/>
        <v/>
      </c>
      <c r="N23" s="575" t="str">
        <f t="shared" si="36"/>
        <v/>
      </c>
      <c r="O23" s="572" t="str">
        <f t="shared" si="37"/>
        <v/>
      </c>
      <c r="P23" s="576" t="str">
        <f t="shared" si="38"/>
        <v/>
      </c>
      <c r="Q23" s="528" t="str">
        <f t="shared" si="63"/>
        <v/>
      </c>
      <c r="R23" s="572" t="str">
        <f t="shared" si="39"/>
        <v/>
      </c>
      <c r="S23" s="577" t="str">
        <f t="shared" si="40"/>
        <v/>
      </c>
      <c r="T23" s="578" t="str">
        <f t="shared" si="41"/>
        <v/>
      </c>
      <c r="U23" s="572" t="str">
        <f t="shared" si="42"/>
        <v/>
      </c>
      <c r="V23" s="579" t="str">
        <f t="shared" si="43"/>
        <v/>
      </c>
      <c r="W23" s="528" t="str">
        <f t="shared" si="67"/>
        <v/>
      </c>
      <c r="X23" s="572" t="str">
        <f t="shared" si="44"/>
        <v/>
      </c>
      <c r="Y23" s="573" t="str">
        <f t="shared" si="15"/>
        <v/>
      </c>
      <c r="Z23" s="575" t="str">
        <f t="shared" si="45"/>
        <v/>
      </c>
      <c r="AA23" s="572" t="str">
        <f t="shared" si="46"/>
        <v/>
      </c>
      <c r="AB23" s="572" t="str">
        <f t="shared" si="47"/>
        <v/>
      </c>
      <c r="AC23" s="579" t="str">
        <f t="shared" si="48"/>
        <v/>
      </c>
      <c r="AD23" s="580" t="str">
        <f t="shared" si="49"/>
        <v/>
      </c>
      <c r="AE23" s="572" t="str">
        <f t="shared" si="50"/>
        <v/>
      </c>
      <c r="AF23" s="576" t="str">
        <f t="shared" si="51"/>
        <v/>
      </c>
      <c r="AG23" s="545" t="str">
        <f t="shared" si="52"/>
        <v/>
      </c>
      <c r="AH23" s="546" t="str">
        <f t="shared" si="53"/>
        <v/>
      </c>
      <c r="AI23" s="528" t="str">
        <f t="shared" si="54"/>
        <v/>
      </c>
      <c r="AJ23" s="529" t="str">
        <f t="shared" si="55"/>
        <v/>
      </c>
      <c r="AK23" s="578" t="str">
        <f t="shared" si="56"/>
        <v/>
      </c>
      <c r="AL23" s="572" t="str">
        <f t="shared" si="57"/>
        <v/>
      </c>
      <c r="AM23" s="577" t="str">
        <f t="shared" si="58"/>
        <v/>
      </c>
      <c r="AN23" s="524" t="str">
        <f t="shared" si="16"/>
        <v/>
      </c>
      <c r="AO23" s="525" t="str">
        <f t="shared" si="17"/>
        <v/>
      </c>
      <c r="AP23" s="528" t="str">
        <f t="shared" si="59"/>
        <v/>
      </c>
      <c r="AQ23" s="529" t="str">
        <f t="shared" si="60"/>
        <v/>
      </c>
      <c r="AS23" s="598" t="str">
        <f t="shared" si="18"/>
        <v/>
      </c>
      <c r="AT23" s="602" t="str">
        <f t="shared" si="61"/>
        <v/>
      </c>
      <c r="AU23" s="515" t="str">
        <f t="shared" si="19"/>
        <v/>
      </c>
      <c r="AV23" s="164" t="str">
        <f t="shared" si="64"/>
        <v/>
      </c>
      <c r="AW23" s="545" t="str">
        <f>IF($M23="","",W23-INDEX(Assy.Model!$W$9:$W$150,MATCH('SN#.Run#'!$M23,Assy.Model!$M$9:$M$150,0)))</f>
        <v/>
      </c>
      <c r="AX23" s="628" t="str">
        <f>IF($M23="","",X23-INDEX(Assy.Model!$X$9:$X$150,MATCH('SN#.Run#'!$M23,Assy.Model!$M$9:$M$150,0)))</f>
        <v/>
      </c>
      <c r="AY23" s="629" t="str">
        <f>IF($M23="","",Y23-INDEX(Assy.Model!$Y$9:$Y$150,MATCH('SN#.Run#'!$M23,Assy.Model!$M$9:$M$150,0)))</f>
        <v/>
      </c>
      <c r="AZ23" s="602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10" t="str">
        <f>IF($M23="","",AN23-INDEX(Assy.Model!$AN$9:$AN$150,MATCH('SN#.Run#'!$M23,Assy.Model!$M$9:$M$150,0)))</f>
        <v/>
      </c>
      <c r="BB23" s="525" t="str">
        <f>IF($M23="","",AO23-INDEX(Assy.Model!$AO$9:$AO$150,MATCH('SN#.Run#'!$M23,Assy.Model!$M$9:$M$150,0)))</f>
        <v/>
      </c>
      <c r="BC23" s="619" t="str">
        <f>IF($M23="","",AP23-INDEX(Assy.Model!$AP$9:$AP$150,MATCH('SN#.Run#'!$M23,Assy.Model!$M$9:$M$150,0)))</f>
        <v/>
      </c>
      <c r="BD23" s="419"/>
      <c r="BE23" s="699"/>
      <c r="BM23" s="417"/>
      <c r="BN23" s="417"/>
      <c r="BO23" s="417"/>
      <c r="BP23" s="417"/>
      <c r="BQ23" s="417"/>
      <c r="BR23" s="417"/>
      <c r="BS23" s="417"/>
      <c r="BT23" s="417"/>
      <c r="BU23" s="417"/>
      <c r="IE23" s="790" t="str">
        <f>IFERROR(IF($IU23="","",IF($IU23&lt;(((Settings!$C$19/2)*-1)*$IE$8),"Taper","Nose")),"")</f>
        <v/>
      </c>
      <c r="IF23" s="482" t="str">
        <f>IFERROR(IF((((($IW23*COS(RADIANS(180-$IY23)))*COS(RADIANS($IY23)))-(($IX23*SIN(RADIANS(180-$IY23)))*SIN(RADIANS($IY23))))+$IU23)&lt;(((Settings!$C$19+$IF$8)/2)*-1),"Gage",""),"")</f>
        <v/>
      </c>
      <c r="IG23" s="788" t="str">
        <f t="shared" si="65"/>
        <v/>
      </c>
      <c r="IH23" s="674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677" t="str" cm="1">
        <f t="array" ref="II23">IFERROR(IF($IH23&lt;1,$IH23+LARGE((IF($M$9:$M$150="",0,$M$9:$M$150)-MOD(IF($M$9:$M$150="",0,$M$9:$M$150),1)),1),$IH23),"")</f>
        <v/>
      </c>
      <c r="IJ23" s="482" t="str">
        <f t="shared" si="62"/>
        <v/>
      </c>
      <c r="IK23" s="482" t="str">
        <f t="shared" si="20"/>
        <v/>
      </c>
      <c r="IL23" s="670" t="str">
        <f t="shared" si="68"/>
        <v/>
      </c>
      <c r="IM23" s="702"/>
      <c r="IN23" s="5" t="str">
        <f t="shared" si="69"/>
        <v/>
      </c>
      <c r="IO23" s="714"/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670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05" t="str">
        <f t="shared" si="77"/>
        <v/>
      </c>
      <c r="JA23" s="796" t="str" cm="1">
        <f t="array" ref="JA23">IFERROR(_xlfn._xlws.SORT(_xlfn.UNIQUE(_xlfn._xlws.FILTER($IK$9:$IK$150,$IK$9:$IK$150&lt;&gt;"")),,1),"")</f>
        <v/>
      </c>
      <c r="JB23" s="800" t="str" cm="1">
        <f t="array" ref="JB23">IFERROR(IF($JA23="","",COUNT(IF(IF($II$9:$II$150&lt;&gt;"",$IK$9:$IK$150,"")=$JA23,$IG$9:$IG$150,""))),"")</f>
        <v/>
      </c>
      <c r="JC23" s="191" t="str" cm="1">
        <f t="array" ref="JC23">IF($JA23="","",AVERAGE(IF(IF($II$9:$II$150&lt;&gt;"",$K$9:$K$150,"")=$JA23,$AZ$9:$AZ$150,"")))</f>
        <v/>
      </c>
      <c r="JD23" s="191" t="str" cm="1">
        <f t="array" ref="JD23">IF($JA23="","",_xlfn.STDEV.P(IF(IF($II$9:$II$150&lt;&gt;"",$K$9:$K$150,"")=$JA23,$AZ$9:$AZ$150,"")))</f>
        <v/>
      </c>
      <c r="JE23" s="698" t="str" cm="1">
        <f t="array" ref="JE23">IF($JA23="","",MAX(IF(IF($II$9:$II$150&lt;&gt;"",$K$9:$K$150,"")=$JA23,$AZ$9:$AZ$150,"")))</f>
        <v/>
      </c>
      <c r="JF23" s="737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742"/>
      <c r="JH23" s="741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742"/>
    </row>
    <row r="24" spans="1:269" ht="15" customHeight="1" x14ac:dyDescent="0.25">
      <c r="A24" s="75"/>
      <c r="B24" s="578" t="str">
        <f t="shared" si="33"/>
        <v/>
      </c>
      <c r="C24" s="572" t="str">
        <f t="shared" si="10"/>
        <v/>
      </c>
      <c r="D24" s="576" t="str">
        <f t="shared" si="11"/>
        <v/>
      </c>
      <c r="E24" s="580" t="str">
        <f t="shared" si="12"/>
        <v/>
      </c>
      <c r="F24" s="572" t="str">
        <f t="shared" si="13"/>
        <v/>
      </c>
      <c r="G24" s="579" t="str">
        <f t="shared" si="14"/>
        <v/>
      </c>
      <c r="H24" s="580" t="str">
        <f t="shared" si="34"/>
        <v/>
      </c>
      <c r="I24" s="482"/>
      <c r="J24" s="483" t="str">
        <v/>
      </c>
      <c r="K24" s="806" t="str">
        <f t="shared" si="66"/>
        <v/>
      </c>
      <c r="L24" s="82"/>
      <c r="M24" s="164" t="str">
        <f t="shared" si="35"/>
        <v/>
      </c>
      <c r="N24" s="575" t="str">
        <f t="shared" si="36"/>
        <v/>
      </c>
      <c r="O24" s="572" t="str">
        <f t="shared" si="37"/>
        <v/>
      </c>
      <c r="P24" s="576" t="str">
        <f t="shared" si="38"/>
        <v/>
      </c>
      <c r="Q24" s="528" t="str">
        <f t="shared" si="63"/>
        <v/>
      </c>
      <c r="R24" s="572" t="str">
        <f t="shared" si="39"/>
        <v/>
      </c>
      <c r="S24" s="577" t="str">
        <f t="shared" si="40"/>
        <v/>
      </c>
      <c r="T24" s="578" t="str">
        <f t="shared" si="41"/>
        <v/>
      </c>
      <c r="U24" s="572" t="str">
        <f t="shared" si="42"/>
        <v/>
      </c>
      <c r="V24" s="579" t="str">
        <f t="shared" si="43"/>
        <v/>
      </c>
      <c r="W24" s="528" t="str">
        <f t="shared" si="67"/>
        <v/>
      </c>
      <c r="X24" s="572" t="str">
        <f t="shared" si="44"/>
        <v/>
      </c>
      <c r="Y24" s="573" t="str">
        <f t="shared" si="15"/>
        <v/>
      </c>
      <c r="Z24" s="575" t="str">
        <f t="shared" si="45"/>
        <v/>
      </c>
      <c r="AA24" s="572" t="str">
        <f t="shared" si="46"/>
        <v/>
      </c>
      <c r="AB24" s="572" t="str">
        <f t="shared" si="47"/>
        <v/>
      </c>
      <c r="AC24" s="579" t="str">
        <f t="shared" si="48"/>
        <v/>
      </c>
      <c r="AD24" s="580" t="str">
        <f t="shared" si="49"/>
        <v/>
      </c>
      <c r="AE24" s="572" t="str">
        <f t="shared" si="50"/>
        <v/>
      </c>
      <c r="AF24" s="576" t="str">
        <f t="shared" si="51"/>
        <v/>
      </c>
      <c r="AG24" s="545" t="str">
        <f t="shared" si="52"/>
        <v/>
      </c>
      <c r="AH24" s="546" t="str">
        <f t="shared" si="53"/>
        <v/>
      </c>
      <c r="AI24" s="528" t="str">
        <f t="shared" si="54"/>
        <v/>
      </c>
      <c r="AJ24" s="529" t="str">
        <f t="shared" si="55"/>
        <v/>
      </c>
      <c r="AK24" s="578" t="str">
        <f t="shared" si="56"/>
        <v/>
      </c>
      <c r="AL24" s="572" t="str">
        <f t="shared" si="57"/>
        <v/>
      </c>
      <c r="AM24" s="577" t="str">
        <f t="shared" si="58"/>
        <v/>
      </c>
      <c r="AN24" s="524" t="str">
        <f t="shared" si="16"/>
        <v/>
      </c>
      <c r="AO24" s="525" t="str">
        <f t="shared" si="17"/>
        <v/>
      </c>
      <c r="AP24" s="528" t="str">
        <f t="shared" si="59"/>
        <v/>
      </c>
      <c r="AQ24" s="529" t="str">
        <f t="shared" si="60"/>
        <v/>
      </c>
      <c r="AS24" s="598" t="str">
        <f>IF(M24="","",IF(W24&lt;=LARGE($W$9:$W$17,1),W24,W24-360))</f>
        <v/>
      </c>
      <c r="AT24" s="602" t="str">
        <f t="shared" si="61"/>
        <v/>
      </c>
      <c r="AU24" s="515" t="str">
        <f t="shared" si="19"/>
        <v/>
      </c>
      <c r="AV24" s="164" t="str">
        <f t="shared" si="64"/>
        <v/>
      </c>
      <c r="AW24" s="545" t="str">
        <f>IF($M24="","",W24-INDEX(Assy.Model!$W$9:$W$150,MATCH('SN#.Run#'!$M24,Assy.Model!$M$9:$M$150,0)))</f>
        <v/>
      </c>
      <c r="AX24" s="628" t="str">
        <f>IF($M24="","",X24-INDEX(Assy.Model!$X$9:$X$150,MATCH('SN#.Run#'!$M24,Assy.Model!$M$9:$M$150,0)))</f>
        <v/>
      </c>
      <c r="AY24" s="629" t="str">
        <f>IF($M24="","",Y24-INDEX(Assy.Model!$Y$9:$Y$150,MATCH('SN#.Run#'!$M24,Assy.Model!$M$9:$M$150,0)))</f>
        <v/>
      </c>
      <c r="AZ24" s="602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10" t="str">
        <f>IF($M24="","",AN24-INDEX(Assy.Model!$AN$9:$AN$150,MATCH('SN#.Run#'!$M24,Assy.Model!$M$9:$M$150,0)))</f>
        <v/>
      </c>
      <c r="BB24" s="525" t="str">
        <f>IF($M24="","",AO24-INDEX(Assy.Model!$AO$9:$AO$150,MATCH('SN#.Run#'!$M24,Assy.Model!$M$9:$M$150,0)))</f>
        <v/>
      </c>
      <c r="BC24" s="619" t="str">
        <f>IF($M24="","",AP24-INDEX(Assy.Model!$AP$9:$AP$150,MATCH('SN#.Run#'!$M24,Assy.Model!$M$9:$M$150,0)))</f>
        <v/>
      </c>
      <c r="BD24" s="419"/>
      <c r="BE24" s="699"/>
      <c r="BM24" s="417"/>
      <c r="BN24" s="417"/>
      <c r="BO24" s="417"/>
      <c r="BP24" s="417"/>
      <c r="BQ24" s="417"/>
      <c r="BR24" s="417"/>
      <c r="BS24" s="417"/>
      <c r="BT24" s="417"/>
      <c r="BU24" s="417"/>
      <c r="IE24" s="790" t="str">
        <f>IFERROR(IF($IU24="","",IF($IU24&lt;(((Settings!$C$19/2)*-1)*$IE$8),"Taper","Nose")),"")</f>
        <v/>
      </c>
      <c r="IF24" s="482" t="str">
        <f>IFERROR(IF((((($IW24*COS(RADIANS(180-$IY24)))*COS(RADIANS($IY24)))-(($IX24*SIN(RADIANS(180-$IY24)))*SIN(RADIANS($IY24))))+$IU24)&lt;(((Settings!$C$19+$IF$8)/2)*-1),"Gage",""),"")</f>
        <v/>
      </c>
      <c r="IG24" s="788" t="str">
        <f t="shared" si="65"/>
        <v/>
      </c>
      <c r="IH24" s="674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677" t="str" cm="1">
        <f t="array" ref="II24">IFERROR(IF($IH24&lt;1,$IH24+LARGE((IF($M$9:$M$150="",0,$M$9:$M$150)-MOD(IF($M$9:$M$150="",0,$M$9:$M$150),1)),1),$IH24),"")</f>
        <v/>
      </c>
      <c r="IJ24" s="482" t="str">
        <f t="shared" si="62"/>
        <v/>
      </c>
      <c r="IK24" s="482" t="str">
        <f t="shared" si="20"/>
        <v/>
      </c>
      <c r="IL24" s="670" t="str">
        <f t="shared" si="68"/>
        <v/>
      </c>
      <c r="IM24" s="702"/>
      <c r="IN24" s="5" t="str">
        <f t="shared" si="69"/>
        <v/>
      </c>
      <c r="IO24" s="714"/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670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05" t="str">
        <f t="shared" si="77"/>
        <v/>
      </c>
      <c r="JA24" s="739"/>
      <c r="JB24" s="797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36"/>
      <c r="JG24" s="744"/>
      <c r="JH24" s="728"/>
      <c r="JI24" s="744"/>
    </row>
    <row r="25" spans="1:269" ht="15" customHeight="1" x14ac:dyDescent="0.25">
      <c r="A25" s="75"/>
      <c r="B25" s="578" t="str">
        <f t="shared" si="33"/>
        <v/>
      </c>
      <c r="C25" s="572" t="str">
        <f t="shared" si="10"/>
        <v/>
      </c>
      <c r="D25" s="576" t="str">
        <f t="shared" si="11"/>
        <v/>
      </c>
      <c r="E25" s="580" t="str">
        <f t="shared" si="12"/>
        <v/>
      </c>
      <c r="F25" s="572" t="str">
        <f t="shared" si="13"/>
        <v/>
      </c>
      <c r="G25" s="579" t="str">
        <f t="shared" si="14"/>
        <v/>
      </c>
      <c r="H25" s="580" t="str">
        <f t="shared" si="34"/>
        <v/>
      </c>
      <c r="I25" s="482"/>
      <c r="J25" s="483" t="str">
        <v/>
      </c>
      <c r="K25" s="806" t="str">
        <f t="shared" si="66"/>
        <v/>
      </c>
      <c r="L25" s="82"/>
      <c r="M25" s="164" t="str">
        <f t="shared" si="35"/>
        <v/>
      </c>
      <c r="N25" s="575" t="str">
        <f t="shared" si="36"/>
        <v/>
      </c>
      <c r="O25" s="572" t="str">
        <f t="shared" si="37"/>
        <v/>
      </c>
      <c r="P25" s="576" t="str">
        <f t="shared" si="38"/>
        <v/>
      </c>
      <c r="Q25" s="528" t="str">
        <f t="shared" si="63"/>
        <v/>
      </c>
      <c r="R25" s="572" t="str">
        <f t="shared" si="39"/>
        <v/>
      </c>
      <c r="S25" s="577" t="str">
        <f t="shared" si="40"/>
        <v/>
      </c>
      <c r="T25" s="578" t="str">
        <f t="shared" si="41"/>
        <v/>
      </c>
      <c r="U25" s="572" t="str">
        <f t="shared" si="42"/>
        <v/>
      </c>
      <c r="V25" s="579" t="str">
        <f t="shared" si="43"/>
        <v/>
      </c>
      <c r="W25" s="528" t="str">
        <f t="shared" si="67"/>
        <v/>
      </c>
      <c r="X25" s="572" t="str">
        <f t="shared" si="44"/>
        <v/>
      </c>
      <c r="Y25" s="573" t="str">
        <f t="shared" si="15"/>
        <v/>
      </c>
      <c r="Z25" s="575" t="str">
        <f t="shared" si="45"/>
        <v/>
      </c>
      <c r="AA25" s="572" t="str">
        <f t="shared" si="46"/>
        <v/>
      </c>
      <c r="AB25" s="572" t="str">
        <f t="shared" si="47"/>
        <v/>
      </c>
      <c r="AC25" s="579" t="str">
        <f t="shared" si="48"/>
        <v/>
      </c>
      <c r="AD25" s="580" t="str">
        <f t="shared" si="49"/>
        <v/>
      </c>
      <c r="AE25" s="572" t="str">
        <f t="shared" si="50"/>
        <v/>
      </c>
      <c r="AF25" s="576" t="str">
        <f t="shared" si="51"/>
        <v/>
      </c>
      <c r="AG25" s="545" t="str">
        <f t="shared" si="52"/>
        <v/>
      </c>
      <c r="AH25" s="546" t="str">
        <f t="shared" si="53"/>
        <v/>
      </c>
      <c r="AI25" s="528" t="str">
        <f t="shared" si="54"/>
        <v/>
      </c>
      <c r="AJ25" s="529" t="str">
        <f t="shared" si="55"/>
        <v/>
      </c>
      <c r="AK25" s="578" t="str">
        <f t="shared" si="56"/>
        <v/>
      </c>
      <c r="AL25" s="572" t="str">
        <f t="shared" si="57"/>
        <v/>
      </c>
      <c r="AM25" s="577" t="str">
        <f t="shared" si="58"/>
        <v/>
      </c>
      <c r="AN25" s="524" t="str">
        <f t="shared" si="16"/>
        <v/>
      </c>
      <c r="AO25" s="525" t="str">
        <f t="shared" si="17"/>
        <v/>
      </c>
      <c r="AP25" s="528" t="str">
        <f t="shared" si="59"/>
        <v/>
      </c>
      <c r="AQ25" s="529" t="str">
        <f t="shared" si="60"/>
        <v/>
      </c>
      <c r="AS25" s="598" t="str">
        <f t="shared" si="18"/>
        <v/>
      </c>
      <c r="AT25" s="602" t="str">
        <f t="shared" si="61"/>
        <v/>
      </c>
      <c r="AU25" s="515" t="str">
        <f t="shared" si="19"/>
        <v/>
      </c>
      <c r="AV25" s="164" t="str">
        <f t="shared" si="64"/>
        <v/>
      </c>
      <c r="AW25" s="545" t="str">
        <f>IF($M25="","",W25-INDEX(Assy.Model!$W$9:$W$150,MATCH('SN#.Run#'!$M25,Assy.Model!$M$9:$M$150,0)))</f>
        <v/>
      </c>
      <c r="AX25" s="628" t="str">
        <f>IF($M25="","",X25-INDEX(Assy.Model!$X$9:$X$150,MATCH('SN#.Run#'!$M25,Assy.Model!$M$9:$M$150,0)))</f>
        <v/>
      </c>
      <c r="AY25" s="629" t="str">
        <f>IF($M25="","",Y25-INDEX(Assy.Model!$Y$9:$Y$150,MATCH('SN#.Run#'!$M25,Assy.Model!$M$9:$M$150,0)))</f>
        <v/>
      </c>
      <c r="AZ25" s="602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10" t="str">
        <f>IF($M25="","",AN25-INDEX(Assy.Model!$AN$9:$AN$150,MATCH('SN#.Run#'!$M25,Assy.Model!$M$9:$M$150,0)))</f>
        <v/>
      </c>
      <c r="BB25" s="525" t="str">
        <f>IF($M25="","",AO25-INDEX(Assy.Model!$AO$9:$AO$150,MATCH('SN#.Run#'!$M25,Assy.Model!$M$9:$M$150,0)))</f>
        <v/>
      </c>
      <c r="BC25" s="619" t="str">
        <f>IF($M25="","",AP25-INDEX(Assy.Model!$AP$9:$AP$150,MATCH('SN#.Run#'!$M25,Assy.Model!$M$9:$M$150,0)))</f>
        <v/>
      </c>
      <c r="BD25" s="419"/>
      <c r="BE25" s="699"/>
      <c r="BM25" s="417"/>
      <c r="BN25" s="417"/>
      <c r="BO25" s="417"/>
      <c r="BP25" s="417"/>
      <c r="BQ25" s="417"/>
      <c r="BR25" s="417"/>
      <c r="BS25" s="417"/>
      <c r="BT25" s="417"/>
      <c r="BU25" s="417"/>
      <c r="IE25" s="790" t="str">
        <f>IFERROR(IF($IU25="","",IF($IU25&lt;(((Settings!$C$19/2)*-1)*$IE$8),"Taper","Nose")),"")</f>
        <v/>
      </c>
      <c r="IF25" s="482" t="str">
        <f>IFERROR(IF((((($IW25*COS(RADIANS(180-$IY25)))*COS(RADIANS($IY25)))-(($IX25*SIN(RADIANS(180-$IY25)))*SIN(RADIANS($IY25))))+$IU25)&lt;(((Settings!$C$19+$IF$8)/2)*-1),"Gage",""),"")</f>
        <v/>
      </c>
      <c r="IG25" s="788" t="str">
        <f t="shared" si="65"/>
        <v/>
      </c>
      <c r="IH25" s="674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677" t="str" cm="1">
        <f t="array" ref="II25">IFERROR(IF($IH25&lt;1,$IH25+LARGE((IF($M$9:$M$150="",0,$M$9:$M$150)-MOD(IF($M$9:$M$150="",0,$M$9:$M$150),1)),1),$IH25),"")</f>
        <v/>
      </c>
      <c r="IJ25" s="482" t="str">
        <f t="shared" si="62"/>
        <v/>
      </c>
      <c r="IK25" s="482" t="str">
        <f t="shared" si="20"/>
        <v/>
      </c>
      <c r="IL25" s="670" t="str">
        <f t="shared" si="68"/>
        <v/>
      </c>
      <c r="IM25" s="702"/>
      <c r="IN25" s="5" t="str">
        <f t="shared" si="69"/>
        <v/>
      </c>
      <c r="IO25" s="714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670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05" t="str">
        <f t="shared" si="77"/>
        <v/>
      </c>
      <c r="JA25" s="739"/>
      <c r="JB25" s="797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36"/>
      <c r="JG25" s="744"/>
      <c r="JH25" s="728"/>
      <c r="JI25" s="744"/>
    </row>
    <row r="26" spans="1:269" ht="15" customHeight="1" x14ac:dyDescent="0.25">
      <c r="A26" s="75"/>
      <c r="B26" s="578" t="str">
        <f t="shared" si="33"/>
        <v/>
      </c>
      <c r="C26" s="572" t="str">
        <f t="shared" si="10"/>
        <v/>
      </c>
      <c r="D26" s="576" t="str">
        <f t="shared" si="11"/>
        <v/>
      </c>
      <c r="E26" s="580" t="str">
        <f t="shared" si="12"/>
        <v/>
      </c>
      <c r="F26" s="572" t="str">
        <f t="shared" si="13"/>
        <v/>
      </c>
      <c r="G26" s="579" t="str">
        <f t="shared" si="14"/>
        <v/>
      </c>
      <c r="H26" s="580" t="str">
        <f t="shared" si="34"/>
        <v/>
      </c>
      <c r="I26" s="482"/>
      <c r="J26" s="483" t="str">
        <v/>
      </c>
      <c r="K26" s="806" t="str">
        <f t="shared" si="66"/>
        <v/>
      </c>
      <c r="L26" s="309"/>
      <c r="M26" s="164" t="str">
        <f t="shared" si="35"/>
        <v/>
      </c>
      <c r="N26" s="575" t="str">
        <f t="shared" si="36"/>
        <v/>
      </c>
      <c r="O26" s="572" t="str">
        <f t="shared" si="37"/>
        <v/>
      </c>
      <c r="P26" s="576" t="str">
        <f t="shared" si="38"/>
        <v/>
      </c>
      <c r="Q26" s="528" t="str">
        <f t="shared" si="63"/>
        <v/>
      </c>
      <c r="R26" s="572" t="str">
        <f t="shared" si="39"/>
        <v/>
      </c>
      <c r="S26" s="577" t="str">
        <f t="shared" si="40"/>
        <v/>
      </c>
      <c r="T26" s="578" t="str">
        <f t="shared" si="41"/>
        <v/>
      </c>
      <c r="U26" s="572" t="str">
        <f t="shared" si="42"/>
        <v/>
      </c>
      <c r="V26" s="579" t="str">
        <f t="shared" si="43"/>
        <v/>
      </c>
      <c r="W26" s="528" t="str">
        <f t="shared" si="67"/>
        <v/>
      </c>
      <c r="X26" s="572" t="str">
        <f t="shared" si="44"/>
        <v/>
      </c>
      <c r="Y26" s="573" t="str">
        <f t="shared" si="15"/>
        <v/>
      </c>
      <c r="Z26" s="575" t="str">
        <f t="shared" si="45"/>
        <v/>
      </c>
      <c r="AA26" s="572" t="str">
        <f t="shared" si="46"/>
        <v/>
      </c>
      <c r="AB26" s="572" t="str">
        <f t="shared" si="47"/>
        <v/>
      </c>
      <c r="AC26" s="579" t="str">
        <f t="shared" si="48"/>
        <v/>
      </c>
      <c r="AD26" s="580" t="str">
        <f t="shared" si="49"/>
        <v/>
      </c>
      <c r="AE26" s="572" t="str">
        <f t="shared" si="50"/>
        <v/>
      </c>
      <c r="AF26" s="576" t="str">
        <f t="shared" si="51"/>
        <v/>
      </c>
      <c r="AG26" s="545" t="str">
        <f t="shared" si="52"/>
        <v/>
      </c>
      <c r="AH26" s="546" t="str">
        <f t="shared" si="53"/>
        <v/>
      </c>
      <c r="AI26" s="528" t="str">
        <f t="shared" si="54"/>
        <v/>
      </c>
      <c r="AJ26" s="529" t="str">
        <f t="shared" si="55"/>
        <v/>
      </c>
      <c r="AK26" s="578" t="str">
        <f t="shared" si="56"/>
        <v/>
      </c>
      <c r="AL26" s="572" t="str">
        <f t="shared" si="57"/>
        <v/>
      </c>
      <c r="AM26" s="577" t="str">
        <f t="shared" si="58"/>
        <v/>
      </c>
      <c r="AN26" s="524" t="str">
        <f t="shared" si="16"/>
        <v/>
      </c>
      <c r="AO26" s="525" t="str">
        <f t="shared" si="17"/>
        <v/>
      </c>
      <c r="AP26" s="528" t="str">
        <f t="shared" si="59"/>
        <v/>
      </c>
      <c r="AQ26" s="529" t="str">
        <f t="shared" si="60"/>
        <v/>
      </c>
      <c r="AS26" s="598" t="str">
        <f t="shared" si="18"/>
        <v/>
      </c>
      <c r="AT26" s="602" t="str">
        <f t="shared" si="61"/>
        <v/>
      </c>
      <c r="AU26" s="515" t="str">
        <f t="shared" si="19"/>
        <v/>
      </c>
      <c r="AV26" s="164" t="str">
        <f t="shared" si="64"/>
        <v/>
      </c>
      <c r="AW26" s="545" t="str">
        <f>IF($M26="","",W26-INDEX(Assy.Model!$W$9:$W$150,MATCH('SN#.Run#'!$M26,Assy.Model!$M$9:$M$150,0)))</f>
        <v/>
      </c>
      <c r="AX26" s="628" t="str">
        <f>IF($M26="","",X26-INDEX(Assy.Model!$X$9:$X$150,MATCH('SN#.Run#'!$M26,Assy.Model!$M$9:$M$150,0)))</f>
        <v/>
      </c>
      <c r="AY26" s="629" t="str">
        <f>IF($M26="","",Y26-INDEX(Assy.Model!$Y$9:$Y$150,MATCH('SN#.Run#'!$M26,Assy.Model!$M$9:$M$150,0)))</f>
        <v/>
      </c>
      <c r="AZ26" s="602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10" t="str">
        <f>IF($M26="","",AN26-INDEX(Assy.Model!$AN$9:$AN$150,MATCH('SN#.Run#'!$M26,Assy.Model!$M$9:$M$150,0)))</f>
        <v/>
      </c>
      <c r="BB26" s="525" t="str">
        <f>IF($M26="","",AO26-INDEX(Assy.Model!$AO$9:$AO$150,MATCH('SN#.Run#'!$M26,Assy.Model!$M$9:$M$150,0)))</f>
        <v/>
      </c>
      <c r="BC26" s="619" t="str">
        <f>IF($M26="","",AP26-INDEX(Assy.Model!$AP$9:$AP$150,MATCH('SN#.Run#'!$M26,Assy.Model!$M$9:$M$150,0)))</f>
        <v/>
      </c>
      <c r="BD26" s="419"/>
      <c r="BE26" s="699"/>
      <c r="BM26" s="417"/>
      <c r="BN26" s="417"/>
      <c r="BO26" s="417"/>
      <c r="BP26" s="417"/>
      <c r="BQ26" s="417"/>
      <c r="BR26" s="417"/>
      <c r="BS26" s="417"/>
      <c r="BT26" s="417"/>
      <c r="BU26" s="417"/>
      <c r="IE26" s="790" t="str">
        <f>IFERROR(IF($IU26="","",IF($IU26&lt;(((Settings!$C$19/2)*-1)*$IE$8),"Taper","Nose")),"")</f>
        <v/>
      </c>
      <c r="IF26" s="482" t="str">
        <f>IFERROR(IF((((($IW26*COS(RADIANS(180-$IY26)))*COS(RADIANS($IY26)))-(($IX26*SIN(RADIANS(180-$IY26)))*SIN(RADIANS($IY26))))+$IU26)&lt;(((Settings!$C$19+$IF$8)/2)*-1),"Gage",""),"")</f>
        <v/>
      </c>
      <c r="IG26" s="788" t="str">
        <f t="shared" si="65"/>
        <v/>
      </c>
      <c r="IH26" s="674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677" t="str" cm="1">
        <f t="array" ref="II26">IFERROR(IF($IH26&lt;1,$IH26+LARGE((IF($M$9:$M$150="",0,$M$9:$M$150)-MOD(IF($M$9:$M$150="",0,$M$9:$M$150),1)),1),$IH26),"")</f>
        <v/>
      </c>
      <c r="IJ26" s="482" t="str">
        <f t="shared" si="62"/>
        <v/>
      </c>
      <c r="IK26" s="482" t="str">
        <f t="shared" si="20"/>
        <v/>
      </c>
      <c r="IL26" s="670" t="str">
        <f t="shared" si="68"/>
        <v/>
      </c>
      <c r="IM26" s="702"/>
      <c r="IN26" s="5" t="str">
        <f t="shared" si="69"/>
        <v/>
      </c>
      <c r="IO26" s="714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670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05" t="str">
        <f t="shared" si="77"/>
        <v/>
      </c>
      <c r="JA26" s="739"/>
      <c r="JB26" s="797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36"/>
      <c r="JG26" s="744"/>
      <c r="JH26" s="728"/>
      <c r="JI26" s="744"/>
    </row>
    <row r="27" spans="1:269" ht="15" customHeight="1" x14ac:dyDescent="0.25">
      <c r="A27" s="75"/>
      <c r="B27" s="578" t="str">
        <f t="shared" si="33"/>
        <v/>
      </c>
      <c r="C27" s="572" t="str">
        <f t="shared" si="10"/>
        <v/>
      </c>
      <c r="D27" s="576" t="str">
        <f t="shared" si="11"/>
        <v/>
      </c>
      <c r="E27" s="580" t="str">
        <f t="shared" si="12"/>
        <v/>
      </c>
      <c r="F27" s="572" t="str">
        <f t="shared" si="13"/>
        <v/>
      </c>
      <c r="G27" s="579" t="str">
        <f t="shared" si="14"/>
        <v/>
      </c>
      <c r="H27" s="580" t="str">
        <f t="shared" si="34"/>
        <v/>
      </c>
      <c r="I27" s="482"/>
      <c r="J27" s="483" t="str">
        <v/>
      </c>
      <c r="K27" s="806" t="str">
        <f t="shared" si="66"/>
        <v/>
      </c>
      <c r="L27" s="784"/>
      <c r="M27" s="164" t="str">
        <f t="shared" si="35"/>
        <v/>
      </c>
      <c r="N27" s="575" t="str">
        <f t="shared" si="36"/>
        <v/>
      </c>
      <c r="O27" s="572" t="str">
        <f t="shared" si="37"/>
        <v/>
      </c>
      <c r="P27" s="576" t="str">
        <f t="shared" si="38"/>
        <v/>
      </c>
      <c r="Q27" s="528" t="str">
        <f t="shared" si="63"/>
        <v/>
      </c>
      <c r="R27" s="572" t="str">
        <f t="shared" si="39"/>
        <v/>
      </c>
      <c r="S27" s="577" t="str">
        <f t="shared" si="40"/>
        <v/>
      </c>
      <c r="T27" s="578" t="str">
        <f t="shared" si="41"/>
        <v/>
      </c>
      <c r="U27" s="572" t="str">
        <f t="shared" si="42"/>
        <v/>
      </c>
      <c r="V27" s="579" t="str">
        <f t="shared" si="43"/>
        <v/>
      </c>
      <c r="W27" s="528" t="str">
        <f t="shared" si="67"/>
        <v/>
      </c>
      <c r="X27" s="572" t="str">
        <f t="shared" si="44"/>
        <v/>
      </c>
      <c r="Y27" s="573" t="str">
        <f t="shared" si="15"/>
        <v/>
      </c>
      <c r="Z27" s="575" t="str">
        <f>IF(M27="","",-E27)</f>
        <v/>
      </c>
      <c r="AA27" s="572" t="str">
        <f t="shared" si="46"/>
        <v/>
      </c>
      <c r="AB27" s="572" t="str">
        <f t="shared" si="47"/>
        <v/>
      </c>
      <c r="AC27" s="579" t="str">
        <f t="shared" si="48"/>
        <v/>
      </c>
      <c r="AD27" s="580" t="str">
        <f t="shared" si="49"/>
        <v/>
      </c>
      <c r="AE27" s="572" t="str">
        <f t="shared" si="50"/>
        <v/>
      </c>
      <c r="AF27" s="576" t="str">
        <f t="shared" si="51"/>
        <v/>
      </c>
      <c r="AG27" s="545" t="str">
        <f t="shared" si="52"/>
        <v/>
      </c>
      <c r="AH27" s="546" t="str">
        <f t="shared" si="53"/>
        <v/>
      </c>
      <c r="AI27" s="528" t="str">
        <f t="shared" si="54"/>
        <v/>
      </c>
      <c r="AJ27" s="529" t="str">
        <f t="shared" si="55"/>
        <v/>
      </c>
      <c r="AK27" s="578" t="str">
        <f t="shared" si="56"/>
        <v/>
      </c>
      <c r="AL27" s="572" t="str">
        <f t="shared" si="57"/>
        <v/>
      </c>
      <c r="AM27" s="577" t="str">
        <f t="shared" si="58"/>
        <v/>
      </c>
      <c r="AN27" s="524" t="str">
        <f t="shared" si="16"/>
        <v/>
      </c>
      <c r="AO27" s="525" t="str">
        <f t="shared" si="17"/>
        <v/>
      </c>
      <c r="AP27" s="528" t="str">
        <f t="shared" si="59"/>
        <v/>
      </c>
      <c r="AQ27" s="529" t="str">
        <f t="shared" si="60"/>
        <v/>
      </c>
      <c r="AS27" s="598" t="str">
        <f t="shared" si="18"/>
        <v/>
      </c>
      <c r="AT27" s="602" t="str">
        <f t="shared" si="61"/>
        <v/>
      </c>
      <c r="AU27" s="515" t="str">
        <f t="shared" si="19"/>
        <v/>
      </c>
      <c r="AV27" s="164" t="str">
        <f t="shared" si="64"/>
        <v/>
      </c>
      <c r="AW27" s="545" t="str">
        <f>IF($M27="","",W27-INDEX(Assy.Model!$W$9:$W$150,MATCH('SN#.Run#'!$M27,Assy.Model!$M$9:$M$150,0)))</f>
        <v/>
      </c>
      <c r="AX27" s="628" t="str">
        <f>IF($M27="","",X27-INDEX(Assy.Model!$X$9:$X$150,MATCH('SN#.Run#'!$M27,Assy.Model!$M$9:$M$150,0)))</f>
        <v/>
      </c>
      <c r="AY27" s="629" t="str">
        <f>IF($M27="","",Y27-INDEX(Assy.Model!$Y$9:$Y$150,MATCH('SN#.Run#'!$M27,Assy.Model!$M$9:$M$150,0)))</f>
        <v/>
      </c>
      <c r="AZ27" s="602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10" t="str">
        <f>IF($M27="","",AN27-INDEX(Assy.Model!$AN$9:$AN$150,MATCH('SN#.Run#'!$M27,Assy.Model!$M$9:$M$150,0)))</f>
        <v/>
      </c>
      <c r="BB27" s="525" t="str">
        <f>IF($M27="","",AO27-INDEX(Assy.Model!$AO$9:$AO$150,MATCH('SN#.Run#'!$M27,Assy.Model!$M$9:$M$150,0)))</f>
        <v/>
      </c>
      <c r="BC27" s="619" t="str">
        <f>IF($M27="","",AP27-INDEX(Assy.Model!$AP$9:$AP$150,MATCH('SN#.Run#'!$M27,Assy.Model!$M$9:$M$150,0)))</f>
        <v/>
      </c>
      <c r="BD27" s="419"/>
      <c r="BE27" s="699"/>
      <c r="BM27" s="417"/>
      <c r="BN27" s="417"/>
      <c r="BO27" s="417"/>
      <c r="BP27" s="417"/>
      <c r="BQ27" s="417"/>
      <c r="BR27" s="417"/>
      <c r="BS27" s="417"/>
      <c r="BT27" s="417"/>
      <c r="BU27" s="417"/>
      <c r="BW27" s="71"/>
      <c r="IE27" s="790" t="str">
        <f>IFERROR(IF($IU27="","",IF($IU27&lt;(((Settings!$C$19/2)*-1)*$IE$8),"Taper","Nose")),"")</f>
        <v/>
      </c>
      <c r="IF27" s="482" t="str">
        <f>IFERROR(IF((((($IW27*COS(RADIANS(180-$IY27)))*COS(RADIANS($IY27)))-(($IX27*SIN(RADIANS(180-$IY27)))*SIN(RADIANS($IY27))))+$IU27)&lt;(((Settings!$C$19+$IF$8)/2)*-1),"Gage",""),"")</f>
        <v/>
      </c>
      <c r="IG27" s="788" t="str">
        <f t="shared" si="65"/>
        <v/>
      </c>
      <c r="IH27" s="674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677" t="str" cm="1">
        <f t="array" ref="II27">IFERROR(IF($IH27&lt;1,$IH27+LARGE((IF($M$9:$M$150="",0,$M$9:$M$150)-MOD(IF($M$9:$M$150="",0,$M$9:$M$150),1)),1),$IH27),"")</f>
        <v/>
      </c>
      <c r="IJ27" s="482" t="str">
        <f t="shared" si="62"/>
        <v/>
      </c>
      <c r="IK27" s="482" t="str">
        <f t="shared" si="20"/>
        <v/>
      </c>
      <c r="IL27" s="670" t="str">
        <f t="shared" si="68"/>
        <v/>
      </c>
      <c r="IM27" s="702"/>
      <c r="IN27" s="5" t="str">
        <f t="shared" si="69"/>
        <v/>
      </c>
      <c r="IO27" s="714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670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05" t="str">
        <f t="shared" si="77"/>
        <v/>
      </c>
      <c r="JA27" s="739"/>
      <c r="JB27" s="797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36"/>
      <c r="JG27" s="744"/>
      <c r="JH27" s="728"/>
      <c r="JI27" s="744"/>
    </row>
    <row r="28" spans="1:269" ht="15" customHeight="1" x14ac:dyDescent="0.25">
      <c r="A28" s="75"/>
      <c r="B28" s="578" t="str">
        <f t="shared" si="33"/>
        <v/>
      </c>
      <c r="C28" s="572" t="str">
        <f t="shared" si="10"/>
        <v/>
      </c>
      <c r="D28" s="576" t="str">
        <f t="shared" si="11"/>
        <v/>
      </c>
      <c r="E28" s="580" t="str">
        <f t="shared" si="12"/>
        <v/>
      </c>
      <c r="F28" s="572" t="str">
        <f t="shared" si="13"/>
        <v/>
      </c>
      <c r="G28" s="579" t="str">
        <f t="shared" si="14"/>
        <v/>
      </c>
      <c r="H28" s="580" t="str">
        <f t="shared" si="34"/>
        <v/>
      </c>
      <c r="I28" s="482"/>
      <c r="J28" s="483" t="str">
        <v/>
      </c>
      <c r="K28" s="806" t="str">
        <f t="shared" si="66"/>
        <v/>
      </c>
      <c r="L28" s="784"/>
      <c r="M28" s="164" t="str">
        <f t="shared" si="35"/>
        <v/>
      </c>
      <c r="N28" s="575" t="str">
        <f t="shared" si="36"/>
        <v/>
      </c>
      <c r="O28" s="572" t="str">
        <f t="shared" si="37"/>
        <v/>
      </c>
      <c r="P28" s="576" t="str">
        <f t="shared" si="38"/>
        <v/>
      </c>
      <c r="Q28" s="528" t="str">
        <f t="shared" si="63"/>
        <v/>
      </c>
      <c r="R28" s="572" t="str">
        <f t="shared" si="39"/>
        <v/>
      </c>
      <c r="S28" s="577" t="str">
        <f t="shared" si="40"/>
        <v/>
      </c>
      <c r="T28" s="578" t="str">
        <f t="shared" si="41"/>
        <v/>
      </c>
      <c r="U28" s="572" t="str">
        <f t="shared" si="42"/>
        <v/>
      </c>
      <c r="V28" s="579" t="str">
        <f t="shared" si="43"/>
        <v/>
      </c>
      <c r="W28" s="528" t="str">
        <f t="shared" si="67"/>
        <v/>
      </c>
      <c r="X28" s="572" t="str">
        <f t="shared" si="44"/>
        <v/>
      </c>
      <c r="Y28" s="573" t="str">
        <f t="shared" si="15"/>
        <v/>
      </c>
      <c r="Z28" s="575" t="str">
        <f t="shared" si="45"/>
        <v/>
      </c>
      <c r="AA28" s="572" t="str">
        <f t="shared" si="46"/>
        <v/>
      </c>
      <c r="AB28" s="572" t="str">
        <f t="shared" si="47"/>
        <v/>
      </c>
      <c r="AC28" s="579" t="str">
        <f t="shared" si="48"/>
        <v/>
      </c>
      <c r="AD28" s="580" t="str">
        <f t="shared" si="49"/>
        <v/>
      </c>
      <c r="AE28" s="572" t="str">
        <f t="shared" si="50"/>
        <v/>
      </c>
      <c r="AF28" s="576" t="str">
        <f t="shared" si="51"/>
        <v/>
      </c>
      <c r="AG28" s="545" t="str">
        <f t="shared" si="52"/>
        <v/>
      </c>
      <c r="AH28" s="546" t="str">
        <f t="shared" si="53"/>
        <v/>
      </c>
      <c r="AI28" s="528" t="str">
        <f t="shared" si="54"/>
        <v/>
      </c>
      <c r="AJ28" s="529" t="str">
        <f t="shared" si="55"/>
        <v/>
      </c>
      <c r="AK28" s="578" t="str">
        <f t="shared" si="56"/>
        <v/>
      </c>
      <c r="AL28" s="572" t="str">
        <f t="shared" si="57"/>
        <v/>
      </c>
      <c r="AM28" s="577" t="str">
        <f t="shared" si="58"/>
        <v/>
      </c>
      <c r="AN28" s="524" t="str">
        <f t="shared" si="16"/>
        <v/>
      </c>
      <c r="AO28" s="525" t="str">
        <f t="shared" si="17"/>
        <v/>
      </c>
      <c r="AP28" s="528" t="str">
        <f t="shared" si="59"/>
        <v/>
      </c>
      <c r="AQ28" s="529" t="str">
        <f t="shared" si="60"/>
        <v/>
      </c>
      <c r="AS28" s="598" t="str">
        <f t="shared" si="18"/>
        <v/>
      </c>
      <c r="AT28" s="602" t="str">
        <f t="shared" si="61"/>
        <v/>
      </c>
      <c r="AU28" s="515" t="str">
        <f t="shared" si="19"/>
        <v/>
      </c>
      <c r="AV28" s="164" t="str">
        <f t="shared" si="64"/>
        <v/>
      </c>
      <c r="AW28" s="545" t="str">
        <f>IF($M28="","",W28-INDEX(Assy.Model!$W$9:$W$150,MATCH('SN#.Run#'!$M28,Assy.Model!$M$9:$M$150,0)))</f>
        <v/>
      </c>
      <c r="AX28" s="628" t="str">
        <f>IF($M28="","",X28-INDEX(Assy.Model!$X$9:$X$150,MATCH('SN#.Run#'!$M28,Assy.Model!$M$9:$M$150,0)))</f>
        <v/>
      </c>
      <c r="AY28" s="629" t="str">
        <f>IF($M28="","",Y28-INDEX(Assy.Model!$Y$9:$Y$150,MATCH('SN#.Run#'!$M28,Assy.Model!$M$9:$M$150,0)))</f>
        <v/>
      </c>
      <c r="AZ28" s="602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10" t="str">
        <f>IF($M28="","",AN28-INDEX(Assy.Model!$AN$9:$AN$150,MATCH('SN#.Run#'!$M28,Assy.Model!$M$9:$M$150,0)))</f>
        <v/>
      </c>
      <c r="BB28" s="525" t="str">
        <f>IF($M28="","",AO28-INDEX(Assy.Model!$AO$9:$AO$150,MATCH('SN#.Run#'!$M28,Assy.Model!$M$9:$M$150,0)))</f>
        <v/>
      </c>
      <c r="BC28" s="619" t="str">
        <f>IF($M28="","",AP28-INDEX(Assy.Model!$AP$9:$AP$150,MATCH('SN#.Run#'!$M28,Assy.Model!$M$9:$M$150,0)))</f>
        <v/>
      </c>
      <c r="BD28" s="419"/>
      <c r="BE28" s="699"/>
      <c r="BM28" s="417"/>
      <c r="BN28" s="417"/>
      <c r="BO28" s="417"/>
      <c r="BP28" s="417"/>
      <c r="BQ28" s="417"/>
      <c r="BR28" s="417"/>
      <c r="BS28" s="417"/>
      <c r="BT28" s="417"/>
      <c r="BU28" s="417"/>
      <c r="IE28" s="790" t="str">
        <f>IFERROR(IF($IU28="","",IF($IU28&lt;(((Settings!$C$19/2)*-1)*$IE$8),"Taper","Nose")),"")</f>
        <v/>
      </c>
      <c r="IF28" s="482" t="str">
        <f>IFERROR(IF((((($IW28*COS(RADIANS(180-$IY28)))*COS(RADIANS($IY28)))-(($IX28*SIN(RADIANS(180-$IY28)))*SIN(RADIANS($IY28))))+$IU28)&lt;(((Settings!$C$19+$IF$8)/2)*-1),"Gage",""),"")</f>
        <v/>
      </c>
      <c r="IG28" s="788" t="str">
        <f t="shared" si="65"/>
        <v/>
      </c>
      <c r="IH28" s="674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677" t="str" cm="1">
        <f t="array" ref="II28">IFERROR(IF($IH28&lt;1,$IH28+LARGE((IF($M$9:$M$150="",0,$M$9:$M$150)-MOD(IF($M$9:$M$150="",0,$M$9:$M$150),1)),1),$IH28),"")</f>
        <v/>
      </c>
      <c r="IJ28" s="482" t="str">
        <f t="shared" si="62"/>
        <v/>
      </c>
      <c r="IK28" s="482" t="str">
        <f t="shared" si="20"/>
        <v/>
      </c>
      <c r="IL28" s="670" t="str">
        <f t="shared" si="68"/>
        <v/>
      </c>
      <c r="IM28" s="702"/>
      <c r="IN28" s="5" t="str">
        <f t="shared" si="69"/>
        <v/>
      </c>
      <c r="IO28" s="714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670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05" t="str">
        <f t="shared" si="77"/>
        <v/>
      </c>
      <c r="JA28" s="740"/>
      <c r="JB28" s="798" t="str" cm="1">
        <f t="array" ref="JB28">IF($JA28="","",COUNT(IF(IF($II$9:$II$150&lt;&gt;"",$IK$9:$IK$150,"")=$JA28,$IG$9:$IG$150,"")))</f>
        <v/>
      </c>
      <c r="JC28" s="175" t="str" cm="1">
        <f t="array" ref="JC28">IF($JA28="","",AVERAGE(IF(IF($II$9:$II$150&lt;&gt;"",$K$9:$K$150,"")=$JA28,$AZ$9:$AZ$150,"")))</f>
        <v/>
      </c>
      <c r="JD28" s="175" t="str" cm="1">
        <f t="array" ref="JD28">IF($JA28="","",_xlfn.STDEV.P(IF(IF($II$9:$II$150&lt;&gt;"",$K$9:$K$150,"")=$JA28,$AZ$9:$AZ$150,"")))</f>
        <v/>
      </c>
      <c r="JE28" s="665" t="str" cm="1">
        <f t="array" ref="JE28">IF($JA28="","",MAX(IF(IF($II$9:$II$150&lt;&gt;"",$K$9:$K$150,"")=$JA28,$AZ$9:$AZ$150,"")))</f>
        <v/>
      </c>
      <c r="JF28" s="738"/>
      <c r="JG28" s="98"/>
      <c r="JH28" s="729"/>
      <c r="JI28" s="98"/>
    </row>
    <row r="29" spans="1:269" ht="15" customHeight="1" x14ac:dyDescent="0.25">
      <c r="A29" s="75"/>
      <c r="B29" s="578" t="str">
        <f t="shared" si="33"/>
        <v/>
      </c>
      <c r="C29" s="572" t="str">
        <f t="shared" si="10"/>
        <v/>
      </c>
      <c r="D29" s="576" t="str">
        <f t="shared" si="11"/>
        <v/>
      </c>
      <c r="E29" s="580" t="str">
        <f t="shared" si="12"/>
        <v/>
      </c>
      <c r="F29" s="572" t="str">
        <f t="shared" si="13"/>
        <v/>
      </c>
      <c r="G29" s="579" t="str">
        <f t="shared" si="14"/>
        <v/>
      </c>
      <c r="H29" s="580" t="str">
        <f t="shared" si="34"/>
        <v/>
      </c>
      <c r="I29" s="482"/>
      <c r="J29" s="483" t="str">
        <v/>
      </c>
      <c r="K29" s="806" t="str">
        <f t="shared" si="66"/>
        <v/>
      </c>
      <c r="L29" s="784"/>
      <c r="M29" s="164" t="str">
        <f t="shared" si="35"/>
        <v/>
      </c>
      <c r="N29" s="575" t="str">
        <f t="shared" si="36"/>
        <v/>
      </c>
      <c r="O29" s="572" t="str">
        <f t="shared" si="37"/>
        <v/>
      </c>
      <c r="P29" s="576" t="str">
        <f t="shared" si="38"/>
        <v/>
      </c>
      <c r="Q29" s="528" t="str">
        <f t="shared" si="63"/>
        <v/>
      </c>
      <c r="R29" s="572" t="str">
        <f t="shared" si="39"/>
        <v/>
      </c>
      <c r="S29" s="577" t="str">
        <f t="shared" si="40"/>
        <v/>
      </c>
      <c r="T29" s="578" t="str">
        <f t="shared" si="41"/>
        <v/>
      </c>
      <c r="U29" s="572" t="str">
        <f t="shared" si="42"/>
        <v/>
      </c>
      <c r="V29" s="579" t="str">
        <f t="shared" si="43"/>
        <v/>
      </c>
      <c r="W29" s="528" t="str">
        <f t="shared" si="67"/>
        <v/>
      </c>
      <c r="X29" s="572" t="str">
        <f t="shared" si="44"/>
        <v/>
      </c>
      <c r="Y29" s="573" t="str">
        <f t="shared" si="15"/>
        <v/>
      </c>
      <c r="Z29" s="575" t="str">
        <f t="shared" si="45"/>
        <v/>
      </c>
      <c r="AA29" s="572" t="str">
        <f t="shared" si="46"/>
        <v/>
      </c>
      <c r="AB29" s="572" t="str">
        <f t="shared" si="47"/>
        <v/>
      </c>
      <c r="AC29" s="579" t="str">
        <f t="shared" si="48"/>
        <v/>
      </c>
      <c r="AD29" s="580" t="str">
        <f t="shared" si="49"/>
        <v/>
      </c>
      <c r="AE29" s="572" t="str">
        <f t="shared" si="50"/>
        <v/>
      </c>
      <c r="AF29" s="576" t="str">
        <f t="shared" si="51"/>
        <v/>
      </c>
      <c r="AG29" s="545" t="str">
        <f t="shared" si="52"/>
        <v/>
      </c>
      <c r="AH29" s="546" t="str">
        <f t="shared" si="53"/>
        <v/>
      </c>
      <c r="AI29" s="528" t="str">
        <f t="shared" si="54"/>
        <v/>
      </c>
      <c r="AJ29" s="529" t="str">
        <f t="shared" si="55"/>
        <v/>
      </c>
      <c r="AK29" s="578" t="str">
        <f t="shared" si="56"/>
        <v/>
      </c>
      <c r="AL29" s="572" t="str">
        <f t="shared" si="57"/>
        <v/>
      </c>
      <c r="AM29" s="577" t="str">
        <f t="shared" si="58"/>
        <v/>
      </c>
      <c r="AN29" s="524" t="str">
        <f t="shared" si="16"/>
        <v/>
      </c>
      <c r="AO29" s="525" t="str">
        <f t="shared" si="17"/>
        <v/>
      </c>
      <c r="AP29" s="528" t="str">
        <f t="shared" si="59"/>
        <v/>
      </c>
      <c r="AQ29" s="529" t="str">
        <f t="shared" si="60"/>
        <v/>
      </c>
      <c r="AS29" s="598" t="str">
        <f t="shared" si="18"/>
        <v/>
      </c>
      <c r="AT29" s="602" t="str">
        <f t="shared" si="61"/>
        <v/>
      </c>
      <c r="AU29" s="515" t="str">
        <f t="shared" si="19"/>
        <v/>
      </c>
      <c r="AV29" s="164" t="str">
        <f t="shared" si="64"/>
        <v/>
      </c>
      <c r="AW29" s="545" t="str">
        <f>IF($M29="","",W29-INDEX(Assy.Model!$W$9:$W$150,MATCH('SN#.Run#'!$M29,Assy.Model!$M$9:$M$150,0)))</f>
        <v/>
      </c>
      <c r="AX29" s="628" t="str">
        <f>IF($M29="","",X29-INDEX(Assy.Model!$X$9:$X$150,MATCH('SN#.Run#'!$M29,Assy.Model!$M$9:$M$150,0)))</f>
        <v/>
      </c>
      <c r="AY29" s="629" t="str">
        <f>IF($M29="","",Y29-INDEX(Assy.Model!$Y$9:$Y$150,MATCH('SN#.Run#'!$M29,Assy.Model!$M$9:$M$150,0)))</f>
        <v/>
      </c>
      <c r="AZ29" s="602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10" t="str">
        <f>IF($M29="","",AN29-INDEX(Assy.Model!$AN$9:$AN$150,MATCH('SN#.Run#'!$M29,Assy.Model!$M$9:$M$150,0)))</f>
        <v/>
      </c>
      <c r="BB29" s="525" t="str">
        <f>IF($M29="","",AO29-INDEX(Assy.Model!$AO$9:$AO$150,MATCH('SN#.Run#'!$M29,Assy.Model!$M$9:$M$150,0)))</f>
        <v/>
      </c>
      <c r="BC29" s="619" t="str">
        <f>IF($M29="","",AP29-INDEX(Assy.Model!$AP$9:$AP$150,MATCH('SN#.Run#'!$M29,Assy.Model!$M$9:$M$150,0)))</f>
        <v/>
      </c>
      <c r="BD29" s="419"/>
      <c r="BE29" s="699"/>
      <c r="BM29" s="417"/>
      <c r="BN29" s="417"/>
      <c r="BO29" s="417"/>
      <c r="BP29" s="417"/>
      <c r="BQ29" s="417"/>
      <c r="BR29" s="417"/>
      <c r="BS29" s="417"/>
      <c r="BT29" s="417"/>
      <c r="BU29" s="417"/>
      <c r="BW29" s="71"/>
      <c r="IE29" s="790" t="str">
        <f>IFERROR(IF($IU29="","",IF($IU29&lt;(((Settings!$C$19/2)*-1)*$IE$8),"Taper","Nose")),"")</f>
        <v/>
      </c>
      <c r="IF29" s="482" t="str">
        <f>IFERROR(IF((((($IW29*COS(RADIANS(180-$IY29)))*COS(RADIANS($IY29)))-(($IX29*SIN(RADIANS(180-$IY29)))*SIN(RADIANS($IY29))))+$IU29)&lt;(((Settings!$C$19+$IF$8)/2)*-1),"Gage",""),"")</f>
        <v/>
      </c>
      <c r="IG29" s="788" t="str">
        <f t="shared" si="65"/>
        <v/>
      </c>
      <c r="IH29" s="674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677" t="str" cm="1">
        <f t="array" ref="II29">IFERROR(IF($IH29&lt;1,$IH29+LARGE((IF($M$9:$M$150="",0,$M$9:$M$150)-MOD(IF($M$9:$M$150="",0,$M$9:$M$150),1)),1),$IH29),"")</f>
        <v/>
      </c>
      <c r="IJ29" s="482" t="str">
        <f t="shared" si="62"/>
        <v/>
      </c>
      <c r="IK29" s="482" t="str">
        <f t="shared" si="20"/>
        <v/>
      </c>
      <c r="IL29" s="670" t="str">
        <f t="shared" si="68"/>
        <v/>
      </c>
      <c r="IM29" s="702"/>
      <c r="IN29" s="5" t="str">
        <f t="shared" si="69"/>
        <v/>
      </c>
      <c r="IO29" s="714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670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05" t="str">
        <f t="shared" si="77"/>
        <v/>
      </c>
      <c r="JA29" s="419" t="s">
        <v>378</v>
      </c>
      <c r="JB29" s="745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17"/>
      <c r="JD29" s="417"/>
      <c r="JE29" s="417"/>
      <c r="JF29" s="417"/>
      <c r="JG29" s="417"/>
      <c r="JH29" s="745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745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5"/>
      <c r="B30" s="578" t="str">
        <f t="shared" si="33"/>
        <v/>
      </c>
      <c r="C30" s="572" t="str">
        <f t="shared" si="10"/>
        <v/>
      </c>
      <c r="D30" s="576" t="str">
        <f t="shared" si="11"/>
        <v/>
      </c>
      <c r="E30" s="580" t="str">
        <f t="shared" si="12"/>
        <v/>
      </c>
      <c r="F30" s="572" t="str">
        <f t="shared" si="13"/>
        <v/>
      </c>
      <c r="G30" s="579" t="str">
        <f t="shared" si="14"/>
        <v/>
      </c>
      <c r="H30" s="580" t="str">
        <f t="shared" si="34"/>
        <v/>
      </c>
      <c r="I30" s="482"/>
      <c r="J30" s="483" t="str">
        <v/>
      </c>
      <c r="K30" s="806" t="str">
        <f t="shared" si="66"/>
        <v/>
      </c>
      <c r="L30" s="784"/>
      <c r="M30" s="164" t="str">
        <f t="shared" si="35"/>
        <v/>
      </c>
      <c r="N30" s="575" t="str">
        <f t="shared" si="36"/>
        <v/>
      </c>
      <c r="O30" s="572" t="str">
        <f t="shared" si="37"/>
        <v/>
      </c>
      <c r="P30" s="576" t="str">
        <f t="shared" si="38"/>
        <v/>
      </c>
      <c r="Q30" s="528" t="str">
        <f t="shared" si="63"/>
        <v/>
      </c>
      <c r="R30" s="572" t="str">
        <f t="shared" si="39"/>
        <v/>
      </c>
      <c r="S30" s="577" t="str">
        <f t="shared" si="40"/>
        <v/>
      </c>
      <c r="T30" s="578" t="str">
        <f t="shared" si="41"/>
        <v/>
      </c>
      <c r="U30" s="572" t="str">
        <f t="shared" si="42"/>
        <v/>
      </c>
      <c r="V30" s="579" t="str">
        <f t="shared" si="43"/>
        <v/>
      </c>
      <c r="W30" s="528" t="str">
        <f t="shared" si="67"/>
        <v/>
      </c>
      <c r="X30" s="572" t="str">
        <f t="shared" si="44"/>
        <v/>
      </c>
      <c r="Y30" s="573" t="str">
        <f t="shared" si="15"/>
        <v/>
      </c>
      <c r="Z30" s="575" t="str">
        <f t="shared" si="45"/>
        <v/>
      </c>
      <c r="AA30" s="572" t="str">
        <f t="shared" si="46"/>
        <v/>
      </c>
      <c r="AB30" s="572" t="str">
        <f t="shared" si="47"/>
        <v/>
      </c>
      <c r="AC30" s="579" t="str">
        <f t="shared" si="48"/>
        <v/>
      </c>
      <c r="AD30" s="580" t="str">
        <f t="shared" si="49"/>
        <v/>
      </c>
      <c r="AE30" s="572" t="str">
        <f t="shared" si="50"/>
        <v/>
      </c>
      <c r="AF30" s="576" t="str">
        <f t="shared" si="51"/>
        <v/>
      </c>
      <c r="AG30" s="545" t="str">
        <f t="shared" si="52"/>
        <v/>
      </c>
      <c r="AH30" s="546" t="str">
        <f t="shared" si="53"/>
        <v/>
      </c>
      <c r="AI30" s="528" t="str">
        <f t="shared" si="54"/>
        <v/>
      </c>
      <c r="AJ30" s="529" t="str">
        <f t="shared" si="55"/>
        <v/>
      </c>
      <c r="AK30" s="578" t="str">
        <f t="shared" si="56"/>
        <v/>
      </c>
      <c r="AL30" s="572" t="str">
        <f t="shared" si="57"/>
        <v/>
      </c>
      <c r="AM30" s="577" t="str">
        <f t="shared" si="58"/>
        <v/>
      </c>
      <c r="AN30" s="524" t="str">
        <f>IF(M30="","",IF(K30="Knuckle",((DEGREES(ATAN2(AK30,AM30))+90)*-1),DEGREES(ATAN2(-AM30,AL30))))</f>
        <v/>
      </c>
      <c r="AO30" s="525" t="str">
        <f t="shared" si="17"/>
        <v/>
      </c>
      <c r="AP30" s="528" t="str">
        <f t="shared" si="59"/>
        <v/>
      </c>
      <c r="AQ30" s="529" t="str">
        <f t="shared" si="60"/>
        <v/>
      </c>
      <c r="AS30" s="598" t="str">
        <f t="shared" si="18"/>
        <v/>
      </c>
      <c r="AT30" s="602" t="str">
        <f t="shared" si="61"/>
        <v/>
      </c>
      <c r="AU30" s="515" t="str">
        <f t="shared" si="19"/>
        <v/>
      </c>
      <c r="AV30" s="164" t="str">
        <f t="shared" si="64"/>
        <v/>
      </c>
      <c r="AW30" s="545" t="str">
        <f>IF($M30="","",W30-INDEX(Assy.Model!$W$9:$W$150,MATCH('SN#.Run#'!$M30,Assy.Model!$M$9:$M$150,0)))</f>
        <v/>
      </c>
      <c r="AX30" s="628" t="str">
        <f>IF($M30="","",X30-INDEX(Assy.Model!$X$9:$X$150,MATCH('SN#.Run#'!$M30,Assy.Model!$M$9:$M$150,0)))</f>
        <v/>
      </c>
      <c r="AY30" s="629" t="str">
        <f>IF($M30="","",Y30-INDEX(Assy.Model!$Y$9:$Y$150,MATCH('SN#.Run#'!$M30,Assy.Model!$M$9:$M$150,0)))</f>
        <v/>
      </c>
      <c r="AZ30" s="602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10" t="str">
        <f>IF($M30="","",AN30-INDEX(Assy.Model!$AN$9:$AN$150,MATCH('SN#.Run#'!$M30,Assy.Model!$M$9:$M$150,0)))</f>
        <v/>
      </c>
      <c r="BB30" s="525" t="str">
        <f>IF($M30="","",AO30-INDEX(Assy.Model!$AO$9:$AO$150,MATCH('SN#.Run#'!$M30,Assy.Model!$M$9:$M$150,0)))</f>
        <v/>
      </c>
      <c r="BC30" s="619" t="str">
        <f>IF($M30="","",AP30-INDEX(Assy.Model!$AP$9:$AP$150,MATCH('SN#.Run#'!$M30,Assy.Model!$M$9:$M$150,0)))</f>
        <v/>
      </c>
      <c r="BD30" s="419"/>
      <c r="BE30" s="699"/>
      <c r="BF30" s="417"/>
      <c r="BG30" s="417"/>
      <c r="BH30" s="417"/>
      <c r="BI30" s="417"/>
      <c r="BJ30" s="417"/>
      <c r="BK30" s="417"/>
      <c r="BL30" s="417"/>
      <c r="BM30" s="417"/>
      <c r="BN30" s="417"/>
      <c r="BO30" s="417"/>
      <c r="BP30" s="417"/>
      <c r="BQ30" s="417"/>
      <c r="BR30" s="417"/>
      <c r="BS30" s="417"/>
      <c r="BT30" s="417"/>
      <c r="BU30" s="417"/>
      <c r="BW30" s="71"/>
      <c r="IE30" s="790" t="str">
        <f>IFERROR(IF($IU30="","",IF($IU30&lt;(((Settings!$C$19/2)*-1)*$IE$8),"Taper","Nose")),"")</f>
        <v/>
      </c>
      <c r="IF30" s="482" t="str">
        <f>IFERROR(IF((((($IW30*COS(RADIANS(180-$IY30)))*COS(RADIANS($IY30)))-(($IX30*SIN(RADIANS(180-$IY30)))*SIN(RADIANS($IY30))))+$IU30)&lt;(((Settings!$C$19+$IF$8)/2)*-1),"Gage",""),"")</f>
        <v/>
      </c>
      <c r="IG30" s="788" t="str">
        <f t="shared" si="65"/>
        <v/>
      </c>
      <c r="IH30" s="674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677" t="str" cm="1">
        <f t="array" ref="II30">IFERROR(IF($IH30&lt;1,$IH30+LARGE((IF($M$9:$M$150="",0,$M$9:$M$150)-MOD(IF($M$9:$M$150="",0,$M$9:$M$150),1)),1),$IH30),"")</f>
        <v/>
      </c>
      <c r="IJ30" s="482" t="str">
        <f t="shared" si="62"/>
        <v/>
      </c>
      <c r="IK30" s="482" t="str">
        <f t="shared" si="20"/>
        <v/>
      </c>
      <c r="IL30" s="670" t="str">
        <f t="shared" si="68"/>
        <v/>
      </c>
      <c r="IM30" s="702"/>
      <c r="IN30" s="5" t="str">
        <f t="shared" si="69"/>
        <v/>
      </c>
      <c r="IO30" s="714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670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05" t="str">
        <f t="shared" si="77"/>
        <v/>
      </c>
      <c r="JA30" s="31" t="s">
        <v>322</v>
      </c>
      <c r="JB30" s="745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745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745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5"/>
      <c r="B31" s="578" t="str">
        <f t="shared" si="33"/>
        <v/>
      </c>
      <c r="C31" s="572" t="str">
        <f t="shared" si="10"/>
        <v/>
      </c>
      <c r="D31" s="576" t="str">
        <f t="shared" si="11"/>
        <v/>
      </c>
      <c r="E31" s="580" t="str">
        <f t="shared" si="12"/>
        <v/>
      </c>
      <c r="F31" s="572" t="str">
        <f t="shared" si="13"/>
        <v/>
      </c>
      <c r="G31" s="579" t="str">
        <f t="shared" si="14"/>
        <v/>
      </c>
      <c r="H31" s="580" t="str">
        <f t="shared" si="34"/>
        <v/>
      </c>
      <c r="I31" s="482"/>
      <c r="J31" s="483" t="str">
        <v/>
      </c>
      <c r="K31" s="806" t="str">
        <f t="shared" si="66"/>
        <v/>
      </c>
      <c r="M31" s="164" t="str">
        <f t="shared" si="35"/>
        <v/>
      </c>
      <c r="N31" s="575" t="str">
        <f t="shared" si="36"/>
        <v/>
      </c>
      <c r="O31" s="572" t="str">
        <f t="shared" si="37"/>
        <v/>
      </c>
      <c r="P31" s="576" t="str">
        <f t="shared" si="38"/>
        <v/>
      </c>
      <c r="Q31" s="528" t="str">
        <f t="shared" si="63"/>
        <v/>
      </c>
      <c r="R31" s="572" t="str">
        <f t="shared" si="39"/>
        <v/>
      </c>
      <c r="S31" s="577" t="str">
        <f t="shared" si="40"/>
        <v/>
      </c>
      <c r="T31" s="578" t="str">
        <f t="shared" si="41"/>
        <v/>
      </c>
      <c r="U31" s="572" t="str">
        <f t="shared" si="42"/>
        <v/>
      </c>
      <c r="V31" s="579" t="str">
        <f t="shared" si="43"/>
        <v/>
      </c>
      <c r="W31" s="528" t="str">
        <f t="shared" si="67"/>
        <v/>
      </c>
      <c r="X31" s="572" t="str">
        <f t="shared" si="44"/>
        <v/>
      </c>
      <c r="Y31" s="573" t="str">
        <f t="shared" si="15"/>
        <v/>
      </c>
      <c r="Z31" s="575" t="str">
        <f t="shared" si="45"/>
        <v/>
      </c>
      <c r="AA31" s="572" t="str">
        <f t="shared" si="46"/>
        <v/>
      </c>
      <c r="AB31" s="572" t="str">
        <f t="shared" si="47"/>
        <v/>
      </c>
      <c r="AC31" s="579" t="str">
        <f t="shared" si="48"/>
        <v/>
      </c>
      <c r="AD31" s="580" t="str">
        <f t="shared" si="49"/>
        <v/>
      </c>
      <c r="AE31" s="572" t="str">
        <f t="shared" si="50"/>
        <v/>
      </c>
      <c r="AF31" s="576" t="str">
        <f t="shared" si="51"/>
        <v/>
      </c>
      <c r="AG31" s="545" t="str">
        <f t="shared" si="52"/>
        <v/>
      </c>
      <c r="AH31" s="546" t="str">
        <f t="shared" si="53"/>
        <v/>
      </c>
      <c r="AI31" s="528" t="str">
        <f t="shared" si="54"/>
        <v/>
      </c>
      <c r="AJ31" s="529" t="str">
        <f t="shared" si="55"/>
        <v/>
      </c>
      <c r="AK31" s="578" t="str">
        <f t="shared" si="56"/>
        <v/>
      </c>
      <c r="AL31" s="572" t="str">
        <f t="shared" si="57"/>
        <v/>
      </c>
      <c r="AM31" s="577" t="str">
        <f t="shared" si="58"/>
        <v/>
      </c>
      <c r="AN31" s="524" t="str">
        <f>IF(M31="","",IF(K31="Knuckle",((DEGREES(ATAN2(AK31,AM31))+90)*-1),DEGREES(ATAN2(-AM31,AL31))))</f>
        <v/>
      </c>
      <c r="AO31" s="525" t="str">
        <f t="shared" si="17"/>
        <v/>
      </c>
      <c r="AP31" s="528" t="str">
        <f t="shared" si="59"/>
        <v/>
      </c>
      <c r="AQ31" s="529" t="str">
        <f t="shared" si="60"/>
        <v/>
      </c>
      <c r="AS31" s="598" t="str">
        <f t="shared" si="18"/>
        <v/>
      </c>
      <c r="AT31" s="602" t="str">
        <f t="shared" si="61"/>
        <v/>
      </c>
      <c r="AU31" s="515" t="str">
        <f t="shared" si="19"/>
        <v/>
      </c>
      <c r="AV31" s="164" t="str">
        <f t="shared" si="64"/>
        <v/>
      </c>
      <c r="AW31" s="545" t="str">
        <f>IF($M31="","",W31-INDEX(Assy.Model!$W$9:$W$150,MATCH('SN#.Run#'!$M31,Assy.Model!$M$9:$M$150,0)))</f>
        <v/>
      </c>
      <c r="AX31" s="628" t="str">
        <f>IF($M31="","",X31-INDEX(Assy.Model!$X$9:$X$150,MATCH('SN#.Run#'!$M31,Assy.Model!$M$9:$M$150,0)))</f>
        <v/>
      </c>
      <c r="AY31" s="629" t="str">
        <f>IF($M31="","",Y31-INDEX(Assy.Model!$Y$9:$Y$150,MATCH('SN#.Run#'!$M31,Assy.Model!$M$9:$M$150,0)))</f>
        <v/>
      </c>
      <c r="AZ31" s="602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10" t="str">
        <f>IF($M31="","",AN31-INDEX(Assy.Model!$AN$9:$AN$150,MATCH('SN#.Run#'!$M31,Assy.Model!$M$9:$M$150,0)))</f>
        <v/>
      </c>
      <c r="BB31" s="525" t="str">
        <f>IF($M31="","",AO31-INDEX(Assy.Model!$AO$9:$AO$150,MATCH('SN#.Run#'!$M31,Assy.Model!$M$9:$M$150,0)))</f>
        <v/>
      </c>
      <c r="BC31" s="619" t="str">
        <f>IF($M31="","",AP31-INDEX(Assy.Model!$AP$9:$AP$150,MATCH('SN#.Run#'!$M31,Assy.Model!$M$9:$M$150,0)))</f>
        <v/>
      </c>
      <c r="BD31" s="419"/>
      <c r="BE31" s="699"/>
      <c r="BF31" s="417"/>
      <c r="BG31" s="417"/>
      <c r="BH31" s="417"/>
      <c r="BI31" s="417"/>
      <c r="BJ31" s="417"/>
      <c r="BK31" s="417"/>
      <c r="BL31" s="417"/>
      <c r="BM31" s="417"/>
      <c r="BN31" s="417"/>
      <c r="BO31" s="417"/>
      <c r="BP31" s="417"/>
      <c r="BQ31" s="417"/>
      <c r="BR31" s="417"/>
      <c r="BS31" s="417"/>
      <c r="BT31" s="417"/>
      <c r="BU31" s="417"/>
      <c r="BW31" s="71"/>
      <c r="IE31" s="790" t="str">
        <f>IFERROR(IF($IU31="","",IF($IU31&lt;(((Settings!$C$19/2)*-1)*$IE$8),"Taper","Nose")),"")</f>
        <v/>
      </c>
      <c r="IF31" s="482" t="str">
        <f>IFERROR(IF((((($IW31*COS(RADIANS(180-$IY31)))*COS(RADIANS($IY31)))-(($IX31*SIN(RADIANS(180-$IY31)))*SIN(RADIANS($IY31))))+$IU31)&lt;(((Settings!$C$19+$IF$8)/2)*-1),"Gage",""),"")</f>
        <v/>
      </c>
      <c r="IG31" s="788" t="str">
        <f t="shared" si="65"/>
        <v/>
      </c>
      <c r="IH31" s="674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677" t="str" cm="1">
        <f t="array" ref="II31">IFERROR(IF($IH31&lt;1,$IH31+LARGE((IF($M$9:$M$150="",0,$M$9:$M$150)-MOD(IF($M$9:$M$150="",0,$M$9:$M$150),1)),1),$IH31),"")</f>
        <v/>
      </c>
      <c r="IJ31" s="482" t="str">
        <f t="shared" si="62"/>
        <v/>
      </c>
      <c r="IK31" s="482" t="str">
        <f t="shared" si="20"/>
        <v/>
      </c>
      <c r="IL31" s="670" t="str">
        <f t="shared" si="68"/>
        <v/>
      </c>
      <c r="IM31" s="702"/>
      <c r="IN31" s="5" t="str">
        <f t="shared" si="69"/>
        <v/>
      </c>
      <c r="IO31" s="714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670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05" t="str">
        <f t="shared" si="77"/>
        <v/>
      </c>
    </row>
    <row r="32" spans="1:269" ht="15" customHeight="1" x14ac:dyDescent="0.25">
      <c r="A32" s="75"/>
      <c r="B32" s="578" t="str">
        <f t="shared" si="33"/>
        <v/>
      </c>
      <c r="C32" s="572" t="str">
        <f t="shared" si="10"/>
        <v/>
      </c>
      <c r="D32" s="576" t="str">
        <f t="shared" si="11"/>
        <v/>
      </c>
      <c r="E32" s="580" t="str">
        <f t="shared" si="12"/>
        <v/>
      </c>
      <c r="F32" s="572" t="str">
        <f t="shared" si="13"/>
        <v/>
      </c>
      <c r="G32" s="579" t="str">
        <f t="shared" si="14"/>
        <v/>
      </c>
      <c r="H32" s="580" t="str">
        <f t="shared" si="34"/>
        <v/>
      </c>
      <c r="I32" s="482"/>
      <c r="J32" s="483" t="str">
        <v/>
      </c>
      <c r="K32" s="806" t="str">
        <f t="shared" si="66"/>
        <v/>
      </c>
      <c r="M32" s="164" t="str">
        <f t="shared" si="35"/>
        <v/>
      </c>
      <c r="N32" s="575" t="str">
        <f t="shared" si="36"/>
        <v/>
      </c>
      <c r="O32" s="572" t="str">
        <f t="shared" si="37"/>
        <v/>
      </c>
      <c r="P32" s="576" t="str">
        <f t="shared" si="38"/>
        <v/>
      </c>
      <c r="Q32" s="528" t="str">
        <f t="shared" si="63"/>
        <v/>
      </c>
      <c r="R32" s="572" t="str">
        <f t="shared" si="39"/>
        <v/>
      </c>
      <c r="S32" s="577" t="str">
        <f t="shared" si="40"/>
        <v/>
      </c>
      <c r="T32" s="578" t="str">
        <f t="shared" si="41"/>
        <v/>
      </c>
      <c r="U32" s="572" t="str">
        <f t="shared" si="42"/>
        <v/>
      </c>
      <c r="V32" s="579" t="str">
        <f t="shared" si="43"/>
        <v/>
      </c>
      <c r="W32" s="528" t="str">
        <f t="shared" si="67"/>
        <v/>
      </c>
      <c r="X32" s="572" t="str">
        <f t="shared" si="44"/>
        <v/>
      </c>
      <c r="Y32" s="573" t="str">
        <f t="shared" si="15"/>
        <v/>
      </c>
      <c r="Z32" s="575" t="str">
        <f t="shared" si="45"/>
        <v/>
      </c>
      <c r="AA32" s="572" t="str">
        <f t="shared" si="46"/>
        <v/>
      </c>
      <c r="AB32" s="572" t="str">
        <f t="shared" si="47"/>
        <v/>
      </c>
      <c r="AC32" s="579" t="str">
        <f t="shared" si="48"/>
        <v/>
      </c>
      <c r="AD32" s="580" t="str">
        <f t="shared" si="49"/>
        <v/>
      </c>
      <c r="AE32" s="572" t="str">
        <f t="shared" si="50"/>
        <v/>
      </c>
      <c r="AF32" s="576" t="str">
        <f t="shared" si="51"/>
        <v/>
      </c>
      <c r="AG32" s="545" t="str">
        <f t="shared" si="52"/>
        <v/>
      </c>
      <c r="AH32" s="546" t="str">
        <f t="shared" si="53"/>
        <v/>
      </c>
      <c r="AI32" s="528" t="str">
        <f t="shared" si="54"/>
        <v/>
      </c>
      <c r="AJ32" s="529" t="str">
        <f t="shared" si="55"/>
        <v/>
      </c>
      <c r="AK32" s="578" t="str">
        <f t="shared" si="56"/>
        <v/>
      </c>
      <c r="AL32" s="572" t="str">
        <f t="shared" si="57"/>
        <v/>
      </c>
      <c r="AM32" s="577" t="str">
        <f t="shared" si="58"/>
        <v/>
      </c>
      <c r="AN32" s="524" t="str">
        <f t="shared" si="16"/>
        <v/>
      </c>
      <c r="AO32" s="525" t="str">
        <f t="shared" si="17"/>
        <v/>
      </c>
      <c r="AP32" s="528" t="str">
        <f t="shared" si="59"/>
        <v/>
      </c>
      <c r="AQ32" s="529" t="str">
        <f t="shared" si="60"/>
        <v/>
      </c>
      <c r="AS32" s="598" t="str">
        <f t="shared" si="18"/>
        <v/>
      </c>
      <c r="AT32" s="602" t="str">
        <f t="shared" si="61"/>
        <v/>
      </c>
      <c r="AU32" s="515" t="str">
        <f t="shared" si="19"/>
        <v/>
      </c>
      <c r="AV32" s="164" t="str">
        <f t="shared" si="64"/>
        <v/>
      </c>
      <c r="AW32" s="545" t="str">
        <f>IF($M32="","",W32-INDEX(Assy.Model!$W$9:$W$150,MATCH('SN#.Run#'!$M32,Assy.Model!$M$9:$M$150,0)))</f>
        <v/>
      </c>
      <c r="AX32" s="628" t="str">
        <f>IF($M32="","",X32-INDEX(Assy.Model!$X$9:$X$150,MATCH('SN#.Run#'!$M32,Assy.Model!$M$9:$M$150,0)))</f>
        <v/>
      </c>
      <c r="AY32" s="629" t="str">
        <f>IF($M32="","",Y32-INDEX(Assy.Model!$Y$9:$Y$150,MATCH('SN#.Run#'!$M32,Assy.Model!$M$9:$M$150,0)))</f>
        <v/>
      </c>
      <c r="AZ32" s="602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10" t="str">
        <f>IF($M32="","",AN32-INDEX(Assy.Model!$AN$9:$AN$150,MATCH('SN#.Run#'!$M32,Assy.Model!$M$9:$M$150,0)))</f>
        <v/>
      </c>
      <c r="BB32" s="525" t="str">
        <f>IF($M32="","",AO32-INDEX(Assy.Model!$AO$9:$AO$150,MATCH('SN#.Run#'!$M32,Assy.Model!$M$9:$M$150,0)))</f>
        <v/>
      </c>
      <c r="BC32" s="619" t="str">
        <f>IF($M32="","",AP32-INDEX(Assy.Model!$AP$9:$AP$150,MATCH('SN#.Run#'!$M32,Assy.Model!$M$9:$M$150,0)))</f>
        <v/>
      </c>
      <c r="BD32" s="419"/>
      <c r="BE32" s="699"/>
      <c r="BF32" s="417"/>
      <c r="BG32" s="417"/>
      <c r="BH32" s="417"/>
      <c r="BI32" s="417"/>
      <c r="BJ32" s="417"/>
      <c r="BK32" s="417"/>
      <c r="BL32" s="417"/>
      <c r="BM32" s="417"/>
      <c r="BN32" s="417"/>
      <c r="BO32" s="417"/>
      <c r="BP32" s="417"/>
      <c r="BQ32" s="417"/>
      <c r="BR32" s="417"/>
      <c r="BS32" s="417"/>
      <c r="BT32" s="417"/>
      <c r="BU32" s="417"/>
      <c r="IE32" s="790" t="str">
        <f>IFERROR(IF($IU32="","",IF($IU32&lt;(((Settings!$C$19/2)*-1)*$IE$8),"Taper","Nose")),"")</f>
        <v/>
      </c>
      <c r="IF32" s="482" t="str">
        <f>IFERROR(IF((((($IW32*COS(RADIANS(180-$IY32)))*COS(RADIANS($IY32)))-(($IX32*SIN(RADIANS(180-$IY32)))*SIN(RADIANS($IY32))))+$IU32)&lt;(((Settings!$C$19+$IF$8)/2)*-1),"Gage",""),"")</f>
        <v/>
      </c>
      <c r="IG32" s="788" t="str">
        <f t="shared" si="65"/>
        <v/>
      </c>
      <c r="IH32" s="674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677" t="str" cm="1">
        <f t="array" ref="II32">IFERROR(IF($IH32&lt;1,$IH32+LARGE((IF($M$9:$M$150="",0,$M$9:$M$150)-MOD(IF($M$9:$M$150="",0,$M$9:$M$150),1)),1),$IH32),"")</f>
        <v/>
      </c>
      <c r="IJ32" s="482" t="str">
        <f t="shared" si="62"/>
        <v/>
      </c>
      <c r="IK32" s="482" t="str">
        <f t="shared" si="20"/>
        <v/>
      </c>
      <c r="IL32" s="670" t="str">
        <f t="shared" si="68"/>
        <v/>
      </c>
      <c r="IM32" s="702"/>
      <c r="IN32" s="5" t="str">
        <f t="shared" si="69"/>
        <v/>
      </c>
      <c r="IO32" s="714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670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05" t="str">
        <f t="shared" si="77"/>
        <v/>
      </c>
    </row>
    <row r="33" spans="1:271" ht="15" customHeight="1" x14ac:dyDescent="0.25">
      <c r="A33" s="75"/>
      <c r="B33" s="578" t="str">
        <f t="shared" si="33"/>
        <v/>
      </c>
      <c r="C33" s="572" t="str">
        <f t="shared" si="10"/>
        <v/>
      </c>
      <c r="D33" s="576" t="str">
        <f t="shared" si="11"/>
        <v/>
      </c>
      <c r="E33" s="580" t="str">
        <f t="shared" si="12"/>
        <v/>
      </c>
      <c r="F33" s="572" t="str">
        <f t="shared" si="13"/>
        <v/>
      </c>
      <c r="G33" s="579" t="str">
        <f t="shared" si="14"/>
        <v/>
      </c>
      <c r="H33" s="580" t="str">
        <f t="shared" si="34"/>
        <v/>
      </c>
      <c r="I33" s="482"/>
      <c r="J33" s="483" t="str">
        <v/>
      </c>
      <c r="K33" s="806" t="str">
        <f t="shared" si="66"/>
        <v/>
      </c>
      <c r="M33" s="164" t="str">
        <f t="shared" si="35"/>
        <v/>
      </c>
      <c r="N33" s="575" t="str">
        <f t="shared" si="36"/>
        <v/>
      </c>
      <c r="O33" s="572" t="str">
        <f t="shared" si="37"/>
        <v/>
      </c>
      <c r="P33" s="576" t="str">
        <f t="shared" si="38"/>
        <v/>
      </c>
      <c r="Q33" s="528" t="str">
        <f t="shared" si="63"/>
        <v/>
      </c>
      <c r="R33" s="572" t="str">
        <f t="shared" si="39"/>
        <v/>
      </c>
      <c r="S33" s="577" t="str">
        <f t="shared" si="40"/>
        <v/>
      </c>
      <c r="T33" s="578" t="str">
        <f t="shared" si="41"/>
        <v/>
      </c>
      <c r="U33" s="572" t="str">
        <f t="shared" si="42"/>
        <v/>
      </c>
      <c r="V33" s="579" t="str">
        <f t="shared" si="43"/>
        <v/>
      </c>
      <c r="W33" s="528" t="str">
        <f t="shared" si="67"/>
        <v/>
      </c>
      <c r="X33" s="572" t="str">
        <f t="shared" si="44"/>
        <v/>
      </c>
      <c r="Y33" s="573" t="str">
        <f t="shared" si="15"/>
        <v/>
      </c>
      <c r="Z33" s="575" t="str">
        <f t="shared" si="45"/>
        <v/>
      </c>
      <c r="AA33" s="572" t="str">
        <f t="shared" si="46"/>
        <v/>
      </c>
      <c r="AB33" s="572" t="str">
        <f t="shared" si="47"/>
        <v/>
      </c>
      <c r="AC33" s="579" t="str">
        <f t="shared" si="48"/>
        <v/>
      </c>
      <c r="AD33" s="580" t="str">
        <f t="shared" si="49"/>
        <v/>
      </c>
      <c r="AE33" s="572" t="str">
        <f t="shared" si="50"/>
        <v/>
      </c>
      <c r="AF33" s="576" t="str">
        <f t="shared" si="51"/>
        <v/>
      </c>
      <c r="AG33" s="545" t="str">
        <f t="shared" si="52"/>
        <v/>
      </c>
      <c r="AH33" s="546" t="str">
        <f t="shared" si="53"/>
        <v/>
      </c>
      <c r="AI33" s="528" t="str">
        <f t="shared" si="54"/>
        <v/>
      </c>
      <c r="AJ33" s="529" t="str">
        <f t="shared" si="55"/>
        <v/>
      </c>
      <c r="AK33" s="578" t="str">
        <f t="shared" si="56"/>
        <v/>
      </c>
      <c r="AL33" s="572" t="str">
        <f t="shared" si="57"/>
        <v/>
      </c>
      <c r="AM33" s="577" t="str">
        <f t="shared" si="58"/>
        <v/>
      </c>
      <c r="AN33" s="524" t="str">
        <f t="shared" si="16"/>
        <v/>
      </c>
      <c r="AO33" s="525" t="str">
        <f t="shared" si="17"/>
        <v/>
      </c>
      <c r="AP33" s="528" t="str">
        <f t="shared" si="59"/>
        <v/>
      </c>
      <c r="AQ33" s="529" t="str">
        <f t="shared" si="60"/>
        <v/>
      </c>
      <c r="AS33" s="598" t="str">
        <f t="shared" si="18"/>
        <v/>
      </c>
      <c r="AT33" s="602" t="str">
        <f t="shared" si="61"/>
        <v/>
      </c>
      <c r="AU33" s="515" t="str">
        <f t="shared" si="19"/>
        <v/>
      </c>
      <c r="AV33" s="164" t="str">
        <f t="shared" si="64"/>
        <v/>
      </c>
      <c r="AW33" s="545" t="str">
        <f>IF($M33="","",W33-INDEX(Assy.Model!$W$9:$W$150,MATCH('SN#.Run#'!$M33,Assy.Model!$M$9:$M$150,0)))</f>
        <v/>
      </c>
      <c r="AX33" s="628" t="str">
        <f>IF($M33="","",X33-INDEX(Assy.Model!$X$9:$X$150,MATCH('SN#.Run#'!$M33,Assy.Model!$M$9:$M$150,0)))</f>
        <v/>
      </c>
      <c r="AY33" s="629" t="str">
        <f>IF($M33="","",Y33-INDEX(Assy.Model!$Y$9:$Y$150,MATCH('SN#.Run#'!$M33,Assy.Model!$M$9:$M$150,0)))</f>
        <v/>
      </c>
      <c r="AZ33" s="602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10" t="str">
        <f>IF($M33="","",AN33-INDEX(Assy.Model!$AN$9:$AN$150,MATCH('SN#.Run#'!$M33,Assy.Model!$M$9:$M$150,0)))</f>
        <v/>
      </c>
      <c r="BB33" s="525" t="str">
        <f>IF($M33="","",AO33-INDEX(Assy.Model!$AO$9:$AO$150,MATCH('SN#.Run#'!$M33,Assy.Model!$M$9:$M$150,0)))</f>
        <v/>
      </c>
      <c r="BC33" s="619" t="str">
        <f>IF($M33="","",AP33-INDEX(Assy.Model!$AP$9:$AP$150,MATCH('SN#.Run#'!$M33,Assy.Model!$M$9:$M$150,0)))</f>
        <v/>
      </c>
      <c r="BD33" s="419"/>
      <c r="BE33" s="699"/>
      <c r="BF33" s="417"/>
      <c r="BG33" s="417"/>
      <c r="BH33" s="417"/>
      <c r="BI33" s="417"/>
      <c r="BJ33" s="417"/>
      <c r="BK33" s="417"/>
      <c r="BL33" s="417"/>
      <c r="BM33" s="417"/>
      <c r="BN33" s="417"/>
      <c r="BO33" s="417"/>
      <c r="BP33" s="417"/>
      <c r="BQ33" s="417"/>
      <c r="BR33" s="417"/>
      <c r="BS33" s="417"/>
      <c r="BT33" s="417"/>
      <c r="BU33" s="417"/>
      <c r="IE33" s="790" t="str">
        <f>IFERROR(IF($IU33="","",IF($IU33&lt;(((Settings!$C$19/2)*-1)*$IE$8),"Taper","Nose")),"")</f>
        <v/>
      </c>
      <c r="IF33" s="482" t="str">
        <f>IFERROR(IF((((($IW33*COS(RADIANS(180-$IY33)))*COS(RADIANS($IY33)))-(($IX33*SIN(RADIANS(180-$IY33)))*SIN(RADIANS($IY33))))+$IU33)&lt;(((Settings!$C$19+$IF$8)/2)*-1),"Gage",""),"")</f>
        <v/>
      </c>
      <c r="IG33" s="788" t="str">
        <f t="shared" si="65"/>
        <v/>
      </c>
      <c r="IH33" s="674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677" t="str" cm="1">
        <f t="array" ref="II33">IFERROR(IF($IH33&lt;1,$IH33+LARGE((IF($M$9:$M$150="",0,$M$9:$M$150)-MOD(IF($M$9:$M$150="",0,$M$9:$M$150),1)),1),$IH33),"")</f>
        <v/>
      </c>
      <c r="IJ33" s="482" t="str">
        <f t="shared" si="62"/>
        <v/>
      </c>
      <c r="IK33" s="482" t="str">
        <f t="shared" si="20"/>
        <v/>
      </c>
      <c r="IL33" s="670" t="str">
        <f t="shared" si="68"/>
        <v/>
      </c>
      <c r="IM33" s="702"/>
      <c r="IN33" s="5" t="str">
        <f t="shared" si="69"/>
        <v/>
      </c>
      <c r="IO33" s="714"/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670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05" t="str">
        <f t="shared" si="77"/>
        <v/>
      </c>
      <c r="JI33" s="417"/>
      <c r="JJ33" s="417"/>
      <c r="JK33" s="417"/>
    </row>
    <row r="34" spans="1:271" ht="15" customHeight="1" x14ac:dyDescent="0.25">
      <c r="A34" s="75"/>
      <c r="B34" s="578" t="str">
        <f t="shared" si="33"/>
        <v/>
      </c>
      <c r="C34" s="572" t="str">
        <f t="shared" si="10"/>
        <v/>
      </c>
      <c r="D34" s="576" t="str">
        <f t="shared" si="11"/>
        <v/>
      </c>
      <c r="E34" s="580" t="str">
        <f t="shared" si="12"/>
        <v/>
      </c>
      <c r="F34" s="572" t="str">
        <f t="shared" si="13"/>
        <v/>
      </c>
      <c r="G34" s="579" t="str">
        <f t="shared" si="14"/>
        <v/>
      </c>
      <c r="H34" s="580" t="str">
        <f t="shared" si="34"/>
        <v/>
      </c>
      <c r="I34" s="482"/>
      <c r="J34" s="483" t="str">
        <v/>
      </c>
      <c r="K34" s="806" t="str">
        <f t="shared" si="66"/>
        <v/>
      </c>
      <c r="M34" s="164" t="str">
        <f t="shared" si="35"/>
        <v/>
      </c>
      <c r="N34" s="575" t="str">
        <f t="shared" si="36"/>
        <v/>
      </c>
      <c r="O34" s="572" t="str">
        <f t="shared" si="37"/>
        <v/>
      </c>
      <c r="P34" s="576" t="str">
        <f t="shared" si="38"/>
        <v/>
      </c>
      <c r="Q34" s="528" t="str">
        <f t="shared" si="63"/>
        <v/>
      </c>
      <c r="R34" s="572" t="str">
        <f t="shared" si="39"/>
        <v/>
      </c>
      <c r="S34" s="577" t="str">
        <f t="shared" si="40"/>
        <v/>
      </c>
      <c r="T34" s="578" t="str">
        <f t="shared" si="41"/>
        <v/>
      </c>
      <c r="U34" s="572" t="str">
        <f t="shared" si="42"/>
        <v/>
      </c>
      <c r="V34" s="579" t="str">
        <f t="shared" si="43"/>
        <v/>
      </c>
      <c r="W34" s="528" t="str">
        <f t="shared" si="67"/>
        <v/>
      </c>
      <c r="X34" s="572" t="str">
        <f t="shared" si="44"/>
        <v/>
      </c>
      <c r="Y34" s="573" t="str">
        <f t="shared" si="15"/>
        <v/>
      </c>
      <c r="Z34" s="575" t="str">
        <f t="shared" si="45"/>
        <v/>
      </c>
      <c r="AA34" s="572" t="str">
        <f t="shared" si="46"/>
        <v/>
      </c>
      <c r="AB34" s="572" t="str">
        <f t="shared" si="47"/>
        <v/>
      </c>
      <c r="AC34" s="579" t="str">
        <f t="shared" si="48"/>
        <v/>
      </c>
      <c r="AD34" s="580" t="str">
        <f t="shared" si="49"/>
        <v/>
      </c>
      <c r="AE34" s="572" t="str">
        <f t="shared" si="50"/>
        <v/>
      </c>
      <c r="AF34" s="576" t="str">
        <f t="shared" si="51"/>
        <v/>
      </c>
      <c r="AG34" s="545" t="str">
        <f t="shared" si="52"/>
        <v/>
      </c>
      <c r="AH34" s="546" t="str">
        <f t="shared" si="53"/>
        <v/>
      </c>
      <c r="AI34" s="528" t="str">
        <f t="shared" si="54"/>
        <v/>
      </c>
      <c r="AJ34" s="529" t="str">
        <f t="shared" si="55"/>
        <v/>
      </c>
      <c r="AK34" s="578" t="str">
        <f t="shared" si="56"/>
        <v/>
      </c>
      <c r="AL34" s="572" t="str">
        <f t="shared" si="57"/>
        <v/>
      </c>
      <c r="AM34" s="577" t="str">
        <f t="shared" si="58"/>
        <v/>
      </c>
      <c r="AN34" s="524" t="str">
        <f t="shared" si="16"/>
        <v/>
      </c>
      <c r="AO34" s="525" t="str">
        <f t="shared" si="17"/>
        <v/>
      </c>
      <c r="AP34" s="528" t="str">
        <f t="shared" si="59"/>
        <v/>
      </c>
      <c r="AQ34" s="529" t="str">
        <f t="shared" si="60"/>
        <v/>
      </c>
      <c r="AS34" s="598" t="str">
        <f t="shared" si="18"/>
        <v/>
      </c>
      <c r="AT34" s="602" t="str">
        <f t="shared" si="61"/>
        <v/>
      </c>
      <c r="AU34" s="515" t="str">
        <f t="shared" si="19"/>
        <v/>
      </c>
      <c r="AV34" s="164" t="str">
        <f t="shared" si="64"/>
        <v/>
      </c>
      <c r="AW34" s="545" t="str">
        <f>IF($M34="","",W34-INDEX(Assy.Model!$W$9:$W$150,MATCH('SN#.Run#'!$M34,Assy.Model!$M$9:$M$150,0)))</f>
        <v/>
      </c>
      <c r="AX34" s="628" t="str">
        <f>IF($M34="","",X34-INDEX(Assy.Model!$X$9:$X$150,MATCH('SN#.Run#'!$M34,Assy.Model!$M$9:$M$150,0)))</f>
        <v/>
      </c>
      <c r="AY34" s="629" t="str">
        <f>IF($M34="","",Y34-INDEX(Assy.Model!$Y$9:$Y$150,MATCH('SN#.Run#'!$M34,Assy.Model!$M$9:$M$150,0)))</f>
        <v/>
      </c>
      <c r="AZ34" s="602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10" t="str">
        <f>IF($M34="","",AN34-INDEX(Assy.Model!$AN$9:$AN$150,MATCH('SN#.Run#'!$M34,Assy.Model!$M$9:$M$150,0)))</f>
        <v/>
      </c>
      <c r="BB34" s="525" t="str">
        <f>IF($M34="","",AO34-INDEX(Assy.Model!$AO$9:$AO$150,MATCH('SN#.Run#'!$M34,Assy.Model!$M$9:$M$150,0)))</f>
        <v/>
      </c>
      <c r="BC34" s="619" t="str">
        <f>IF($M34="","",AP34-INDEX(Assy.Model!$AP$9:$AP$150,MATCH('SN#.Run#'!$M34,Assy.Model!$M$9:$M$150,0)))</f>
        <v/>
      </c>
      <c r="BD34" s="419"/>
      <c r="BE34" s="699"/>
      <c r="BF34" s="417"/>
      <c r="BG34" s="417"/>
      <c r="BH34" s="417"/>
      <c r="BI34" s="417"/>
      <c r="BJ34" s="417"/>
      <c r="BK34" s="417"/>
      <c r="BL34" s="417"/>
      <c r="BM34" s="417"/>
      <c r="BN34" s="417"/>
      <c r="BO34" s="417"/>
      <c r="BP34" s="417"/>
      <c r="BQ34" s="417"/>
      <c r="BR34" s="417"/>
      <c r="BS34" s="417"/>
      <c r="BT34" s="417"/>
      <c r="BU34" s="417"/>
      <c r="IE34" s="790" t="str">
        <f>IFERROR(IF($IU34="","",IF($IU34&lt;(((Settings!$C$19/2)*-1)*$IE$8),"Taper","Nose")),"")</f>
        <v/>
      </c>
      <c r="IF34" s="482" t="str">
        <f>IFERROR(IF((((($IW34*COS(RADIANS(180-$IY34)))*COS(RADIANS($IY34)))-(($IX34*SIN(RADIANS(180-$IY34)))*SIN(RADIANS($IY34))))+$IU34)&lt;(((Settings!$C$19+$IF$8)/2)*-1),"Gage",""),"")</f>
        <v/>
      </c>
      <c r="IG34" s="788" t="str">
        <f t="shared" si="65"/>
        <v/>
      </c>
      <c r="IH34" s="674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677" t="str" cm="1">
        <f t="array" ref="II34">IFERROR(IF($IH34&lt;1,$IH34+LARGE((IF($M$9:$M$150="",0,$M$9:$M$150)-MOD(IF($M$9:$M$150="",0,$M$9:$M$150),1)),1),$IH34),"")</f>
        <v/>
      </c>
      <c r="IJ34" s="482" t="str">
        <f t="shared" si="62"/>
        <v/>
      </c>
      <c r="IK34" s="482" t="str">
        <f t="shared" si="20"/>
        <v/>
      </c>
      <c r="IL34" s="670" t="str">
        <f t="shared" si="68"/>
        <v/>
      </c>
      <c r="IM34" s="702"/>
      <c r="IN34" s="5" t="str">
        <f t="shared" si="69"/>
        <v/>
      </c>
      <c r="IO34" s="714"/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670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05" t="str">
        <f t="shared" si="77"/>
        <v/>
      </c>
      <c r="JI34" s="417"/>
      <c r="JJ34" s="419"/>
      <c r="JK34" s="417"/>
    </row>
    <row r="35" spans="1:271" ht="15" customHeight="1" x14ac:dyDescent="0.25">
      <c r="A35" s="75"/>
      <c r="B35" s="578" t="str">
        <f t="shared" si="33"/>
        <v/>
      </c>
      <c r="C35" s="572" t="str">
        <f t="shared" si="10"/>
        <v/>
      </c>
      <c r="D35" s="576" t="str">
        <f t="shared" si="11"/>
        <v/>
      </c>
      <c r="E35" s="580" t="str">
        <f t="shared" si="12"/>
        <v/>
      </c>
      <c r="F35" s="572" t="str">
        <f t="shared" si="13"/>
        <v/>
      </c>
      <c r="G35" s="579" t="str">
        <f t="shared" si="14"/>
        <v/>
      </c>
      <c r="H35" s="580" t="str">
        <f t="shared" si="34"/>
        <v/>
      </c>
      <c r="I35" s="482"/>
      <c r="J35" s="483" t="str">
        <v/>
      </c>
      <c r="K35" s="806" t="str">
        <f t="shared" si="66"/>
        <v/>
      </c>
      <c r="M35" s="164" t="str">
        <f t="shared" si="35"/>
        <v/>
      </c>
      <c r="N35" s="575" t="str">
        <f t="shared" si="36"/>
        <v/>
      </c>
      <c r="O35" s="572" t="str">
        <f t="shared" si="37"/>
        <v/>
      </c>
      <c r="P35" s="576" t="str">
        <f t="shared" si="38"/>
        <v/>
      </c>
      <c r="Q35" s="528" t="str">
        <f t="shared" si="63"/>
        <v/>
      </c>
      <c r="R35" s="572" t="str">
        <f t="shared" si="39"/>
        <v/>
      </c>
      <c r="S35" s="577" t="str">
        <f t="shared" si="40"/>
        <v/>
      </c>
      <c r="T35" s="578" t="str">
        <f t="shared" si="41"/>
        <v/>
      </c>
      <c r="U35" s="572" t="str">
        <f t="shared" si="42"/>
        <v/>
      </c>
      <c r="V35" s="579" t="str">
        <f t="shared" si="43"/>
        <v/>
      </c>
      <c r="W35" s="528" t="str">
        <f t="shared" si="67"/>
        <v/>
      </c>
      <c r="X35" s="572" t="str">
        <f t="shared" si="44"/>
        <v/>
      </c>
      <c r="Y35" s="573" t="str">
        <f t="shared" si="15"/>
        <v/>
      </c>
      <c r="Z35" s="575" t="str">
        <f t="shared" si="45"/>
        <v/>
      </c>
      <c r="AA35" s="572" t="str">
        <f t="shared" si="46"/>
        <v/>
      </c>
      <c r="AB35" s="572" t="str">
        <f t="shared" si="47"/>
        <v/>
      </c>
      <c r="AC35" s="579" t="str">
        <f t="shared" si="48"/>
        <v/>
      </c>
      <c r="AD35" s="580" t="str">
        <f t="shared" si="49"/>
        <v/>
      </c>
      <c r="AE35" s="572" t="str">
        <f t="shared" si="50"/>
        <v/>
      </c>
      <c r="AF35" s="576" t="str">
        <f t="shared" si="51"/>
        <v/>
      </c>
      <c r="AG35" s="545" t="str">
        <f t="shared" si="52"/>
        <v/>
      </c>
      <c r="AH35" s="546" t="str">
        <f t="shared" si="53"/>
        <v/>
      </c>
      <c r="AI35" s="528" t="str">
        <f t="shared" si="54"/>
        <v/>
      </c>
      <c r="AJ35" s="529" t="str">
        <f t="shared" si="55"/>
        <v/>
      </c>
      <c r="AK35" s="578" t="str">
        <f t="shared" si="56"/>
        <v/>
      </c>
      <c r="AL35" s="572" t="str">
        <f t="shared" si="57"/>
        <v/>
      </c>
      <c r="AM35" s="577" t="str">
        <f t="shared" si="58"/>
        <v/>
      </c>
      <c r="AN35" s="524" t="str">
        <f t="shared" si="16"/>
        <v/>
      </c>
      <c r="AO35" s="525" t="str">
        <f t="shared" si="17"/>
        <v/>
      </c>
      <c r="AP35" s="528" t="str">
        <f t="shared" si="59"/>
        <v/>
      </c>
      <c r="AQ35" s="529" t="str">
        <f t="shared" si="60"/>
        <v/>
      </c>
      <c r="AS35" s="598" t="str">
        <f t="shared" si="18"/>
        <v/>
      </c>
      <c r="AT35" s="602" t="str">
        <f t="shared" si="61"/>
        <v/>
      </c>
      <c r="AU35" s="515" t="str">
        <f t="shared" si="19"/>
        <v/>
      </c>
      <c r="AV35" s="164" t="str">
        <f t="shared" si="64"/>
        <v/>
      </c>
      <c r="AW35" s="545" t="str">
        <f>IF($M35="","",W35-INDEX(Assy.Model!$W$9:$W$150,MATCH('SN#.Run#'!$M35,Assy.Model!$M$9:$M$150,0)))</f>
        <v/>
      </c>
      <c r="AX35" s="628" t="str">
        <f>IF($M35="","",X35-INDEX(Assy.Model!$X$9:$X$150,MATCH('SN#.Run#'!$M35,Assy.Model!$M$9:$M$150,0)))</f>
        <v/>
      </c>
      <c r="AY35" s="629" t="str">
        <f>IF($M35="","",Y35-INDEX(Assy.Model!$Y$9:$Y$150,MATCH('SN#.Run#'!$M35,Assy.Model!$M$9:$M$150,0)))</f>
        <v/>
      </c>
      <c r="AZ35" s="602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10" t="str">
        <f>IF($M35="","",AN35-INDEX(Assy.Model!$AN$9:$AN$150,MATCH('SN#.Run#'!$M35,Assy.Model!$M$9:$M$150,0)))</f>
        <v/>
      </c>
      <c r="BB35" s="525" t="str">
        <f>IF($M35="","",AO35-INDEX(Assy.Model!$AO$9:$AO$150,MATCH('SN#.Run#'!$M35,Assy.Model!$M$9:$M$150,0)))</f>
        <v/>
      </c>
      <c r="BC35" s="619" t="str">
        <f>IF($M35="","",AP35-INDEX(Assy.Model!$AP$9:$AP$150,MATCH('SN#.Run#'!$M35,Assy.Model!$M$9:$M$150,0)))</f>
        <v/>
      </c>
      <c r="BD35" s="419"/>
      <c r="BE35" s="699"/>
      <c r="BF35" s="417"/>
      <c r="BG35" s="417"/>
      <c r="BH35" s="417"/>
      <c r="BI35" s="417"/>
      <c r="BJ35" s="417"/>
      <c r="BK35" s="417"/>
      <c r="BL35" s="417"/>
      <c r="BM35" s="417"/>
      <c r="BN35" s="417"/>
      <c r="BO35" s="417"/>
      <c r="BP35" s="417"/>
      <c r="BQ35" s="417"/>
      <c r="BR35" s="417"/>
      <c r="BS35" s="417"/>
      <c r="BT35" s="417"/>
      <c r="BU35" s="417"/>
      <c r="IE35" s="790" t="str">
        <f>IFERROR(IF($IU35="","",IF($IU35&lt;(((Settings!$C$19/2)*-1)*$IE$8),"Taper","Nose")),"")</f>
        <v/>
      </c>
      <c r="IF35" s="482" t="str">
        <f>IFERROR(IF((((($IW35*COS(RADIANS(180-$IY35)))*COS(RADIANS($IY35)))-(($IX35*SIN(RADIANS(180-$IY35)))*SIN(RADIANS($IY35))))+$IU35)&lt;(((Settings!$C$19+$IF$8)/2)*-1),"Gage",""),"")</f>
        <v/>
      </c>
      <c r="IG35" s="788" t="str">
        <f t="shared" si="65"/>
        <v/>
      </c>
      <c r="IH35" s="674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677" t="str" cm="1">
        <f t="array" ref="II35">IFERROR(IF($IH35&lt;1,$IH35+LARGE((IF($M$9:$M$150="",0,$M$9:$M$150)-MOD(IF($M$9:$M$150="",0,$M$9:$M$150),1)),1),$IH35),"")</f>
        <v/>
      </c>
      <c r="IJ35" s="482" t="str">
        <f t="shared" si="62"/>
        <v/>
      </c>
      <c r="IK35" s="482" t="str">
        <f t="shared" si="20"/>
        <v/>
      </c>
      <c r="IL35" s="670" t="str">
        <f t="shared" si="68"/>
        <v/>
      </c>
      <c r="IM35" s="702"/>
      <c r="IN35" s="5" t="str">
        <f t="shared" si="69"/>
        <v/>
      </c>
      <c r="IO35" s="714"/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670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05" t="str">
        <f t="shared" si="77"/>
        <v/>
      </c>
      <c r="JI35" s="417"/>
      <c r="JJ35" s="419"/>
      <c r="JK35" s="417"/>
    </row>
    <row r="36" spans="1:271" ht="15" customHeight="1" x14ac:dyDescent="0.25">
      <c r="A36" s="75"/>
      <c r="B36" s="578" t="str">
        <f t="shared" si="33"/>
        <v/>
      </c>
      <c r="C36" s="572" t="str">
        <f t="shared" si="10"/>
        <v/>
      </c>
      <c r="D36" s="576" t="str">
        <f t="shared" si="11"/>
        <v/>
      </c>
      <c r="E36" s="580" t="str">
        <f t="shared" si="12"/>
        <v/>
      </c>
      <c r="F36" s="572" t="str">
        <f t="shared" si="13"/>
        <v/>
      </c>
      <c r="G36" s="579" t="str">
        <f t="shared" si="14"/>
        <v/>
      </c>
      <c r="H36" s="580" t="str">
        <f t="shared" si="34"/>
        <v/>
      </c>
      <c r="I36" s="482"/>
      <c r="J36" s="483" t="str">
        <v/>
      </c>
      <c r="K36" s="806" t="str">
        <f t="shared" si="66"/>
        <v/>
      </c>
      <c r="M36" s="164" t="str">
        <f t="shared" si="35"/>
        <v/>
      </c>
      <c r="N36" s="575" t="str">
        <f t="shared" si="36"/>
        <v/>
      </c>
      <c r="O36" s="572" t="str">
        <f t="shared" si="37"/>
        <v/>
      </c>
      <c r="P36" s="576" t="str">
        <f t="shared" si="38"/>
        <v/>
      </c>
      <c r="Q36" s="528" t="str">
        <f t="shared" si="63"/>
        <v/>
      </c>
      <c r="R36" s="572" t="str">
        <f t="shared" si="39"/>
        <v/>
      </c>
      <c r="S36" s="577" t="str">
        <f t="shared" si="40"/>
        <v/>
      </c>
      <c r="T36" s="578" t="str">
        <f t="shared" si="41"/>
        <v/>
      </c>
      <c r="U36" s="572" t="str">
        <f t="shared" si="42"/>
        <v/>
      </c>
      <c r="V36" s="579" t="str">
        <f t="shared" si="43"/>
        <v/>
      </c>
      <c r="W36" s="528" t="str">
        <f t="shared" si="67"/>
        <v/>
      </c>
      <c r="X36" s="572" t="str">
        <f t="shared" si="44"/>
        <v/>
      </c>
      <c r="Y36" s="573" t="str">
        <f t="shared" si="15"/>
        <v/>
      </c>
      <c r="Z36" s="575" t="str">
        <f t="shared" si="45"/>
        <v/>
      </c>
      <c r="AA36" s="572" t="str">
        <f t="shared" si="46"/>
        <v/>
      </c>
      <c r="AB36" s="572" t="str">
        <f t="shared" si="47"/>
        <v/>
      </c>
      <c r="AC36" s="579" t="str">
        <f t="shared" si="48"/>
        <v/>
      </c>
      <c r="AD36" s="580" t="str">
        <f t="shared" si="49"/>
        <v/>
      </c>
      <c r="AE36" s="572" t="str">
        <f t="shared" si="50"/>
        <v/>
      </c>
      <c r="AF36" s="576" t="str">
        <f t="shared" si="51"/>
        <v/>
      </c>
      <c r="AG36" s="545" t="str">
        <f t="shared" si="52"/>
        <v/>
      </c>
      <c r="AH36" s="546" t="str">
        <f t="shared" si="53"/>
        <v/>
      </c>
      <c r="AI36" s="528" t="str">
        <f t="shared" si="54"/>
        <v/>
      </c>
      <c r="AJ36" s="529" t="str">
        <f t="shared" si="55"/>
        <v/>
      </c>
      <c r="AK36" s="578" t="str">
        <f t="shared" si="56"/>
        <v/>
      </c>
      <c r="AL36" s="572" t="str">
        <f t="shared" si="57"/>
        <v/>
      </c>
      <c r="AM36" s="577" t="str">
        <f t="shared" si="58"/>
        <v/>
      </c>
      <c r="AN36" s="524" t="str">
        <f t="shared" si="16"/>
        <v/>
      </c>
      <c r="AO36" s="525" t="str">
        <f t="shared" si="17"/>
        <v/>
      </c>
      <c r="AP36" s="528" t="str">
        <f t="shared" si="59"/>
        <v/>
      </c>
      <c r="AQ36" s="529" t="str">
        <f t="shared" si="60"/>
        <v/>
      </c>
      <c r="AS36" s="598" t="str">
        <f t="shared" si="18"/>
        <v/>
      </c>
      <c r="AT36" s="602" t="str">
        <f t="shared" si="61"/>
        <v/>
      </c>
      <c r="AU36" s="515" t="str">
        <f t="shared" si="19"/>
        <v/>
      </c>
      <c r="AV36" s="164" t="str">
        <f t="shared" si="64"/>
        <v/>
      </c>
      <c r="AW36" s="545" t="str">
        <f>IF($M36="","",W36-INDEX(Assy.Model!$W$9:$W$150,MATCH('SN#.Run#'!$M36,Assy.Model!$M$9:$M$150,0)))</f>
        <v/>
      </c>
      <c r="AX36" s="628" t="str">
        <f>IF($M36="","",X36-INDEX(Assy.Model!$X$9:$X$150,MATCH('SN#.Run#'!$M36,Assy.Model!$M$9:$M$150,0)))</f>
        <v/>
      </c>
      <c r="AY36" s="629" t="str">
        <f>IF($M36="","",Y36-INDEX(Assy.Model!$Y$9:$Y$150,MATCH('SN#.Run#'!$M36,Assy.Model!$M$9:$M$150,0)))</f>
        <v/>
      </c>
      <c r="AZ36" s="602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10" t="str">
        <f>IF($M36="","",AN36-INDEX(Assy.Model!$AN$9:$AN$150,MATCH('SN#.Run#'!$M36,Assy.Model!$M$9:$M$150,0)))</f>
        <v/>
      </c>
      <c r="BB36" s="525" t="str">
        <f>IF($M36="","",AO36-INDEX(Assy.Model!$AO$9:$AO$150,MATCH('SN#.Run#'!$M36,Assy.Model!$M$9:$M$150,0)))</f>
        <v/>
      </c>
      <c r="BC36" s="619" t="str">
        <f>IF($M36="","",AP36-INDEX(Assy.Model!$AP$9:$AP$150,MATCH('SN#.Run#'!$M36,Assy.Model!$M$9:$M$150,0)))</f>
        <v/>
      </c>
      <c r="BD36" s="419"/>
      <c r="BE36" s="699"/>
      <c r="BF36" s="417"/>
      <c r="BG36" s="417"/>
      <c r="BH36" s="417"/>
      <c r="BI36" s="417"/>
      <c r="BJ36" s="417"/>
      <c r="BK36" s="417"/>
      <c r="BL36" s="417"/>
      <c r="BM36" s="417"/>
      <c r="BN36" s="417"/>
      <c r="BO36" s="417"/>
      <c r="BP36" s="417"/>
      <c r="BQ36" s="417"/>
      <c r="BR36" s="417"/>
      <c r="BS36" s="417"/>
      <c r="BT36" s="417"/>
      <c r="BU36" s="417"/>
      <c r="IE36" s="790" t="str">
        <f>IFERROR(IF($IU36="","",IF($IU36&lt;(((Settings!$C$19/2)*-1)*$IE$8),"Taper","Nose")),"")</f>
        <v/>
      </c>
      <c r="IF36" s="482" t="str">
        <f>IFERROR(IF((((($IW36*COS(RADIANS(180-$IY36)))*COS(RADIANS($IY36)))-(($IX36*SIN(RADIANS(180-$IY36)))*SIN(RADIANS($IY36))))+$IU36)&lt;(((Settings!$C$19+$IF$8)/2)*-1),"Gage",""),"")</f>
        <v/>
      </c>
      <c r="IG36" s="788" t="str">
        <f t="shared" si="65"/>
        <v/>
      </c>
      <c r="IH36" s="674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677" t="str" cm="1">
        <f t="array" ref="II36">IFERROR(IF($IH36&lt;1,$IH36+LARGE((IF($M$9:$M$150="",0,$M$9:$M$150)-MOD(IF($M$9:$M$150="",0,$M$9:$M$150),1)),1),$IH36),"")</f>
        <v/>
      </c>
      <c r="IJ36" s="482" t="str">
        <f t="shared" si="62"/>
        <v/>
      </c>
      <c r="IK36" s="482" t="str">
        <f t="shared" si="20"/>
        <v/>
      </c>
      <c r="IL36" s="670" t="str">
        <f t="shared" si="68"/>
        <v/>
      </c>
      <c r="IM36" s="702"/>
      <c r="IN36" s="5" t="str">
        <f t="shared" si="69"/>
        <v/>
      </c>
      <c r="IO36" s="714"/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670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05" t="str">
        <f t="shared" si="77"/>
        <v/>
      </c>
      <c r="JI36" s="417"/>
      <c r="JJ36" s="419"/>
      <c r="JK36" s="417"/>
    </row>
    <row r="37" spans="1:271" ht="15" customHeight="1" x14ac:dyDescent="0.25">
      <c r="A37" s="75"/>
      <c r="B37" s="578" t="str">
        <f t="shared" si="33"/>
        <v/>
      </c>
      <c r="C37" s="572" t="str">
        <f t="shared" si="10"/>
        <v/>
      </c>
      <c r="D37" s="576" t="str">
        <f t="shared" si="11"/>
        <v/>
      </c>
      <c r="E37" s="580" t="str">
        <f t="shared" si="12"/>
        <v/>
      </c>
      <c r="F37" s="572" t="str">
        <f t="shared" si="13"/>
        <v/>
      </c>
      <c r="G37" s="579" t="str">
        <f t="shared" si="14"/>
        <v/>
      </c>
      <c r="H37" s="580" t="str">
        <f t="shared" si="34"/>
        <v/>
      </c>
      <c r="I37" s="482"/>
      <c r="J37" s="483" t="str">
        <v/>
      </c>
      <c r="K37" s="806" t="str">
        <f t="shared" si="66"/>
        <v/>
      </c>
      <c r="M37" s="164" t="str">
        <f t="shared" si="35"/>
        <v/>
      </c>
      <c r="N37" s="575" t="str">
        <f t="shared" si="36"/>
        <v/>
      </c>
      <c r="O37" s="572" t="str">
        <f t="shared" si="37"/>
        <v/>
      </c>
      <c r="P37" s="576" t="str">
        <f t="shared" si="38"/>
        <v/>
      </c>
      <c r="Q37" s="528" t="str">
        <f t="shared" si="63"/>
        <v/>
      </c>
      <c r="R37" s="572" t="str">
        <f t="shared" si="39"/>
        <v/>
      </c>
      <c r="S37" s="577" t="str">
        <f t="shared" si="40"/>
        <v/>
      </c>
      <c r="T37" s="578" t="str">
        <f t="shared" si="41"/>
        <v/>
      </c>
      <c r="U37" s="572" t="str">
        <f t="shared" si="42"/>
        <v/>
      </c>
      <c r="V37" s="579" t="str">
        <f t="shared" si="43"/>
        <v/>
      </c>
      <c r="W37" s="528" t="str">
        <f t="shared" si="67"/>
        <v/>
      </c>
      <c r="X37" s="572" t="str">
        <f t="shared" si="44"/>
        <v/>
      </c>
      <c r="Y37" s="573" t="str">
        <f t="shared" si="15"/>
        <v/>
      </c>
      <c r="Z37" s="575" t="str">
        <f t="shared" si="45"/>
        <v/>
      </c>
      <c r="AA37" s="572" t="str">
        <f t="shared" si="46"/>
        <v/>
      </c>
      <c r="AB37" s="572" t="str">
        <f t="shared" si="47"/>
        <v/>
      </c>
      <c r="AC37" s="579" t="str">
        <f t="shared" si="48"/>
        <v/>
      </c>
      <c r="AD37" s="580" t="str">
        <f t="shared" si="49"/>
        <v/>
      </c>
      <c r="AE37" s="572" t="str">
        <f t="shared" si="50"/>
        <v/>
      </c>
      <c r="AF37" s="576" t="str">
        <f t="shared" si="51"/>
        <v/>
      </c>
      <c r="AG37" s="545" t="str">
        <f t="shared" si="52"/>
        <v/>
      </c>
      <c r="AH37" s="546" t="str">
        <f t="shared" si="53"/>
        <v/>
      </c>
      <c r="AI37" s="528" t="str">
        <f t="shared" si="54"/>
        <v/>
      </c>
      <c r="AJ37" s="529" t="str">
        <f t="shared" si="55"/>
        <v/>
      </c>
      <c r="AK37" s="578" t="str">
        <f t="shared" si="56"/>
        <v/>
      </c>
      <c r="AL37" s="572" t="str">
        <f t="shared" si="57"/>
        <v/>
      </c>
      <c r="AM37" s="577" t="str">
        <f t="shared" si="58"/>
        <v/>
      </c>
      <c r="AN37" s="524" t="str">
        <f t="shared" si="16"/>
        <v/>
      </c>
      <c r="AO37" s="525" t="str">
        <f t="shared" si="17"/>
        <v/>
      </c>
      <c r="AP37" s="528" t="str">
        <f t="shared" si="59"/>
        <v/>
      </c>
      <c r="AQ37" s="529" t="str">
        <f t="shared" si="60"/>
        <v/>
      </c>
      <c r="AS37" s="598" t="str">
        <f t="shared" ref="AS37:AS48" si="78">IF(M37="","",IF(W37&lt;=LARGE($W$9:$W$17,1),W37,W37-360))</f>
        <v/>
      </c>
      <c r="AT37" s="602" t="str">
        <f t="shared" si="61"/>
        <v/>
      </c>
      <c r="AU37" s="515" t="str">
        <f t="shared" si="19"/>
        <v/>
      </c>
      <c r="AV37" s="164" t="str">
        <f t="shared" si="64"/>
        <v/>
      </c>
      <c r="AW37" s="545" t="str">
        <f>IF($M37="","",W37-INDEX(Assy.Model!$W$9:$W$150,MATCH('SN#.Run#'!$M37,Assy.Model!$M$9:$M$150,0)))</f>
        <v/>
      </c>
      <c r="AX37" s="628" t="str">
        <f>IF($M37="","",X37-INDEX(Assy.Model!$X$9:$X$150,MATCH('SN#.Run#'!$M37,Assy.Model!$M$9:$M$150,0)))</f>
        <v/>
      </c>
      <c r="AY37" s="629" t="str">
        <f>IF($M37="","",Y37-INDEX(Assy.Model!$Y$9:$Y$150,MATCH('SN#.Run#'!$M37,Assy.Model!$M$9:$M$150,0)))</f>
        <v/>
      </c>
      <c r="AZ37" s="602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10" t="str">
        <f>IF($M37="","",AN37-INDEX(Assy.Model!$AN$9:$AN$150,MATCH('SN#.Run#'!$M37,Assy.Model!$M$9:$M$150,0)))</f>
        <v/>
      </c>
      <c r="BB37" s="525" t="str">
        <f>IF($M37="","",AO37-INDEX(Assy.Model!$AO$9:$AO$150,MATCH('SN#.Run#'!$M37,Assy.Model!$M$9:$M$150,0)))</f>
        <v/>
      </c>
      <c r="BC37" s="619" t="str">
        <f>IF($M37="","",AP37-INDEX(Assy.Model!$AP$9:$AP$150,MATCH('SN#.Run#'!$M37,Assy.Model!$M$9:$M$150,0)))</f>
        <v/>
      </c>
      <c r="BD37" s="419"/>
      <c r="BE37" s="699"/>
      <c r="BF37" s="417"/>
      <c r="BG37" s="417"/>
      <c r="BH37" s="417"/>
      <c r="BI37" s="417"/>
      <c r="BJ37" s="417"/>
      <c r="BK37" s="417"/>
      <c r="BL37" s="417"/>
      <c r="BM37" s="417"/>
      <c r="BN37" s="417"/>
      <c r="BO37" s="417"/>
      <c r="BP37" s="417"/>
      <c r="BQ37" s="417"/>
      <c r="BR37" s="417"/>
      <c r="BS37" s="417"/>
      <c r="BT37" s="417"/>
      <c r="BU37" s="417"/>
      <c r="IE37" s="790" t="str">
        <f>IFERROR(IF($IU37="","",IF($IU37&lt;(((Settings!$C$19/2)*-1)*$IE$8),"Taper","Nose")),"")</f>
        <v/>
      </c>
      <c r="IF37" s="482" t="str">
        <f>IFERROR(IF((((($IW37*COS(RADIANS(180-$IY37)))*COS(RADIANS($IY37)))-(($IX37*SIN(RADIANS(180-$IY37)))*SIN(RADIANS($IY37))))+$IU37)&lt;(((Settings!$C$19+$IF$8)/2)*-1),"Gage",""),"")</f>
        <v/>
      </c>
      <c r="IG37" s="788" t="str">
        <f t="shared" si="65"/>
        <v/>
      </c>
      <c r="IH37" s="674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677" t="str" cm="1">
        <f t="array" ref="II37">IFERROR(IF($IH37&lt;1,$IH37+LARGE((IF($M$9:$M$150="",0,$M$9:$M$150)-MOD(IF($M$9:$M$150="",0,$M$9:$M$150),1)),1),$IH37),"")</f>
        <v/>
      </c>
      <c r="IJ37" s="482" t="str">
        <f t="shared" si="62"/>
        <v/>
      </c>
      <c r="IK37" s="482" t="str">
        <f t="shared" si="20"/>
        <v/>
      </c>
      <c r="IL37" s="670" t="str">
        <f t="shared" si="68"/>
        <v/>
      </c>
      <c r="IM37" s="702"/>
      <c r="IN37" s="5" t="str">
        <f t="shared" si="69"/>
        <v/>
      </c>
      <c r="IO37" s="714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670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05" t="str">
        <f t="shared" si="77"/>
        <v/>
      </c>
      <c r="JI37" s="417"/>
      <c r="JJ37" s="419"/>
      <c r="JK37" s="417"/>
    </row>
    <row r="38" spans="1:271" ht="15" customHeight="1" x14ac:dyDescent="0.25">
      <c r="A38" s="75"/>
      <c r="B38" s="578" t="str">
        <f t="shared" si="33"/>
        <v/>
      </c>
      <c r="C38" s="572" t="str">
        <f t="shared" si="10"/>
        <v/>
      </c>
      <c r="D38" s="576" t="str">
        <f t="shared" si="11"/>
        <v/>
      </c>
      <c r="E38" s="580" t="str">
        <f t="shared" si="12"/>
        <v/>
      </c>
      <c r="F38" s="572" t="str">
        <f t="shared" si="13"/>
        <v/>
      </c>
      <c r="G38" s="579" t="str">
        <f t="shared" si="14"/>
        <v/>
      </c>
      <c r="H38" s="580" t="str">
        <f t="shared" si="34"/>
        <v/>
      </c>
      <c r="I38" s="482"/>
      <c r="J38" s="483" t="str">
        <v/>
      </c>
      <c r="K38" s="806" t="str">
        <f t="shared" si="66"/>
        <v/>
      </c>
      <c r="M38" s="164" t="str">
        <f t="shared" si="35"/>
        <v/>
      </c>
      <c r="N38" s="575" t="str">
        <f t="shared" si="36"/>
        <v/>
      </c>
      <c r="O38" s="572" t="str">
        <f t="shared" si="37"/>
        <v/>
      </c>
      <c r="P38" s="576" t="str">
        <f t="shared" si="38"/>
        <v/>
      </c>
      <c r="Q38" s="528" t="str">
        <f t="shared" si="63"/>
        <v/>
      </c>
      <c r="R38" s="572" t="str">
        <f t="shared" si="39"/>
        <v/>
      </c>
      <c r="S38" s="577" t="str">
        <f t="shared" si="40"/>
        <v/>
      </c>
      <c r="T38" s="578" t="str">
        <f t="shared" si="41"/>
        <v/>
      </c>
      <c r="U38" s="572" t="str">
        <f t="shared" si="42"/>
        <v/>
      </c>
      <c r="V38" s="579" t="str">
        <f t="shared" si="43"/>
        <v/>
      </c>
      <c r="W38" s="528" t="str">
        <f t="shared" si="67"/>
        <v/>
      </c>
      <c r="X38" s="572" t="str">
        <f t="shared" si="44"/>
        <v/>
      </c>
      <c r="Y38" s="573" t="str">
        <f t="shared" si="15"/>
        <v/>
      </c>
      <c r="Z38" s="575" t="str">
        <f t="shared" si="45"/>
        <v/>
      </c>
      <c r="AA38" s="572" t="str">
        <f t="shared" si="46"/>
        <v/>
      </c>
      <c r="AB38" s="572" t="str">
        <f t="shared" si="47"/>
        <v/>
      </c>
      <c r="AC38" s="579" t="str">
        <f t="shared" si="48"/>
        <v/>
      </c>
      <c r="AD38" s="580" t="str">
        <f t="shared" si="49"/>
        <v/>
      </c>
      <c r="AE38" s="572" t="str">
        <f t="shared" si="50"/>
        <v/>
      </c>
      <c r="AF38" s="576" t="str">
        <f t="shared" si="51"/>
        <v/>
      </c>
      <c r="AG38" s="545" t="str">
        <f t="shared" si="52"/>
        <v/>
      </c>
      <c r="AH38" s="546" t="str">
        <f t="shared" si="53"/>
        <v/>
      </c>
      <c r="AI38" s="528" t="str">
        <f t="shared" si="54"/>
        <v/>
      </c>
      <c r="AJ38" s="529" t="str">
        <f t="shared" si="55"/>
        <v/>
      </c>
      <c r="AK38" s="578" t="str">
        <f t="shared" si="56"/>
        <v/>
      </c>
      <c r="AL38" s="572" t="str">
        <f t="shared" si="57"/>
        <v/>
      </c>
      <c r="AM38" s="577" t="str">
        <f t="shared" si="58"/>
        <v/>
      </c>
      <c r="AN38" s="524" t="str">
        <f t="shared" si="16"/>
        <v/>
      </c>
      <c r="AO38" s="525" t="str">
        <f t="shared" si="17"/>
        <v/>
      </c>
      <c r="AP38" s="528" t="str">
        <f t="shared" si="59"/>
        <v/>
      </c>
      <c r="AQ38" s="529" t="str">
        <f t="shared" si="60"/>
        <v/>
      </c>
      <c r="AS38" s="598" t="str">
        <f t="shared" si="78"/>
        <v/>
      </c>
      <c r="AT38" s="602" t="str">
        <f t="shared" si="61"/>
        <v/>
      </c>
      <c r="AU38" s="515" t="str">
        <f t="shared" si="19"/>
        <v/>
      </c>
      <c r="AV38" s="164" t="str">
        <f t="shared" si="64"/>
        <v/>
      </c>
      <c r="AW38" s="545" t="str">
        <f>IF($M38="","",W38-INDEX(Assy.Model!$W$9:$W$150,MATCH('SN#.Run#'!$M38,Assy.Model!$M$9:$M$150,0)))</f>
        <v/>
      </c>
      <c r="AX38" s="628" t="str">
        <f>IF($M38="","",X38-INDEX(Assy.Model!$X$9:$X$150,MATCH('SN#.Run#'!$M38,Assy.Model!$M$9:$M$150,0)))</f>
        <v/>
      </c>
      <c r="AY38" s="629" t="str">
        <f>IF($M38="","",Y38-INDEX(Assy.Model!$Y$9:$Y$150,MATCH('SN#.Run#'!$M38,Assy.Model!$M$9:$M$150,0)))</f>
        <v/>
      </c>
      <c r="AZ38" s="602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10" t="str">
        <f>IF($M38="","",AN38-INDEX(Assy.Model!$AN$9:$AN$150,MATCH('SN#.Run#'!$M38,Assy.Model!$M$9:$M$150,0)))</f>
        <v/>
      </c>
      <c r="BB38" s="525" t="str">
        <f>IF($M38="","",AO38-INDEX(Assy.Model!$AO$9:$AO$150,MATCH('SN#.Run#'!$M38,Assy.Model!$M$9:$M$150,0)))</f>
        <v/>
      </c>
      <c r="BC38" s="619" t="str">
        <f>IF($M38="","",AP38-INDEX(Assy.Model!$AP$9:$AP$150,MATCH('SN#.Run#'!$M38,Assy.Model!$M$9:$M$150,0)))</f>
        <v/>
      </c>
      <c r="BD38" s="419"/>
      <c r="BE38" s="699"/>
      <c r="BF38" s="417"/>
      <c r="BG38" s="417"/>
      <c r="BH38" s="417"/>
      <c r="BI38" s="417"/>
      <c r="BJ38" s="417"/>
      <c r="BK38" s="417"/>
      <c r="BL38" s="417"/>
      <c r="BM38" s="417"/>
      <c r="BN38" s="417"/>
      <c r="BO38" s="417"/>
      <c r="BP38" s="417"/>
      <c r="BQ38" s="417"/>
      <c r="BR38" s="417"/>
      <c r="BS38" s="417"/>
      <c r="BT38" s="417"/>
      <c r="BU38" s="417"/>
      <c r="IE38" s="790" t="str">
        <f>IFERROR(IF($IU38="","",IF($IU38&lt;(((Settings!$C$19/2)*-1)*$IE$8),"Taper","Nose")),"")</f>
        <v/>
      </c>
      <c r="IF38" s="482" t="str">
        <f>IFERROR(IF((((($IW38*COS(RADIANS(180-$IY38)))*COS(RADIANS($IY38)))-(($IX38*SIN(RADIANS(180-$IY38)))*SIN(RADIANS($IY38))))+$IU38)&lt;(((Settings!$C$19+$IF$8)/2)*-1),"Gage",""),"")</f>
        <v/>
      </c>
      <c r="IG38" s="788" t="str">
        <f t="shared" si="65"/>
        <v/>
      </c>
      <c r="IH38" s="674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677" t="str" cm="1">
        <f t="array" ref="II38">IFERROR(IF($IH38&lt;1,$IH38+LARGE((IF($M$9:$M$150="",0,$M$9:$M$150)-MOD(IF($M$9:$M$150="",0,$M$9:$M$150),1)),1),$IH38),"")</f>
        <v/>
      </c>
      <c r="IJ38" s="482" t="str">
        <f t="shared" si="62"/>
        <v/>
      </c>
      <c r="IK38" s="482" t="str">
        <f t="shared" si="20"/>
        <v/>
      </c>
      <c r="IL38" s="670" t="str">
        <f t="shared" si="68"/>
        <v/>
      </c>
      <c r="IM38" s="702"/>
      <c r="IN38" s="5" t="str">
        <f t="shared" si="69"/>
        <v/>
      </c>
      <c r="IO38" s="714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670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05" t="str">
        <f t="shared" si="77"/>
        <v/>
      </c>
      <c r="JI38" s="417"/>
      <c r="JJ38" s="419"/>
      <c r="JK38" s="417"/>
    </row>
    <row r="39" spans="1:271" ht="15" customHeight="1" x14ac:dyDescent="0.25">
      <c r="A39" s="75"/>
      <c r="B39" s="578" t="str">
        <f t="shared" si="33"/>
        <v/>
      </c>
      <c r="C39" s="572" t="str">
        <f t="shared" si="10"/>
        <v/>
      </c>
      <c r="D39" s="576" t="str">
        <f t="shared" si="11"/>
        <v/>
      </c>
      <c r="E39" s="580" t="str">
        <f t="shared" si="12"/>
        <v/>
      </c>
      <c r="F39" s="572" t="str">
        <f t="shared" si="13"/>
        <v/>
      </c>
      <c r="G39" s="579" t="str">
        <f t="shared" si="14"/>
        <v/>
      </c>
      <c r="H39" s="580" t="str">
        <f t="shared" si="34"/>
        <v/>
      </c>
      <c r="I39" s="482"/>
      <c r="J39" s="483" t="str">
        <v/>
      </c>
      <c r="K39" s="806" t="str">
        <f t="shared" si="66"/>
        <v/>
      </c>
      <c r="M39" s="164" t="str">
        <f t="shared" si="35"/>
        <v/>
      </c>
      <c r="N39" s="575" t="str">
        <f t="shared" si="36"/>
        <v/>
      </c>
      <c r="O39" s="572" t="str">
        <f t="shared" si="37"/>
        <v/>
      </c>
      <c r="P39" s="576" t="str">
        <f t="shared" si="38"/>
        <v/>
      </c>
      <c r="Q39" s="528" t="str">
        <f t="shared" si="63"/>
        <v/>
      </c>
      <c r="R39" s="572" t="str">
        <f t="shared" si="39"/>
        <v/>
      </c>
      <c r="S39" s="577" t="str">
        <f t="shared" si="40"/>
        <v/>
      </c>
      <c r="T39" s="578" t="str">
        <f t="shared" si="41"/>
        <v/>
      </c>
      <c r="U39" s="572" t="str">
        <f t="shared" si="42"/>
        <v/>
      </c>
      <c r="V39" s="579" t="str">
        <f t="shared" si="43"/>
        <v/>
      </c>
      <c r="W39" s="528" t="str">
        <f t="shared" si="67"/>
        <v/>
      </c>
      <c r="X39" s="572" t="str">
        <f t="shared" si="44"/>
        <v/>
      </c>
      <c r="Y39" s="573" t="str">
        <f t="shared" si="15"/>
        <v/>
      </c>
      <c r="Z39" s="575" t="str">
        <f t="shared" si="45"/>
        <v/>
      </c>
      <c r="AA39" s="572" t="str">
        <f t="shared" si="46"/>
        <v/>
      </c>
      <c r="AB39" s="572" t="str">
        <f t="shared" si="47"/>
        <v/>
      </c>
      <c r="AC39" s="579" t="str">
        <f t="shared" si="48"/>
        <v/>
      </c>
      <c r="AD39" s="580" t="str">
        <f t="shared" si="49"/>
        <v/>
      </c>
      <c r="AE39" s="572" t="str">
        <f t="shared" si="50"/>
        <v/>
      </c>
      <c r="AF39" s="576" t="str">
        <f t="shared" si="51"/>
        <v/>
      </c>
      <c r="AG39" s="545" t="str">
        <f t="shared" si="52"/>
        <v/>
      </c>
      <c r="AH39" s="546" t="str">
        <f t="shared" si="53"/>
        <v/>
      </c>
      <c r="AI39" s="528" t="str">
        <f t="shared" si="54"/>
        <v/>
      </c>
      <c r="AJ39" s="529" t="str">
        <f t="shared" si="55"/>
        <v/>
      </c>
      <c r="AK39" s="578" t="str">
        <f t="shared" si="56"/>
        <v/>
      </c>
      <c r="AL39" s="572" t="str">
        <f t="shared" si="57"/>
        <v/>
      </c>
      <c r="AM39" s="577" t="str">
        <f t="shared" si="58"/>
        <v/>
      </c>
      <c r="AN39" s="524" t="str">
        <f t="shared" si="16"/>
        <v/>
      </c>
      <c r="AO39" s="525" t="str">
        <f t="shared" si="17"/>
        <v/>
      </c>
      <c r="AP39" s="528" t="str">
        <f t="shared" si="59"/>
        <v/>
      </c>
      <c r="AQ39" s="529" t="str">
        <f t="shared" si="60"/>
        <v/>
      </c>
      <c r="AS39" s="598" t="str">
        <f t="shared" si="78"/>
        <v/>
      </c>
      <c r="AT39" s="602" t="str">
        <f t="shared" si="61"/>
        <v/>
      </c>
      <c r="AU39" s="515" t="str">
        <f t="shared" si="19"/>
        <v/>
      </c>
      <c r="AV39" s="164" t="str">
        <f t="shared" si="64"/>
        <v/>
      </c>
      <c r="AW39" s="545" t="str">
        <f>IF($M39="","",W39-INDEX(Assy.Model!$W$9:$W$150,MATCH('SN#.Run#'!$M39,Assy.Model!$M$9:$M$150,0)))</f>
        <v/>
      </c>
      <c r="AX39" s="628" t="str">
        <f>IF($M39="","",X39-INDEX(Assy.Model!$X$9:$X$150,MATCH('SN#.Run#'!$M39,Assy.Model!$M$9:$M$150,0)))</f>
        <v/>
      </c>
      <c r="AY39" s="629" t="str">
        <f>IF($M39="","",Y39-INDEX(Assy.Model!$Y$9:$Y$150,MATCH('SN#.Run#'!$M39,Assy.Model!$M$9:$M$150,0)))</f>
        <v/>
      </c>
      <c r="AZ39" s="602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10" t="str">
        <f>IF($M39="","",AN39-INDEX(Assy.Model!$AN$9:$AN$150,MATCH('SN#.Run#'!$M39,Assy.Model!$M$9:$M$150,0)))</f>
        <v/>
      </c>
      <c r="BB39" s="525" t="str">
        <f>IF($M39="","",AO39-INDEX(Assy.Model!$AO$9:$AO$150,MATCH('SN#.Run#'!$M39,Assy.Model!$M$9:$M$150,0)))</f>
        <v/>
      </c>
      <c r="BC39" s="619" t="str">
        <f>IF($M39="","",AP39-INDEX(Assy.Model!$AP$9:$AP$150,MATCH('SN#.Run#'!$M39,Assy.Model!$M$9:$M$150,0)))</f>
        <v/>
      </c>
      <c r="BD39" s="419"/>
      <c r="BE39" s="699"/>
      <c r="BF39" s="417"/>
      <c r="BG39" s="417"/>
      <c r="BH39" s="417"/>
      <c r="BI39" s="417"/>
      <c r="BJ39" s="417"/>
      <c r="BK39" s="417"/>
      <c r="BL39" s="417"/>
      <c r="BM39" s="417"/>
      <c r="BN39" s="417"/>
      <c r="BO39" s="417"/>
      <c r="BP39" s="417"/>
      <c r="BQ39" s="417"/>
      <c r="BR39" s="417"/>
      <c r="BS39" s="417"/>
      <c r="BT39" s="417"/>
      <c r="BU39" s="417"/>
      <c r="IE39" s="790" t="str">
        <f>IFERROR(IF($IU39="","",IF($IU39&lt;(((Settings!$C$19/2)*-1)*$IE$8),"Taper","Nose")),"")</f>
        <v/>
      </c>
      <c r="IF39" s="482" t="str">
        <f>IFERROR(IF((((($IW39*COS(RADIANS(180-$IY39)))*COS(RADIANS($IY39)))-(($IX39*SIN(RADIANS(180-$IY39)))*SIN(RADIANS($IY39))))+$IU39)&lt;(((Settings!$C$19+$IF$8)/2)*-1),"Gage",""),"")</f>
        <v/>
      </c>
      <c r="IG39" s="788" t="str">
        <f t="shared" si="65"/>
        <v/>
      </c>
      <c r="IH39" s="674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677" t="str" cm="1">
        <f t="array" ref="II39">IFERROR(IF($IH39&lt;1,$IH39+LARGE((IF($M$9:$M$150="",0,$M$9:$M$150)-MOD(IF($M$9:$M$150="",0,$M$9:$M$150),1)),1),$IH39),"")</f>
        <v/>
      </c>
      <c r="IJ39" s="482" t="str">
        <f t="shared" si="62"/>
        <v/>
      </c>
      <c r="IK39" s="482" t="str">
        <f t="shared" si="20"/>
        <v/>
      </c>
      <c r="IL39" s="670" t="str">
        <f t="shared" si="68"/>
        <v/>
      </c>
      <c r="IM39" s="702"/>
      <c r="IN39" s="5" t="str">
        <f t="shared" si="69"/>
        <v/>
      </c>
      <c r="IO39" s="714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670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05" t="str">
        <f t="shared" si="77"/>
        <v/>
      </c>
      <c r="JI39" s="417"/>
      <c r="JJ39" s="419"/>
      <c r="JK39" s="417"/>
    </row>
    <row r="40" spans="1:271" ht="15" customHeight="1" x14ac:dyDescent="0.25">
      <c r="A40" s="75"/>
      <c r="B40" s="578" t="str">
        <f t="shared" si="33"/>
        <v/>
      </c>
      <c r="C40" s="572" t="str">
        <f t="shared" si="10"/>
        <v/>
      </c>
      <c r="D40" s="576" t="str">
        <f t="shared" si="11"/>
        <v/>
      </c>
      <c r="E40" s="580" t="str">
        <f t="shared" si="12"/>
        <v/>
      </c>
      <c r="F40" s="572" t="str">
        <f t="shared" si="13"/>
        <v/>
      </c>
      <c r="G40" s="579" t="str">
        <f t="shared" si="14"/>
        <v/>
      </c>
      <c r="H40" s="580" t="str">
        <f t="shared" si="34"/>
        <v/>
      </c>
      <c r="I40" s="482"/>
      <c r="J40" s="483" t="str">
        <v/>
      </c>
      <c r="K40" s="806" t="str">
        <f t="shared" si="66"/>
        <v/>
      </c>
      <c r="M40" s="164" t="str">
        <f t="shared" si="35"/>
        <v/>
      </c>
      <c r="N40" s="575" t="str">
        <f t="shared" si="36"/>
        <v/>
      </c>
      <c r="O40" s="572" t="str">
        <f t="shared" si="37"/>
        <v/>
      </c>
      <c r="P40" s="576" t="str">
        <f t="shared" si="38"/>
        <v/>
      </c>
      <c r="Q40" s="528" t="str">
        <f t="shared" si="63"/>
        <v/>
      </c>
      <c r="R40" s="572" t="str">
        <f t="shared" si="39"/>
        <v/>
      </c>
      <c r="S40" s="577" t="str">
        <f t="shared" si="40"/>
        <v/>
      </c>
      <c r="T40" s="578" t="str">
        <f t="shared" si="41"/>
        <v/>
      </c>
      <c r="U40" s="572" t="str">
        <f t="shared" si="42"/>
        <v/>
      </c>
      <c r="V40" s="579" t="str">
        <f t="shared" si="43"/>
        <v/>
      </c>
      <c r="W40" s="528" t="str">
        <f t="shared" si="67"/>
        <v/>
      </c>
      <c r="X40" s="572" t="str">
        <f t="shared" si="44"/>
        <v/>
      </c>
      <c r="Y40" s="573" t="str">
        <f t="shared" si="15"/>
        <v/>
      </c>
      <c r="Z40" s="575" t="str">
        <f t="shared" si="45"/>
        <v/>
      </c>
      <c r="AA40" s="572" t="str">
        <f t="shared" si="46"/>
        <v/>
      </c>
      <c r="AB40" s="572" t="str">
        <f t="shared" si="47"/>
        <v/>
      </c>
      <c r="AC40" s="579" t="str">
        <f t="shared" si="48"/>
        <v/>
      </c>
      <c r="AD40" s="580" t="str">
        <f t="shared" si="49"/>
        <v/>
      </c>
      <c r="AE40" s="572" t="str">
        <f t="shared" si="50"/>
        <v/>
      </c>
      <c r="AF40" s="576" t="str">
        <f t="shared" si="51"/>
        <v/>
      </c>
      <c r="AG40" s="545" t="str">
        <f t="shared" si="52"/>
        <v/>
      </c>
      <c r="AH40" s="546" t="str">
        <f t="shared" si="53"/>
        <v/>
      </c>
      <c r="AI40" s="528" t="str">
        <f t="shared" si="54"/>
        <v/>
      </c>
      <c r="AJ40" s="529" t="str">
        <f t="shared" si="55"/>
        <v/>
      </c>
      <c r="AK40" s="578" t="str">
        <f t="shared" si="56"/>
        <v/>
      </c>
      <c r="AL40" s="572" t="str">
        <f t="shared" si="57"/>
        <v/>
      </c>
      <c r="AM40" s="577" t="str">
        <f t="shared" si="58"/>
        <v/>
      </c>
      <c r="AN40" s="524" t="str">
        <f>IF(M40="","",IF(K40="Knuckle",((DEGREES(ATAN2(AK40,AM40))+90)*-1),DEGREES(ATAN2(-AM40,AL40))))</f>
        <v/>
      </c>
      <c r="AO40" s="525" t="str">
        <f t="shared" si="17"/>
        <v/>
      </c>
      <c r="AP40" s="528" t="str">
        <f t="shared" si="59"/>
        <v/>
      </c>
      <c r="AQ40" s="529" t="str">
        <f t="shared" si="60"/>
        <v/>
      </c>
      <c r="AS40" s="598" t="str">
        <f t="shared" si="78"/>
        <v/>
      </c>
      <c r="AT40" s="602" t="str">
        <f t="shared" si="61"/>
        <v/>
      </c>
      <c r="AU40" s="515" t="str">
        <f t="shared" si="19"/>
        <v/>
      </c>
      <c r="AV40" s="164" t="str">
        <f t="shared" si="64"/>
        <v/>
      </c>
      <c r="AW40" s="545" t="str">
        <f>IF($M40="","",W40-INDEX(Assy.Model!$W$9:$W$150,MATCH('SN#.Run#'!$M40,Assy.Model!$M$9:$M$150,0)))</f>
        <v/>
      </c>
      <c r="AX40" s="628" t="str">
        <f>IF($M40="","",X40-INDEX(Assy.Model!$X$9:$X$150,MATCH('SN#.Run#'!$M40,Assy.Model!$M$9:$M$150,0)))</f>
        <v/>
      </c>
      <c r="AY40" s="629" t="str">
        <f>IF($M40="","",Y40-INDEX(Assy.Model!$Y$9:$Y$150,MATCH('SN#.Run#'!$M40,Assy.Model!$M$9:$M$150,0)))</f>
        <v/>
      </c>
      <c r="AZ40" s="602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10" t="str">
        <f>IF($M40="","",AN40-INDEX(Assy.Model!$AN$9:$AN$150,MATCH('SN#.Run#'!$M40,Assy.Model!$M$9:$M$150,0)))</f>
        <v/>
      </c>
      <c r="BB40" s="525" t="str">
        <f>IF($M40="","",AO40-INDEX(Assy.Model!$AO$9:$AO$150,MATCH('SN#.Run#'!$M40,Assy.Model!$M$9:$M$150,0)))</f>
        <v/>
      </c>
      <c r="BC40" s="619" t="str">
        <f>IF($M40="","",AP40-INDEX(Assy.Model!$AP$9:$AP$150,MATCH('SN#.Run#'!$M40,Assy.Model!$M$9:$M$150,0)))</f>
        <v/>
      </c>
      <c r="BD40" s="419"/>
      <c r="BE40" s="699"/>
      <c r="BF40" s="417"/>
      <c r="BG40" s="417"/>
      <c r="BH40" s="417"/>
      <c r="BI40" s="417"/>
      <c r="BJ40" s="417"/>
      <c r="BK40" s="417"/>
      <c r="BL40" s="417"/>
      <c r="BM40" s="417"/>
      <c r="BN40" s="417"/>
      <c r="BO40" s="417"/>
      <c r="BP40" s="417"/>
      <c r="BQ40" s="417"/>
      <c r="BR40" s="417"/>
      <c r="BS40" s="417"/>
      <c r="BT40" s="417"/>
      <c r="BU40" s="417"/>
      <c r="IE40" s="790" t="str">
        <f>IFERROR(IF($IU40="","",IF($IU40&lt;(((Settings!$C$19/2)*-1)*$IE$8),"Taper","Nose")),"")</f>
        <v/>
      </c>
      <c r="IF40" s="482" t="str">
        <f>IFERROR(IF((((($IW40*COS(RADIANS(180-$IY40)))*COS(RADIANS($IY40)))-(($IX40*SIN(RADIANS(180-$IY40)))*SIN(RADIANS($IY40))))+$IU40)&lt;(((Settings!$C$19+$IF$8)/2)*-1),"Gage",""),"")</f>
        <v/>
      </c>
      <c r="IG40" s="788" t="str">
        <f t="shared" si="65"/>
        <v/>
      </c>
      <c r="IH40" s="674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677" t="str" cm="1">
        <f t="array" ref="II40">IFERROR(IF($IH40&lt;1,$IH40+LARGE((IF($M$9:$M$150="",0,$M$9:$M$150)-MOD(IF($M$9:$M$150="",0,$M$9:$M$150),1)),1),$IH40),"")</f>
        <v/>
      </c>
      <c r="IJ40" s="482" t="str">
        <f t="shared" si="62"/>
        <v/>
      </c>
      <c r="IK40" s="482" t="str">
        <f t="shared" si="20"/>
        <v/>
      </c>
      <c r="IL40" s="670" t="str">
        <f t="shared" si="68"/>
        <v/>
      </c>
      <c r="IM40" s="702"/>
      <c r="IN40" s="5" t="str">
        <f t="shared" si="69"/>
        <v/>
      </c>
      <c r="IO40" s="714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670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05" t="str">
        <f t="shared" si="77"/>
        <v/>
      </c>
      <c r="JI40" s="417"/>
      <c r="JJ40" s="417"/>
      <c r="JK40" s="417"/>
    </row>
    <row r="41" spans="1:271" ht="15" customHeight="1" x14ac:dyDescent="0.25">
      <c r="A41" s="75"/>
      <c r="B41" s="578" t="str">
        <f t="shared" ref="B41:B72" si="79">INDEX(O$164:O$305,MATCH($M41,$M$164:$M$305,0))</f>
        <v/>
      </c>
      <c r="C41" s="572" t="str">
        <f t="shared" ref="C41:C72" si="80">INDEX(P$164:P$305,MATCH($M41,$M$164:$M$305,0))</f>
        <v/>
      </c>
      <c r="D41" s="576" t="str">
        <f t="shared" ref="D41:D72" si="81">INDEX(Q$164:Q$305,MATCH($M41,$M$164:$M$305,0))</f>
        <v/>
      </c>
      <c r="E41" s="580" t="str">
        <f t="shared" ref="E41:E72" si="82">INDEX(R$164:R$305,MATCH($M41,$M$164:$M$305,0))</f>
        <v/>
      </c>
      <c r="F41" s="572" t="str">
        <f t="shared" ref="F41:F72" si="83">INDEX(S$164:S$305,MATCH($M41,$M$164:$M$305,0))</f>
        <v/>
      </c>
      <c r="G41" s="579" t="str">
        <f t="shared" ref="G41:G72" si="84">INDEX(T$164:T$305,MATCH($M41,$M$164:$M$305,0))</f>
        <v/>
      </c>
      <c r="H41" s="580" t="str">
        <f t="shared" si="34"/>
        <v/>
      </c>
      <c r="I41" s="482"/>
      <c r="J41" s="483" t="str">
        <v/>
      </c>
      <c r="K41" s="806" t="str">
        <f t="shared" si="66"/>
        <v/>
      </c>
      <c r="M41" s="164" t="str">
        <f t="shared" si="35"/>
        <v/>
      </c>
      <c r="N41" s="575" t="str">
        <f t="shared" si="36"/>
        <v/>
      </c>
      <c r="O41" s="572" t="str">
        <f t="shared" si="37"/>
        <v/>
      </c>
      <c r="P41" s="576" t="str">
        <f t="shared" si="38"/>
        <v/>
      </c>
      <c r="Q41" s="528" t="str">
        <f t="shared" si="63"/>
        <v/>
      </c>
      <c r="R41" s="572" t="str">
        <f t="shared" si="39"/>
        <v/>
      </c>
      <c r="S41" s="577" t="str">
        <f t="shared" si="40"/>
        <v/>
      </c>
      <c r="T41" s="578" t="str">
        <f t="shared" si="41"/>
        <v/>
      </c>
      <c r="U41" s="572" t="str">
        <f t="shared" si="42"/>
        <v/>
      </c>
      <c r="V41" s="579" t="str">
        <f t="shared" si="43"/>
        <v/>
      </c>
      <c r="W41" s="528" t="str">
        <f t="shared" si="67"/>
        <v/>
      </c>
      <c r="X41" s="572" t="str">
        <f t="shared" si="44"/>
        <v/>
      </c>
      <c r="Y41" s="573" t="str">
        <f t="shared" ref="Y41:Y72" si="85">IF(M41="","",(S41-$S$8)+$X$1)</f>
        <v/>
      </c>
      <c r="Z41" s="575" t="str">
        <f t="shared" si="45"/>
        <v/>
      </c>
      <c r="AA41" s="572" t="str">
        <f t="shared" si="46"/>
        <v/>
      </c>
      <c r="AB41" s="572" t="str">
        <f t="shared" si="47"/>
        <v/>
      </c>
      <c r="AC41" s="579" t="str">
        <f t="shared" si="48"/>
        <v/>
      </c>
      <c r="AD41" s="580" t="str">
        <f t="shared" si="49"/>
        <v/>
      </c>
      <c r="AE41" s="572" t="str">
        <f t="shared" si="50"/>
        <v/>
      </c>
      <c r="AF41" s="576" t="str">
        <f t="shared" si="51"/>
        <v/>
      </c>
      <c r="AG41" s="545" t="str">
        <f t="shared" si="52"/>
        <v/>
      </c>
      <c r="AH41" s="546" t="str">
        <f t="shared" si="53"/>
        <v/>
      </c>
      <c r="AI41" s="528" t="str">
        <f t="shared" si="54"/>
        <v/>
      </c>
      <c r="AJ41" s="529" t="str">
        <f t="shared" si="55"/>
        <v/>
      </c>
      <c r="AK41" s="578" t="str">
        <f t="shared" si="56"/>
        <v/>
      </c>
      <c r="AL41" s="572" t="str">
        <f t="shared" si="57"/>
        <v/>
      </c>
      <c r="AM41" s="577" t="str">
        <f t="shared" si="58"/>
        <v/>
      </c>
      <c r="AN41" s="524" t="str">
        <f t="shared" ref="AN41:AN104" si="86">IF(M41="","",IF(K41="Knuckle",((DEGREES(ATAN2(AK41,AM41))+90)*-1),DEGREES(ATAN2(-AM41,AL41))))</f>
        <v/>
      </c>
      <c r="AO41" s="525" t="str">
        <f t="shared" si="17"/>
        <v/>
      </c>
      <c r="AP41" s="528" t="str">
        <f t="shared" si="59"/>
        <v/>
      </c>
      <c r="AQ41" s="529" t="str">
        <f t="shared" si="60"/>
        <v/>
      </c>
      <c r="AS41" s="598" t="str">
        <f t="shared" si="78"/>
        <v/>
      </c>
      <c r="AT41" s="602" t="str">
        <f t="shared" si="61"/>
        <v/>
      </c>
      <c r="AU41" s="515" t="str">
        <f t="shared" ref="AU41:AU117" si="87">IFERROR(ROUNDDOWN(AV41,1),"")</f>
        <v/>
      </c>
      <c r="AV41" s="164" t="str">
        <f t="shared" si="64"/>
        <v/>
      </c>
      <c r="AW41" s="545" t="str">
        <f>IF($M41="","",W41-INDEX(Assy.Model!$W$9:$W$150,MATCH('SN#.Run#'!$M41,Assy.Model!$M$9:$M$150,0)))</f>
        <v/>
      </c>
      <c r="AX41" s="628" t="str">
        <f>IF($M41="","",X41-INDEX(Assy.Model!$X$9:$X$150,MATCH('SN#.Run#'!$M41,Assy.Model!$M$9:$M$150,0)))</f>
        <v/>
      </c>
      <c r="AY41" s="629" t="str">
        <f>IF($M41="","",Y41-INDEX(Assy.Model!$Y$9:$Y$150,MATCH('SN#.Run#'!$M41,Assy.Model!$M$9:$M$150,0)))</f>
        <v/>
      </c>
      <c r="AZ41" s="602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10" t="str">
        <f>IF($M41="","",AN41-INDEX(Assy.Model!$AN$9:$AN$150,MATCH('SN#.Run#'!$M41,Assy.Model!$M$9:$M$150,0)))</f>
        <v/>
      </c>
      <c r="BB41" s="525" t="str">
        <f>IF($M41="","",AO41-INDEX(Assy.Model!$AO$9:$AO$150,MATCH('SN#.Run#'!$M41,Assy.Model!$M$9:$M$150,0)))</f>
        <v/>
      </c>
      <c r="BC41" s="619" t="str">
        <f>IF($M41="","",AP41-INDEX(Assy.Model!$AP$9:$AP$150,MATCH('SN#.Run#'!$M41,Assy.Model!$M$9:$M$150,0)))</f>
        <v/>
      </c>
      <c r="BD41" s="419"/>
      <c r="BE41" s="699"/>
      <c r="BF41" s="417"/>
      <c r="BG41" s="417"/>
      <c r="BH41" s="417"/>
      <c r="BI41" s="417"/>
      <c r="BJ41" s="417"/>
      <c r="BK41" s="417"/>
      <c r="BL41" s="417"/>
      <c r="BM41" s="417"/>
      <c r="BN41" s="417"/>
      <c r="BO41" s="417"/>
      <c r="BP41" s="417"/>
      <c r="BQ41" s="417"/>
      <c r="BR41" s="417"/>
      <c r="BS41" s="417"/>
      <c r="BT41" s="417"/>
      <c r="BU41" s="417"/>
      <c r="IE41" s="790" t="str">
        <f>IFERROR(IF($IU41="","",IF($IU41&lt;(((Settings!$C$19/2)*-1)*$IE$8),"Taper","Nose")),"")</f>
        <v/>
      </c>
      <c r="IF41" s="482" t="str">
        <f>IFERROR(IF((((($IW41*COS(RADIANS(180-$IY41)))*COS(RADIANS($IY41)))-(($IX41*SIN(RADIANS(180-$IY41)))*SIN(RADIANS($IY41))))+$IU41)&lt;(((Settings!$C$19+$IF$8)/2)*-1),"Gage",""),"")</f>
        <v/>
      </c>
      <c r="IG41" s="788" t="str">
        <f t="shared" si="65"/>
        <v/>
      </c>
      <c r="IH41" s="674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677" t="str" cm="1">
        <f t="array" ref="II41">IFERROR(IF($IH41&lt;1,$IH41+LARGE((IF($M$9:$M$150="",0,$M$9:$M$150)-MOD(IF($M$9:$M$150="",0,$M$9:$M$150),1)),1),$IH41),"")</f>
        <v/>
      </c>
      <c r="IJ41" s="482" t="str">
        <f t="shared" si="62"/>
        <v/>
      </c>
      <c r="IK41" s="482" t="str">
        <f t="shared" si="20"/>
        <v/>
      </c>
      <c r="IL41" s="670" t="str">
        <f t="shared" si="68"/>
        <v/>
      </c>
      <c r="IM41" s="702"/>
      <c r="IN41" s="5" t="str">
        <f t="shared" si="69"/>
        <v/>
      </c>
      <c r="IO41" s="714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670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05" t="str">
        <f t="shared" si="77"/>
        <v/>
      </c>
      <c r="JI41" s="417"/>
      <c r="JJ41" s="417"/>
      <c r="JK41" s="417"/>
    </row>
    <row r="42" spans="1:271" ht="15" customHeight="1" x14ac:dyDescent="0.25">
      <c r="A42" s="75"/>
      <c r="B42" s="578" t="str">
        <f t="shared" si="79"/>
        <v/>
      </c>
      <c r="C42" s="572" t="str">
        <f t="shared" si="80"/>
        <v/>
      </c>
      <c r="D42" s="576" t="str">
        <f t="shared" si="81"/>
        <v/>
      </c>
      <c r="E42" s="580" t="str">
        <f t="shared" si="82"/>
        <v/>
      </c>
      <c r="F42" s="572" t="str">
        <f t="shared" si="83"/>
        <v/>
      </c>
      <c r="G42" s="579" t="str">
        <f t="shared" si="84"/>
        <v/>
      </c>
      <c r="H42" s="580" t="str">
        <f t="shared" si="34"/>
        <v/>
      </c>
      <c r="I42" s="482"/>
      <c r="J42" s="483" t="str">
        <v/>
      </c>
      <c r="K42" s="806" t="str">
        <f t="shared" si="66"/>
        <v/>
      </c>
      <c r="M42" s="164" t="str">
        <f t="shared" si="35"/>
        <v/>
      </c>
      <c r="N42" s="575" t="str">
        <f t="shared" si="36"/>
        <v/>
      </c>
      <c r="O42" s="572" t="str">
        <f t="shared" si="37"/>
        <v/>
      </c>
      <c r="P42" s="576" t="str">
        <f t="shared" si="38"/>
        <v/>
      </c>
      <c r="Q42" s="528" t="str">
        <f t="shared" si="63"/>
        <v/>
      </c>
      <c r="R42" s="572" t="str">
        <f t="shared" si="39"/>
        <v/>
      </c>
      <c r="S42" s="577" t="str">
        <f t="shared" si="40"/>
        <v/>
      </c>
      <c r="T42" s="578" t="str">
        <f t="shared" si="41"/>
        <v/>
      </c>
      <c r="U42" s="572" t="str">
        <f t="shared" si="42"/>
        <v/>
      </c>
      <c r="V42" s="579" t="str">
        <f t="shared" si="43"/>
        <v/>
      </c>
      <c r="W42" s="528" t="str">
        <f t="shared" si="67"/>
        <v/>
      </c>
      <c r="X42" s="572" t="str">
        <f t="shared" si="44"/>
        <v/>
      </c>
      <c r="Y42" s="573" t="str">
        <f t="shared" si="85"/>
        <v/>
      </c>
      <c r="Z42" s="575" t="str">
        <f t="shared" si="45"/>
        <v/>
      </c>
      <c r="AA42" s="572" t="str">
        <f t="shared" si="46"/>
        <v/>
      </c>
      <c r="AB42" s="572" t="str">
        <f t="shared" si="47"/>
        <v/>
      </c>
      <c r="AC42" s="579" t="str">
        <f t="shared" si="48"/>
        <v/>
      </c>
      <c r="AD42" s="580" t="str">
        <f t="shared" si="49"/>
        <v/>
      </c>
      <c r="AE42" s="572" t="str">
        <f t="shared" si="50"/>
        <v/>
      </c>
      <c r="AF42" s="576" t="str">
        <f t="shared" si="51"/>
        <v/>
      </c>
      <c r="AG42" s="545" t="str">
        <f t="shared" si="52"/>
        <v/>
      </c>
      <c r="AH42" s="546" t="str">
        <f t="shared" si="53"/>
        <v/>
      </c>
      <c r="AI42" s="528" t="str">
        <f t="shared" si="54"/>
        <v/>
      </c>
      <c r="AJ42" s="529" t="str">
        <f t="shared" si="55"/>
        <v/>
      </c>
      <c r="AK42" s="578" t="str">
        <f t="shared" si="56"/>
        <v/>
      </c>
      <c r="AL42" s="572" t="str">
        <f t="shared" si="57"/>
        <v/>
      </c>
      <c r="AM42" s="577" t="str">
        <f t="shared" si="58"/>
        <v/>
      </c>
      <c r="AN42" s="524" t="str">
        <f t="shared" si="86"/>
        <v/>
      </c>
      <c r="AO42" s="525" t="str">
        <f t="shared" si="17"/>
        <v/>
      </c>
      <c r="AP42" s="528" t="str">
        <f t="shared" si="59"/>
        <v/>
      </c>
      <c r="AQ42" s="529" t="str">
        <f t="shared" si="60"/>
        <v/>
      </c>
      <c r="AS42" s="598" t="str">
        <f t="shared" si="78"/>
        <v/>
      </c>
      <c r="AT42" s="602" t="str">
        <f t="shared" si="61"/>
        <v/>
      </c>
      <c r="AU42" s="515" t="str">
        <f t="shared" si="87"/>
        <v/>
      </c>
      <c r="AV42" s="164" t="str">
        <f t="shared" si="64"/>
        <v/>
      </c>
      <c r="AW42" s="545" t="str">
        <f>IF($M42="","",W42-INDEX(Assy.Model!$W$9:$W$150,MATCH('SN#.Run#'!$M42,Assy.Model!$M$9:$M$150,0)))</f>
        <v/>
      </c>
      <c r="AX42" s="628" t="str">
        <f>IF($M42="","",X42-INDEX(Assy.Model!$X$9:$X$150,MATCH('SN#.Run#'!$M42,Assy.Model!$M$9:$M$150,0)))</f>
        <v/>
      </c>
      <c r="AY42" s="629" t="str">
        <f>IF($M42="","",Y42-INDEX(Assy.Model!$Y$9:$Y$150,MATCH('SN#.Run#'!$M42,Assy.Model!$M$9:$M$150,0)))</f>
        <v/>
      </c>
      <c r="AZ42" s="602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10" t="str">
        <f>IF($M42="","",AN42-INDEX(Assy.Model!$AN$9:$AN$150,MATCH('SN#.Run#'!$M42,Assy.Model!$M$9:$M$150,0)))</f>
        <v/>
      </c>
      <c r="BB42" s="525" t="str">
        <f>IF($M42="","",AO42-INDEX(Assy.Model!$AO$9:$AO$150,MATCH('SN#.Run#'!$M42,Assy.Model!$M$9:$M$150,0)))</f>
        <v/>
      </c>
      <c r="BC42" s="619" t="str">
        <f>IF($M42="","",AP42-INDEX(Assy.Model!$AP$9:$AP$150,MATCH('SN#.Run#'!$M42,Assy.Model!$M$9:$M$150,0)))</f>
        <v/>
      </c>
      <c r="BD42" s="419"/>
      <c r="BE42" s="699"/>
      <c r="BF42" s="417"/>
      <c r="BG42" s="417"/>
      <c r="BH42" s="417"/>
      <c r="BI42" s="417"/>
      <c r="BJ42" s="417"/>
      <c r="BK42" s="417"/>
      <c r="BL42" s="417"/>
      <c r="BM42" s="417"/>
      <c r="BN42" s="417"/>
      <c r="BO42" s="417"/>
      <c r="BP42" s="417"/>
      <c r="BQ42" s="417"/>
      <c r="BR42" s="417"/>
      <c r="BS42" s="417"/>
      <c r="BT42" s="417"/>
      <c r="BU42" s="417"/>
      <c r="IE42" s="790" t="str">
        <f>IFERROR(IF($IU42="","",IF($IU42&lt;(((Settings!$C$19/2)*-1)*$IE$8),"Taper","Nose")),"")</f>
        <v/>
      </c>
      <c r="IF42" s="482" t="str">
        <f>IFERROR(IF((((($IW42*COS(RADIANS(180-$IY42)))*COS(RADIANS($IY42)))-(($IX42*SIN(RADIANS(180-$IY42)))*SIN(RADIANS($IY42))))+$IU42)&lt;(((Settings!$C$19+$IF$8)/2)*-1),"Gage",""),"")</f>
        <v/>
      </c>
      <c r="IG42" s="788" t="str">
        <f t="shared" si="65"/>
        <v/>
      </c>
      <c r="IH42" s="674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677" t="str" cm="1">
        <f t="array" ref="II42">IFERROR(IF($IH42&lt;1,$IH42+LARGE((IF($M$9:$M$150="",0,$M$9:$M$150)-MOD(IF($M$9:$M$150="",0,$M$9:$M$150),1)),1),$IH42),"")</f>
        <v/>
      </c>
      <c r="IJ42" s="482" t="str">
        <f t="shared" si="62"/>
        <v/>
      </c>
      <c r="IK42" s="482" t="str">
        <f t="shared" si="20"/>
        <v/>
      </c>
      <c r="IL42" s="670" t="str">
        <f t="shared" si="68"/>
        <v/>
      </c>
      <c r="IM42" s="702"/>
      <c r="IN42" s="5" t="str">
        <f t="shared" si="69"/>
        <v/>
      </c>
      <c r="IO42" s="714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670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05" t="str">
        <f t="shared" si="77"/>
        <v/>
      </c>
    </row>
    <row r="43" spans="1:271" ht="15" customHeight="1" x14ac:dyDescent="0.25">
      <c r="A43" s="75"/>
      <c r="B43" s="578" t="str">
        <f t="shared" si="79"/>
        <v/>
      </c>
      <c r="C43" s="572" t="str">
        <f t="shared" si="80"/>
        <v/>
      </c>
      <c r="D43" s="576" t="str">
        <f t="shared" si="81"/>
        <v/>
      </c>
      <c r="E43" s="580" t="str">
        <f t="shared" si="82"/>
        <v/>
      </c>
      <c r="F43" s="572" t="str">
        <f t="shared" si="83"/>
        <v/>
      </c>
      <c r="G43" s="579" t="str">
        <f t="shared" si="84"/>
        <v/>
      </c>
      <c r="H43" s="580" t="str">
        <f t="shared" si="34"/>
        <v/>
      </c>
      <c r="I43" s="482"/>
      <c r="J43" s="483" t="str">
        <v/>
      </c>
      <c r="K43" s="806" t="str">
        <f t="shared" si="66"/>
        <v/>
      </c>
      <c r="M43" s="164" t="str">
        <f t="shared" si="35"/>
        <v/>
      </c>
      <c r="N43" s="575" t="str">
        <f t="shared" si="36"/>
        <v/>
      </c>
      <c r="O43" s="572" t="str">
        <f t="shared" si="37"/>
        <v/>
      </c>
      <c r="P43" s="576" t="str">
        <f t="shared" si="38"/>
        <v/>
      </c>
      <c r="Q43" s="528" t="str">
        <f t="shared" si="63"/>
        <v/>
      </c>
      <c r="R43" s="572" t="str">
        <f t="shared" si="39"/>
        <v/>
      </c>
      <c r="S43" s="577" t="str">
        <f t="shared" si="40"/>
        <v/>
      </c>
      <c r="T43" s="578" t="str">
        <f t="shared" si="41"/>
        <v/>
      </c>
      <c r="U43" s="572" t="str">
        <f t="shared" si="42"/>
        <v/>
      </c>
      <c r="V43" s="579" t="str">
        <f t="shared" si="43"/>
        <v/>
      </c>
      <c r="W43" s="528" t="str">
        <f t="shared" si="67"/>
        <v/>
      </c>
      <c r="X43" s="572" t="str">
        <f t="shared" si="44"/>
        <v/>
      </c>
      <c r="Y43" s="573" t="str">
        <f t="shared" si="85"/>
        <v/>
      </c>
      <c r="Z43" s="575" t="str">
        <f t="shared" si="45"/>
        <v/>
      </c>
      <c r="AA43" s="572" t="str">
        <f t="shared" si="46"/>
        <v/>
      </c>
      <c r="AB43" s="572" t="str">
        <f t="shared" si="47"/>
        <v/>
      </c>
      <c r="AC43" s="579" t="str">
        <f t="shared" si="48"/>
        <v/>
      </c>
      <c r="AD43" s="580" t="str">
        <f t="shared" si="49"/>
        <v/>
      </c>
      <c r="AE43" s="572" t="str">
        <f t="shared" si="50"/>
        <v/>
      </c>
      <c r="AF43" s="576" t="str">
        <f t="shared" si="51"/>
        <v/>
      </c>
      <c r="AG43" s="545" t="str">
        <f t="shared" si="52"/>
        <v/>
      </c>
      <c r="AH43" s="546" t="str">
        <f t="shared" si="53"/>
        <v/>
      </c>
      <c r="AI43" s="528" t="str">
        <f t="shared" si="54"/>
        <v/>
      </c>
      <c r="AJ43" s="529" t="str">
        <f t="shared" si="55"/>
        <v/>
      </c>
      <c r="AK43" s="578" t="str">
        <f t="shared" si="56"/>
        <v/>
      </c>
      <c r="AL43" s="572" t="str">
        <f t="shared" si="57"/>
        <v/>
      </c>
      <c r="AM43" s="577" t="str">
        <f t="shared" si="58"/>
        <v/>
      </c>
      <c r="AN43" s="524" t="str">
        <f t="shared" si="86"/>
        <v/>
      </c>
      <c r="AO43" s="525" t="str">
        <f t="shared" si="17"/>
        <v/>
      </c>
      <c r="AP43" s="528" t="str">
        <f t="shared" si="59"/>
        <v/>
      </c>
      <c r="AQ43" s="529" t="str">
        <f t="shared" si="60"/>
        <v/>
      </c>
      <c r="AS43" s="598" t="str">
        <f t="shared" si="78"/>
        <v/>
      </c>
      <c r="AT43" s="602" t="str">
        <f t="shared" si="61"/>
        <v/>
      </c>
      <c r="AU43" s="515" t="str">
        <f t="shared" si="87"/>
        <v/>
      </c>
      <c r="AV43" s="164" t="str">
        <f t="shared" si="64"/>
        <v/>
      </c>
      <c r="AW43" s="545" t="str">
        <f>IF($M43="","",W43-INDEX(Assy.Model!$W$9:$W$150,MATCH('SN#.Run#'!$M43,Assy.Model!$M$9:$M$150,0)))</f>
        <v/>
      </c>
      <c r="AX43" s="628" t="str">
        <f>IF($M43="","",X43-INDEX(Assy.Model!$X$9:$X$150,MATCH('SN#.Run#'!$M43,Assy.Model!$M$9:$M$150,0)))</f>
        <v/>
      </c>
      <c r="AY43" s="629" t="str">
        <f>IF($M43="","",Y43-INDEX(Assy.Model!$Y$9:$Y$150,MATCH('SN#.Run#'!$M43,Assy.Model!$M$9:$M$150,0)))</f>
        <v/>
      </c>
      <c r="AZ43" s="602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10" t="str">
        <f>IF($M43="","",AN43-INDEX(Assy.Model!$AN$9:$AN$150,MATCH('SN#.Run#'!$M43,Assy.Model!$M$9:$M$150,0)))</f>
        <v/>
      </c>
      <c r="BB43" s="525" t="str">
        <f>IF($M43="","",AO43-INDEX(Assy.Model!$AO$9:$AO$150,MATCH('SN#.Run#'!$M43,Assy.Model!$M$9:$M$150,0)))</f>
        <v/>
      </c>
      <c r="BC43" s="619" t="str">
        <f>IF($M43="","",AP43-INDEX(Assy.Model!$AP$9:$AP$150,MATCH('SN#.Run#'!$M43,Assy.Model!$M$9:$M$150,0)))</f>
        <v/>
      </c>
      <c r="BD43" s="419"/>
      <c r="BE43" s="699"/>
      <c r="BF43" s="417"/>
      <c r="BG43" s="417"/>
      <c r="BH43" s="417"/>
      <c r="BI43" s="417"/>
      <c r="BJ43" s="417"/>
      <c r="BK43" s="417"/>
      <c r="BL43" s="417"/>
      <c r="BM43" s="417"/>
      <c r="BN43" s="417"/>
      <c r="BO43" s="417"/>
      <c r="BP43" s="417"/>
      <c r="BQ43" s="417"/>
      <c r="BR43" s="417"/>
      <c r="BS43" s="417"/>
      <c r="BT43" s="417"/>
      <c r="BU43" s="417"/>
      <c r="IE43" s="790" t="str">
        <f>IFERROR(IF($IU43="","",IF($IU43&lt;(((Settings!$C$19/2)*-1)*$IE$8),"Taper","Nose")),"")</f>
        <v/>
      </c>
      <c r="IF43" s="482" t="str">
        <f>IFERROR(IF((((($IW43*COS(RADIANS(180-$IY43)))*COS(RADIANS($IY43)))-(($IX43*SIN(RADIANS(180-$IY43)))*SIN(RADIANS($IY43))))+$IU43)&lt;(((Settings!$C$19+$IF$8)/2)*-1),"Gage",""),"")</f>
        <v/>
      </c>
      <c r="IG43" s="788" t="str">
        <f t="shared" si="65"/>
        <v/>
      </c>
      <c r="IH43" s="674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677" t="str" cm="1">
        <f t="array" ref="II43">IFERROR(IF($IH43&lt;1,$IH43+LARGE((IF($M$9:$M$150="",0,$M$9:$M$150)-MOD(IF($M$9:$M$150="",0,$M$9:$M$150),1)),1),$IH43),"")</f>
        <v/>
      </c>
      <c r="IJ43" s="482" t="str">
        <f t="shared" si="62"/>
        <v/>
      </c>
      <c r="IK43" s="482" t="str">
        <f t="shared" si="20"/>
        <v/>
      </c>
      <c r="IL43" s="670" t="str">
        <f t="shared" si="68"/>
        <v/>
      </c>
      <c r="IM43" s="702"/>
      <c r="IN43" s="5" t="str">
        <f t="shared" si="69"/>
        <v/>
      </c>
      <c r="IO43" s="714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670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05" t="str">
        <f t="shared" si="77"/>
        <v/>
      </c>
    </row>
    <row r="44" spans="1:271" ht="15" customHeight="1" x14ac:dyDescent="0.25">
      <c r="A44" s="75"/>
      <c r="B44" s="578" t="str">
        <f t="shared" si="79"/>
        <v/>
      </c>
      <c r="C44" s="572" t="str">
        <f t="shared" si="80"/>
        <v/>
      </c>
      <c r="D44" s="576" t="str">
        <f t="shared" si="81"/>
        <v/>
      </c>
      <c r="E44" s="580" t="str">
        <f t="shared" si="82"/>
        <v/>
      </c>
      <c r="F44" s="572" t="str">
        <f t="shared" si="83"/>
        <v/>
      </c>
      <c r="G44" s="579" t="str">
        <f t="shared" si="84"/>
        <v/>
      </c>
      <c r="H44" s="580" t="str">
        <f t="shared" si="34"/>
        <v/>
      </c>
      <c r="I44" s="482"/>
      <c r="J44" s="483" t="str">
        <v/>
      </c>
      <c r="K44" s="806" t="str">
        <f t="shared" si="66"/>
        <v/>
      </c>
      <c r="M44" s="164" t="str">
        <f t="shared" si="35"/>
        <v/>
      </c>
      <c r="N44" s="575" t="str">
        <f t="shared" si="36"/>
        <v/>
      </c>
      <c r="O44" s="572" t="str">
        <f t="shared" si="37"/>
        <v/>
      </c>
      <c r="P44" s="576" t="str">
        <f t="shared" si="38"/>
        <v/>
      </c>
      <c r="Q44" s="528" t="str">
        <f t="shared" si="63"/>
        <v/>
      </c>
      <c r="R44" s="572" t="str">
        <f t="shared" si="39"/>
        <v/>
      </c>
      <c r="S44" s="577" t="str">
        <f t="shared" si="40"/>
        <v/>
      </c>
      <c r="T44" s="578" t="str">
        <f t="shared" si="41"/>
        <v/>
      </c>
      <c r="U44" s="572" t="str">
        <f t="shared" si="42"/>
        <v/>
      </c>
      <c r="V44" s="579" t="str">
        <f t="shared" si="43"/>
        <v/>
      </c>
      <c r="W44" s="528" t="str">
        <f t="shared" si="67"/>
        <v/>
      </c>
      <c r="X44" s="572" t="str">
        <f t="shared" si="44"/>
        <v/>
      </c>
      <c r="Y44" s="573" t="str">
        <f t="shared" si="85"/>
        <v/>
      </c>
      <c r="Z44" s="575" t="str">
        <f t="shared" si="45"/>
        <v/>
      </c>
      <c r="AA44" s="572" t="str">
        <f t="shared" si="46"/>
        <v/>
      </c>
      <c r="AB44" s="572" t="str">
        <f t="shared" si="47"/>
        <v/>
      </c>
      <c r="AC44" s="579" t="str">
        <f t="shared" si="48"/>
        <v/>
      </c>
      <c r="AD44" s="580" t="str">
        <f t="shared" si="49"/>
        <v/>
      </c>
      <c r="AE44" s="572" t="str">
        <f t="shared" si="50"/>
        <v/>
      </c>
      <c r="AF44" s="576" t="str">
        <f t="shared" si="51"/>
        <v/>
      </c>
      <c r="AG44" s="545" t="str">
        <f t="shared" si="52"/>
        <v/>
      </c>
      <c r="AH44" s="546" t="str">
        <f t="shared" si="53"/>
        <v/>
      </c>
      <c r="AI44" s="528" t="str">
        <f t="shared" si="54"/>
        <v/>
      </c>
      <c r="AJ44" s="529" t="str">
        <f t="shared" si="55"/>
        <v/>
      </c>
      <c r="AK44" s="578" t="str">
        <f t="shared" si="56"/>
        <v/>
      </c>
      <c r="AL44" s="572" t="str">
        <f t="shared" si="57"/>
        <v/>
      </c>
      <c r="AM44" s="577" t="str">
        <f t="shared" si="58"/>
        <v/>
      </c>
      <c r="AN44" s="524" t="str">
        <f t="shared" si="86"/>
        <v/>
      </c>
      <c r="AO44" s="525" t="str">
        <f t="shared" si="17"/>
        <v/>
      </c>
      <c r="AP44" s="528" t="str">
        <f t="shared" si="59"/>
        <v/>
      </c>
      <c r="AQ44" s="529" t="str">
        <f t="shared" si="60"/>
        <v/>
      </c>
      <c r="AS44" s="598" t="str">
        <f t="shared" si="78"/>
        <v/>
      </c>
      <c r="AT44" s="602" t="str">
        <f t="shared" si="61"/>
        <v/>
      </c>
      <c r="AU44" s="515" t="str">
        <f t="shared" si="87"/>
        <v/>
      </c>
      <c r="AV44" s="164" t="str">
        <f t="shared" si="64"/>
        <v/>
      </c>
      <c r="AW44" s="545" t="str">
        <f>IF($M44="","",W44-INDEX(Assy.Model!$W$9:$W$150,MATCH('SN#.Run#'!$M44,Assy.Model!$M$9:$M$150,0)))</f>
        <v/>
      </c>
      <c r="AX44" s="628" t="str">
        <f>IF($M44="","",X44-INDEX(Assy.Model!$X$9:$X$150,MATCH('SN#.Run#'!$M44,Assy.Model!$M$9:$M$150,0)))</f>
        <v/>
      </c>
      <c r="AY44" s="629" t="str">
        <f>IF($M44="","",Y44-INDEX(Assy.Model!$Y$9:$Y$150,MATCH('SN#.Run#'!$M44,Assy.Model!$M$9:$M$150,0)))</f>
        <v/>
      </c>
      <c r="AZ44" s="602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10" t="str">
        <f>IF($M44="","",AN44-INDEX(Assy.Model!$AN$9:$AN$150,MATCH('SN#.Run#'!$M44,Assy.Model!$M$9:$M$150,0)))</f>
        <v/>
      </c>
      <c r="BB44" s="525" t="str">
        <f>IF($M44="","",AO44-INDEX(Assy.Model!$AO$9:$AO$150,MATCH('SN#.Run#'!$M44,Assy.Model!$M$9:$M$150,0)))</f>
        <v/>
      </c>
      <c r="BC44" s="619" t="str">
        <f>IF($M44="","",AP44-INDEX(Assy.Model!$AP$9:$AP$150,MATCH('SN#.Run#'!$M44,Assy.Model!$M$9:$M$150,0)))</f>
        <v/>
      </c>
      <c r="BD44" s="419"/>
      <c r="BE44" s="699"/>
      <c r="BF44" s="417"/>
      <c r="BG44" s="417"/>
      <c r="BH44" s="417"/>
      <c r="BI44" s="417"/>
      <c r="BJ44" s="417"/>
      <c r="BK44" s="417"/>
      <c r="BL44" s="417"/>
      <c r="BM44" s="417"/>
      <c r="BN44" s="417"/>
      <c r="BO44" s="417"/>
      <c r="BP44" s="417"/>
      <c r="BQ44" s="417"/>
      <c r="BR44" s="417"/>
      <c r="BS44" s="417"/>
      <c r="BT44" s="417"/>
      <c r="BU44" s="417"/>
      <c r="IE44" s="790" t="str">
        <f>IFERROR(IF($IU44="","",IF($IU44&lt;(((Settings!$C$19/2)*-1)*$IE$8),"Taper","Nose")),"")</f>
        <v/>
      </c>
      <c r="IF44" s="482" t="str">
        <f>IFERROR(IF((((($IW44*COS(RADIANS(180-$IY44)))*COS(RADIANS($IY44)))-(($IX44*SIN(RADIANS(180-$IY44)))*SIN(RADIANS($IY44))))+$IU44)&lt;(((Settings!$C$19+$IF$8)/2)*-1),"Gage",""),"")</f>
        <v/>
      </c>
      <c r="IG44" s="788" t="str">
        <f t="shared" si="65"/>
        <v/>
      </c>
      <c r="IH44" s="674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677" t="str" cm="1">
        <f t="array" ref="II44">IFERROR(IF($IH44&lt;1,$IH44+LARGE((IF($M$9:$M$150="",0,$M$9:$M$150)-MOD(IF($M$9:$M$150="",0,$M$9:$M$150),1)),1),$IH44),"")</f>
        <v/>
      </c>
      <c r="IJ44" s="482" t="str">
        <f t="shared" si="62"/>
        <v/>
      </c>
      <c r="IK44" s="482" t="str">
        <f t="shared" si="20"/>
        <v/>
      </c>
      <c r="IL44" s="670" t="str">
        <f t="shared" si="68"/>
        <v/>
      </c>
      <c r="IM44" s="702"/>
      <c r="IN44" s="5" t="str">
        <f t="shared" si="69"/>
        <v/>
      </c>
      <c r="IO44" s="714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670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05" t="str">
        <f t="shared" si="77"/>
        <v/>
      </c>
    </row>
    <row r="45" spans="1:271" ht="15" customHeight="1" x14ac:dyDescent="0.25">
      <c r="A45" s="75"/>
      <c r="B45" s="578" t="str">
        <f t="shared" si="79"/>
        <v/>
      </c>
      <c r="C45" s="572" t="str">
        <f t="shared" si="80"/>
        <v/>
      </c>
      <c r="D45" s="576" t="str">
        <f t="shared" si="81"/>
        <v/>
      </c>
      <c r="E45" s="580" t="str">
        <f t="shared" si="82"/>
        <v/>
      </c>
      <c r="F45" s="572" t="str">
        <f t="shared" si="83"/>
        <v/>
      </c>
      <c r="G45" s="579" t="str">
        <f t="shared" si="84"/>
        <v/>
      </c>
      <c r="H45" s="580" t="str">
        <f t="shared" si="34"/>
        <v/>
      </c>
      <c r="I45" s="482"/>
      <c r="J45" s="483" t="str">
        <v/>
      </c>
      <c r="K45" s="806" t="str">
        <f t="shared" si="66"/>
        <v/>
      </c>
      <c r="M45" s="164" t="str">
        <f t="shared" si="35"/>
        <v/>
      </c>
      <c r="N45" s="575" t="str">
        <f t="shared" si="36"/>
        <v/>
      </c>
      <c r="O45" s="572" t="str">
        <f t="shared" si="37"/>
        <v/>
      </c>
      <c r="P45" s="576" t="str">
        <f t="shared" si="38"/>
        <v/>
      </c>
      <c r="Q45" s="528" t="str">
        <f t="shared" si="63"/>
        <v/>
      </c>
      <c r="R45" s="572" t="str">
        <f t="shared" si="39"/>
        <v/>
      </c>
      <c r="S45" s="577" t="str">
        <f t="shared" si="40"/>
        <v/>
      </c>
      <c r="T45" s="578" t="str">
        <f t="shared" si="41"/>
        <v/>
      </c>
      <c r="U45" s="572" t="str">
        <f t="shared" si="42"/>
        <v/>
      </c>
      <c r="V45" s="579" t="str">
        <f t="shared" si="43"/>
        <v/>
      </c>
      <c r="W45" s="528" t="str">
        <f t="shared" si="67"/>
        <v/>
      </c>
      <c r="X45" s="572" t="str">
        <f t="shared" si="44"/>
        <v/>
      </c>
      <c r="Y45" s="573" t="str">
        <f t="shared" si="85"/>
        <v/>
      </c>
      <c r="Z45" s="575" t="str">
        <f t="shared" si="45"/>
        <v/>
      </c>
      <c r="AA45" s="572" t="str">
        <f t="shared" si="46"/>
        <v/>
      </c>
      <c r="AB45" s="572" t="str">
        <f t="shared" si="47"/>
        <v/>
      </c>
      <c r="AC45" s="579" t="str">
        <f t="shared" si="48"/>
        <v/>
      </c>
      <c r="AD45" s="580" t="str">
        <f t="shared" si="49"/>
        <v/>
      </c>
      <c r="AE45" s="572" t="str">
        <f t="shared" si="50"/>
        <v/>
      </c>
      <c r="AF45" s="576" t="str">
        <f t="shared" si="51"/>
        <v/>
      </c>
      <c r="AG45" s="545" t="str">
        <f t="shared" si="52"/>
        <v/>
      </c>
      <c r="AH45" s="546" t="str">
        <f t="shared" si="53"/>
        <v/>
      </c>
      <c r="AI45" s="528" t="str">
        <f t="shared" si="54"/>
        <v/>
      </c>
      <c r="AJ45" s="529" t="str">
        <f t="shared" si="55"/>
        <v/>
      </c>
      <c r="AK45" s="578" t="str">
        <f t="shared" si="56"/>
        <v/>
      </c>
      <c r="AL45" s="572" t="str">
        <f t="shared" si="57"/>
        <v/>
      </c>
      <c r="AM45" s="577" t="str">
        <f t="shared" si="58"/>
        <v/>
      </c>
      <c r="AN45" s="524" t="str">
        <f t="shared" si="86"/>
        <v/>
      </c>
      <c r="AO45" s="525" t="str">
        <f t="shared" si="17"/>
        <v/>
      </c>
      <c r="AP45" s="528" t="str">
        <f t="shared" si="59"/>
        <v/>
      </c>
      <c r="AQ45" s="529" t="str">
        <f t="shared" si="60"/>
        <v/>
      </c>
      <c r="AS45" s="598" t="str">
        <f t="shared" si="78"/>
        <v/>
      </c>
      <c r="AT45" s="602" t="str">
        <f t="shared" si="61"/>
        <v/>
      </c>
      <c r="AU45" s="515" t="str">
        <f t="shared" si="87"/>
        <v/>
      </c>
      <c r="AV45" s="164" t="str">
        <f t="shared" si="64"/>
        <v/>
      </c>
      <c r="AW45" s="545" t="str">
        <f>IF($M45="","",W45-INDEX(Assy.Model!$W$9:$W$150,MATCH('SN#.Run#'!$M45,Assy.Model!$M$9:$M$150,0)))</f>
        <v/>
      </c>
      <c r="AX45" s="628" t="str">
        <f>IF($M45="","",X45-INDEX(Assy.Model!$X$9:$X$150,MATCH('SN#.Run#'!$M45,Assy.Model!$M$9:$M$150,0)))</f>
        <v/>
      </c>
      <c r="AY45" s="629" t="str">
        <f>IF($M45="","",Y45-INDEX(Assy.Model!$Y$9:$Y$150,MATCH('SN#.Run#'!$M45,Assy.Model!$M$9:$M$150,0)))</f>
        <v/>
      </c>
      <c r="AZ45" s="602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10" t="str">
        <f>IF($M45="","",AN45-INDEX(Assy.Model!$AN$9:$AN$150,MATCH('SN#.Run#'!$M45,Assy.Model!$M$9:$M$150,0)))</f>
        <v/>
      </c>
      <c r="BB45" s="525" t="str">
        <f>IF($M45="","",AO45-INDEX(Assy.Model!$AO$9:$AO$150,MATCH('SN#.Run#'!$M45,Assy.Model!$M$9:$M$150,0)))</f>
        <v/>
      </c>
      <c r="BC45" s="619" t="str">
        <f>IF($M45="","",AP45-INDEX(Assy.Model!$AP$9:$AP$150,MATCH('SN#.Run#'!$M45,Assy.Model!$M$9:$M$150,0)))</f>
        <v/>
      </c>
      <c r="BD45" s="419"/>
      <c r="BE45" s="699"/>
      <c r="BF45" s="417"/>
      <c r="BG45" s="417"/>
      <c r="BH45" s="417"/>
      <c r="BI45" s="417"/>
      <c r="BJ45" s="417"/>
      <c r="BK45" s="417"/>
      <c r="BL45" s="417"/>
      <c r="BM45" s="417"/>
      <c r="BN45" s="417"/>
      <c r="BO45" s="417"/>
      <c r="BP45" s="417"/>
      <c r="BQ45" s="417"/>
      <c r="BR45" s="417"/>
      <c r="BS45" s="417"/>
      <c r="BT45" s="417"/>
      <c r="BU45" s="417"/>
      <c r="IE45" s="790" t="str">
        <f>IFERROR(IF($IU45="","",IF($IU45&lt;(((Settings!$C$19/2)*-1)*$IE$8),"Taper","Nose")),"")</f>
        <v/>
      </c>
      <c r="IF45" s="482" t="str">
        <f>IFERROR(IF((((($IW45*COS(RADIANS(180-$IY45)))*COS(RADIANS($IY45)))-(($IX45*SIN(RADIANS(180-$IY45)))*SIN(RADIANS($IY45))))+$IU45)&lt;(((Settings!$C$19+$IF$8)/2)*-1),"Gage",""),"")</f>
        <v/>
      </c>
      <c r="IG45" s="788" t="str">
        <f t="shared" si="65"/>
        <v/>
      </c>
      <c r="IH45" s="674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677" t="str" cm="1">
        <f t="array" ref="II45">IFERROR(IF($IH45&lt;1,$IH45+LARGE((IF($M$9:$M$150="",0,$M$9:$M$150)-MOD(IF($M$9:$M$150="",0,$M$9:$M$150),1)),1),$IH45),"")</f>
        <v/>
      </c>
      <c r="IJ45" s="482" t="str">
        <f t="shared" si="62"/>
        <v/>
      </c>
      <c r="IK45" s="482" t="str">
        <f t="shared" si="20"/>
        <v/>
      </c>
      <c r="IL45" s="670" t="str">
        <f t="shared" si="68"/>
        <v/>
      </c>
      <c r="IM45" s="702"/>
      <c r="IN45" s="5" t="str">
        <f t="shared" si="69"/>
        <v/>
      </c>
      <c r="IO45" s="714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670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05" t="str">
        <f t="shared" si="77"/>
        <v/>
      </c>
    </row>
    <row r="46" spans="1:271" ht="15" customHeight="1" x14ac:dyDescent="0.25">
      <c r="A46" s="75"/>
      <c r="B46" s="578" t="str">
        <f t="shared" si="79"/>
        <v/>
      </c>
      <c r="C46" s="572" t="str">
        <f t="shared" si="80"/>
        <v/>
      </c>
      <c r="D46" s="576" t="str">
        <f t="shared" si="81"/>
        <v/>
      </c>
      <c r="E46" s="580" t="str">
        <f t="shared" si="82"/>
        <v/>
      </c>
      <c r="F46" s="572" t="str">
        <f t="shared" si="83"/>
        <v/>
      </c>
      <c r="G46" s="579" t="str">
        <f t="shared" si="84"/>
        <v/>
      </c>
      <c r="H46" s="580" t="str">
        <f t="shared" si="34"/>
        <v/>
      </c>
      <c r="I46" s="482"/>
      <c r="J46" s="483" t="str">
        <v/>
      </c>
      <c r="K46" s="806" t="str">
        <f t="shared" si="66"/>
        <v/>
      </c>
      <c r="M46" s="164" t="str">
        <f t="shared" si="35"/>
        <v/>
      </c>
      <c r="N46" s="575" t="str">
        <f t="shared" si="36"/>
        <v/>
      </c>
      <c r="O46" s="572" t="str">
        <f t="shared" si="37"/>
        <v/>
      </c>
      <c r="P46" s="576" t="str">
        <f t="shared" si="38"/>
        <v/>
      </c>
      <c r="Q46" s="528" t="str">
        <f t="shared" si="63"/>
        <v/>
      </c>
      <c r="R46" s="572" t="str">
        <f t="shared" si="39"/>
        <v/>
      </c>
      <c r="S46" s="577" t="str">
        <f t="shared" si="40"/>
        <v/>
      </c>
      <c r="T46" s="578" t="str">
        <f t="shared" si="41"/>
        <v/>
      </c>
      <c r="U46" s="572" t="str">
        <f t="shared" si="42"/>
        <v/>
      </c>
      <c r="V46" s="579" t="str">
        <f t="shared" si="43"/>
        <v/>
      </c>
      <c r="W46" s="528" t="str">
        <f t="shared" si="67"/>
        <v/>
      </c>
      <c r="X46" s="572" t="str">
        <f t="shared" si="44"/>
        <v/>
      </c>
      <c r="Y46" s="573" t="str">
        <f t="shared" si="85"/>
        <v/>
      </c>
      <c r="Z46" s="575" t="str">
        <f t="shared" si="45"/>
        <v/>
      </c>
      <c r="AA46" s="572" t="str">
        <f t="shared" si="46"/>
        <v/>
      </c>
      <c r="AB46" s="572" t="str">
        <f t="shared" si="47"/>
        <v/>
      </c>
      <c r="AC46" s="579" t="str">
        <f t="shared" si="48"/>
        <v/>
      </c>
      <c r="AD46" s="580" t="str">
        <f t="shared" si="49"/>
        <v/>
      </c>
      <c r="AE46" s="572" t="str">
        <f t="shared" si="50"/>
        <v/>
      </c>
      <c r="AF46" s="576" t="str">
        <f t="shared" si="51"/>
        <v/>
      </c>
      <c r="AG46" s="545" t="str">
        <f t="shared" si="52"/>
        <v/>
      </c>
      <c r="AH46" s="546" t="str">
        <f t="shared" si="53"/>
        <v/>
      </c>
      <c r="AI46" s="528" t="str">
        <f t="shared" si="54"/>
        <v/>
      </c>
      <c r="AJ46" s="529" t="str">
        <f t="shared" si="55"/>
        <v/>
      </c>
      <c r="AK46" s="578" t="str">
        <f t="shared" si="56"/>
        <v/>
      </c>
      <c r="AL46" s="572" t="str">
        <f t="shared" si="57"/>
        <v/>
      </c>
      <c r="AM46" s="577" t="str">
        <f t="shared" si="58"/>
        <v/>
      </c>
      <c r="AN46" s="524" t="str">
        <f t="shared" si="86"/>
        <v/>
      </c>
      <c r="AO46" s="525" t="str">
        <f t="shared" si="17"/>
        <v/>
      </c>
      <c r="AP46" s="528" t="str">
        <f t="shared" si="59"/>
        <v/>
      </c>
      <c r="AQ46" s="529" t="str">
        <f t="shared" si="60"/>
        <v/>
      </c>
      <c r="AS46" s="598" t="str">
        <f t="shared" si="78"/>
        <v/>
      </c>
      <c r="AT46" s="602" t="str">
        <f t="shared" si="61"/>
        <v/>
      </c>
      <c r="AU46" s="515" t="str">
        <f t="shared" si="87"/>
        <v/>
      </c>
      <c r="AV46" s="164" t="str">
        <f t="shared" si="64"/>
        <v/>
      </c>
      <c r="AW46" s="545" t="str">
        <f>IF($M46="","",W46-INDEX(Assy.Model!$W$9:$W$150,MATCH('SN#.Run#'!$M46,Assy.Model!$M$9:$M$150,0)))</f>
        <v/>
      </c>
      <c r="AX46" s="628" t="str">
        <f>IF($M46="","",X46-INDEX(Assy.Model!$X$9:$X$150,MATCH('SN#.Run#'!$M46,Assy.Model!$M$9:$M$150,0)))</f>
        <v/>
      </c>
      <c r="AY46" s="629" t="str">
        <f>IF($M46="","",Y46-INDEX(Assy.Model!$Y$9:$Y$150,MATCH('SN#.Run#'!$M46,Assy.Model!$M$9:$M$150,0)))</f>
        <v/>
      </c>
      <c r="AZ46" s="602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10" t="str">
        <f>IF($M46="","",AN46-INDEX(Assy.Model!$AN$9:$AN$150,MATCH('SN#.Run#'!$M46,Assy.Model!$M$9:$M$150,0)))</f>
        <v/>
      </c>
      <c r="BB46" s="525" t="str">
        <f>IF($M46="","",AO46-INDEX(Assy.Model!$AO$9:$AO$150,MATCH('SN#.Run#'!$M46,Assy.Model!$M$9:$M$150,0)))</f>
        <v/>
      </c>
      <c r="BC46" s="619" t="str">
        <f>IF($M46="","",AP46-INDEX(Assy.Model!$AP$9:$AP$150,MATCH('SN#.Run#'!$M46,Assy.Model!$M$9:$M$150,0)))</f>
        <v/>
      </c>
      <c r="BD46" s="419"/>
      <c r="BE46" s="699"/>
      <c r="BF46" s="417"/>
      <c r="BG46" s="417"/>
      <c r="BH46" s="417"/>
      <c r="BI46" s="417"/>
      <c r="BJ46" s="417"/>
      <c r="BK46" s="417"/>
      <c r="BL46" s="417"/>
      <c r="BM46" s="417"/>
      <c r="BN46" s="417"/>
      <c r="BO46" s="417"/>
      <c r="BP46" s="417"/>
      <c r="BQ46" s="417"/>
      <c r="BR46" s="417"/>
      <c r="BS46" s="417"/>
      <c r="BT46" s="417"/>
      <c r="BU46" s="417"/>
      <c r="IE46" s="790" t="str">
        <f>IFERROR(IF($IU46="","",IF($IU46&lt;(((Settings!$C$19/2)*-1)*$IE$8),"Taper","Nose")),"")</f>
        <v/>
      </c>
      <c r="IF46" s="482" t="str">
        <f>IFERROR(IF((((($IW46*COS(RADIANS(180-$IY46)))*COS(RADIANS($IY46)))-(($IX46*SIN(RADIANS(180-$IY46)))*SIN(RADIANS($IY46))))+$IU46)&lt;(((Settings!$C$19+$IF$8)/2)*-1),"Gage",""),"")</f>
        <v/>
      </c>
      <c r="IG46" s="788" t="str">
        <f t="shared" si="65"/>
        <v/>
      </c>
      <c r="IH46" s="674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677" t="str" cm="1">
        <f t="array" ref="II46">IFERROR(IF($IH46&lt;1,$IH46+LARGE((IF($M$9:$M$150="",0,$M$9:$M$150)-MOD(IF($M$9:$M$150="",0,$M$9:$M$150),1)),1),$IH46),"")</f>
        <v/>
      </c>
      <c r="IJ46" s="482" t="str">
        <f t="shared" si="62"/>
        <v/>
      </c>
      <c r="IK46" s="482" t="str">
        <f t="shared" si="20"/>
        <v/>
      </c>
      <c r="IL46" s="670" t="str">
        <f t="shared" si="68"/>
        <v/>
      </c>
      <c r="IM46" s="702"/>
      <c r="IN46" s="5" t="str">
        <f t="shared" si="69"/>
        <v/>
      </c>
      <c r="IO46" s="714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670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05" t="str">
        <f t="shared" si="77"/>
        <v/>
      </c>
    </row>
    <row r="47" spans="1:271" ht="15" customHeight="1" x14ac:dyDescent="0.25">
      <c r="A47" s="82"/>
      <c r="B47" s="578" t="str">
        <f t="shared" si="79"/>
        <v/>
      </c>
      <c r="C47" s="572" t="str">
        <f t="shared" si="80"/>
        <v/>
      </c>
      <c r="D47" s="576" t="str">
        <f t="shared" si="81"/>
        <v/>
      </c>
      <c r="E47" s="580" t="str">
        <f t="shared" si="82"/>
        <v/>
      </c>
      <c r="F47" s="572" t="str">
        <f t="shared" si="83"/>
        <v/>
      </c>
      <c r="G47" s="579" t="str">
        <f t="shared" si="84"/>
        <v/>
      </c>
      <c r="H47" s="580" t="str">
        <f t="shared" si="34"/>
        <v/>
      </c>
      <c r="I47" s="482"/>
      <c r="J47" s="483" t="str">
        <v/>
      </c>
      <c r="K47" s="806" t="str">
        <f t="shared" si="66"/>
        <v/>
      </c>
      <c r="M47" s="164" t="str">
        <f t="shared" si="35"/>
        <v/>
      </c>
      <c r="N47" s="575" t="str">
        <f t="shared" si="36"/>
        <v/>
      </c>
      <c r="O47" s="572" t="str">
        <f t="shared" si="37"/>
        <v/>
      </c>
      <c r="P47" s="576" t="str">
        <f t="shared" si="38"/>
        <v/>
      </c>
      <c r="Q47" s="528" t="str">
        <f t="shared" si="63"/>
        <v/>
      </c>
      <c r="R47" s="572" t="str">
        <f t="shared" si="39"/>
        <v/>
      </c>
      <c r="S47" s="577" t="str">
        <f t="shared" si="40"/>
        <v/>
      </c>
      <c r="T47" s="578" t="str">
        <f t="shared" si="41"/>
        <v/>
      </c>
      <c r="U47" s="572" t="str">
        <f t="shared" si="42"/>
        <v/>
      </c>
      <c r="V47" s="579" t="str">
        <f t="shared" si="43"/>
        <v/>
      </c>
      <c r="W47" s="528" t="str">
        <f t="shared" si="67"/>
        <v/>
      </c>
      <c r="X47" s="572" t="str">
        <f t="shared" si="44"/>
        <v/>
      </c>
      <c r="Y47" s="573" t="str">
        <f t="shared" si="85"/>
        <v/>
      </c>
      <c r="Z47" s="575" t="str">
        <f t="shared" si="45"/>
        <v/>
      </c>
      <c r="AA47" s="572" t="str">
        <f t="shared" si="46"/>
        <v/>
      </c>
      <c r="AB47" s="572" t="str">
        <f t="shared" si="47"/>
        <v/>
      </c>
      <c r="AC47" s="579" t="str">
        <f t="shared" si="48"/>
        <v/>
      </c>
      <c r="AD47" s="580" t="str">
        <f t="shared" si="49"/>
        <v/>
      </c>
      <c r="AE47" s="572" t="str">
        <f t="shared" si="50"/>
        <v/>
      </c>
      <c r="AF47" s="576" t="str">
        <f t="shared" si="51"/>
        <v/>
      </c>
      <c r="AG47" s="545" t="str">
        <f t="shared" si="52"/>
        <v/>
      </c>
      <c r="AH47" s="546" t="str">
        <f t="shared" si="53"/>
        <v/>
      </c>
      <c r="AI47" s="528" t="str">
        <f t="shared" si="54"/>
        <v/>
      </c>
      <c r="AJ47" s="529" t="str">
        <f t="shared" si="55"/>
        <v/>
      </c>
      <c r="AK47" s="578" t="str">
        <f t="shared" si="56"/>
        <v/>
      </c>
      <c r="AL47" s="572" t="str">
        <f t="shared" si="57"/>
        <v/>
      </c>
      <c r="AM47" s="577" t="str">
        <f t="shared" si="58"/>
        <v/>
      </c>
      <c r="AN47" s="524" t="str">
        <f t="shared" si="86"/>
        <v/>
      </c>
      <c r="AO47" s="525" t="str">
        <f t="shared" si="17"/>
        <v/>
      </c>
      <c r="AP47" s="528" t="str">
        <f t="shared" si="59"/>
        <v/>
      </c>
      <c r="AQ47" s="529" t="str">
        <f t="shared" si="60"/>
        <v/>
      </c>
      <c r="AS47" s="598" t="str">
        <f t="shared" si="78"/>
        <v/>
      </c>
      <c r="AT47" s="602" t="str">
        <f t="shared" si="61"/>
        <v/>
      </c>
      <c r="AU47" s="515" t="str">
        <f t="shared" si="87"/>
        <v/>
      </c>
      <c r="AV47" s="164" t="str">
        <f t="shared" si="64"/>
        <v/>
      </c>
      <c r="AW47" s="545" t="str">
        <f>IF($M47="","",W47-INDEX(Assy.Model!$W$9:$W$150,MATCH('SN#.Run#'!$M47,Assy.Model!$M$9:$M$150,0)))</f>
        <v/>
      </c>
      <c r="AX47" s="628" t="str">
        <f>IF($M47="","",X47-INDEX(Assy.Model!$X$9:$X$150,MATCH('SN#.Run#'!$M47,Assy.Model!$M$9:$M$150,0)))</f>
        <v/>
      </c>
      <c r="AY47" s="629" t="str">
        <f>IF($M47="","",Y47-INDEX(Assy.Model!$Y$9:$Y$150,MATCH('SN#.Run#'!$M47,Assy.Model!$M$9:$M$150,0)))</f>
        <v/>
      </c>
      <c r="AZ47" s="602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10" t="str">
        <f>IF($M47="","",AN47-INDEX(Assy.Model!$AN$9:$AN$150,MATCH('SN#.Run#'!$M47,Assy.Model!$M$9:$M$150,0)))</f>
        <v/>
      </c>
      <c r="BB47" s="525" t="str">
        <f>IF($M47="","",AO47-INDEX(Assy.Model!$AO$9:$AO$150,MATCH('SN#.Run#'!$M47,Assy.Model!$M$9:$M$150,0)))</f>
        <v/>
      </c>
      <c r="BC47" s="619" t="str">
        <f>IF($M47="","",AP47-INDEX(Assy.Model!$AP$9:$AP$150,MATCH('SN#.Run#'!$M47,Assy.Model!$M$9:$M$150,0)))</f>
        <v/>
      </c>
      <c r="BD47" s="419"/>
      <c r="BE47" s="699"/>
      <c r="IE47" s="790" t="str">
        <f>IFERROR(IF($IU47="","",IF($IU47&lt;(((Settings!$C$19/2)*-1)*$IE$8),"Taper","Nose")),"")</f>
        <v/>
      </c>
      <c r="IF47" s="482" t="str">
        <f>IFERROR(IF((((($IW47*COS(RADIANS(180-$IY47)))*COS(RADIANS($IY47)))-(($IX47*SIN(RADIANS(180-$IY47)))*SIN(RADIANS($IY47))))+$IU47)&lt;(((Settings!$C$19+$IF$8)/2)*-1),"Gage",""),"")</f>
        <v/>
      </c>
      <c r="IG47" s="788" t="str">
        <f t="shared" si="65"/>
        <v/>
      </c>
      <c r="IH47" s="674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677" t="str" cm="1">
        <f t="array" ref="II47">IFERROR(IF($IH47&lt;1,$IH47+LARGE((IF($M$9:$M$150="",0,$M$9:$M$150)-MOD(IF($M$9:$M$150="",0,$M$9:$M$150),1)),1),$IH47),"")</f>
        <v/>
      </c>
      <c r="IJ47" s="482" t="str">
        <f t="shared" si="62"/>
        <v/>
      </c>
      <c r="IK47" s="482" t="str">
        <f t="shared" si="20"/>
        <v/>
      </c>
      <c r="IL47" s="670" t="str">
        <f t="shared" si="68"/>
        <v/>
      </c>
      <c r="IM47" s="702"/>
      <c r="IN47" s="5" t="str">
        <f t="shared" si="69"/>
        <v/>
      </c>
      <c r="IO47" s="714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670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05" t="str">
        <f t="shared" si="77"/>
        <v/>
      </c>
    </row>
    <row r="48" spans="1:271" ht="15" customHeight="1" x14ac:dyDescent="0.25">
      <c r="A48" s="82"/>
      <c r="B48" s="578" t="str">
        <f t="shared" si="79"/>
        <v/>
      </c>
      <c r="C48" s="572" t="str">
        <f t="shared" si="80"/>
        <v/>
      </c>
      <c r="D48" s="576" t="str">
        <f t="shared" si="81"/>
        <v/>
      </c>
      <c r="E48" s="580" t="str">
        <f t="shared" si="82"/>
        <v/>
      </c>
      <c r="F48" s="572" t="str">
        <f t="shared" si="83"/>
        <v/>
      </c>
      <c r="G48" s="579" t="str">
        <f t="shared" si="84"/>
        <v/>
      </c>
      <c r="H48" s="580" t="str">
        <f t="shared" si="34"/>
        <v/>
      </c>
      <c r="I48" s="482"/>
      <c r="J48" s="483" t="str">
        <v/>
      </c>
      <c r="K48" s="806" t="str">
        <f t="shared" si="66"/>
        <v/>
      </c>
      <c r="M48" s="164" t="str">
        <f t="shared" si="35"/>
        <v/>
      </c>
      <c r="N48" s="575" t="str">
        <f t="shared" si="36"/>
        <v/>
      </c>
      <c r="O48" s="572" t="str">
        <f t="shared" si="37"/>
        <v/>
      </c>
      <c r="P48" s="576" t="str">
        <f t="shared" si="38"/>
        <v/>
      </c>
      <c r="Q48" s="528" t="str">
        <f t="shared" si="63"/>
        <v/>
      </c>
      <c r="R48" s="572" t="str">
        <f t="shared" si="39"/>
        <v/>
      </c>
      <c r="S48" s="577" t="str">
        <f t="shared" si="40"/>
        <v/>
      </c>
      <c r="T48" s="578" t="str">
        <f t="shared" si="41"/>
        <v/>
      </c>
      <c r="U48" s="572" t="str">
        <f t="shared" si="42"/>
        <v/>
      </c>
      <c r="V48" s="579" t="str">
        <f t="shared" si="43"/>
        <v/>
      </c>
      <c r="W48" s="528" t="str">
        <f t="shared" si="67"/>
        <v/>
      </c>
      <c r="X48" s="572" t="str">
        <f t="shared" si="44"/>
        <v/>
      </c>
      <c r="Y48" s="573" t="str">
        <f t="shared" si="85"/>
        <v/>
      </c>
      <c r="Z48" s="575" t="str">
        <f t="shared" si="45"/>
        <v/>
      </c>
      <c r="AA48" s="572" t="str">
        <f t="shared" si="46"/>
        <v/>
      </c>
      <c r="AB48" s="572" t="str">
        <f t="shared" si="47"/>
        <v/>
      </c>
      <c r="AC48" s="579" t="str">
        <f t="shared" si="48"/>
        <v/>
      </c>
      <c r="AD48" s="580" t="str">
        <f t="shared" si="49"/>
        <v/>
      </c>
      <c r="AE48" s="572" t="str">
        <f t="shared" si="50"/>
        <v/>
      </c>
      <c r="AF48" s="576" t="str">
        <f t="shared" si="51"/>
        <v/>
      </c>
      <c r="AG48" s="545" t="str">
        <f t="shared" si="52"/>
        <v/>
      </c>
      <c r="AH48" s="546" t="str">
        <f t="shared" si="53"/>
        <v/>
      </c>
      <c r="AI48" s="528" t="str">
        <f t="shared" si="54"/>
        <v/>
      </c>
      <c r="AJ48" s="529" t="str">
        <f t="shared" si="55"/>
        <v/>
      </c>
      <c r="AK48" s="578" t="str">
        <f t="shared" si="56"/>
        <v/>
      </c>
      <c r="AL48" s="572" t="str">
        <f t="shared" si="57"/>
        <v/>
      </c>
      <c r="AM48" s="577" t="str">
        <f t="shared" si="58"/>
        <v/>
      </c>
      <c r="AN48" s="524" t="str">
        <f t="shared" si="86"/>
        <v/>
      </c>
      <c r="AO48" s="525" t="str">
        <f t="shared" si="17"/>
        <v/>
      </c>
      <c r="AP48" s="528" t="str">
        <f t="shared" si="59"/>
        <v/>
      </c>
      <c r="AQ48" s="529" t="str">
        <f t="shared" si="60"/>
        <v/>
      </c>
      <c r="AS48" s="598" t="str">
        <f t="shared" si="78"/>
        <v/>
      </c>
      <c r="AT48" s="602" t="str">
        <f t="shared" si="61"/>
        <v/>
      </c>
      <c r="AU48" s="515" t="str">
        <f t="shared" si="87"/>
        <v/>
      </c>
      <c r="AV48" s="164" t="str">
        <f t="shared" si="64"/>
        <v/>
      </c>
      <c r="AW48" s="545" t="str">
        <f>IF($M48="","",W48-INDEX(Assy.Model!$W$9:$W$150,MATCH('SN#.Run#'!$M48,Assy.Model!$M$9:$M$150,0)))</f>
        <v/>
      </c>
      <c r="AX48" s="628" t="str">
        <f>IF($M48="","",X48-INDEX(Assy.Model!$X$9:$X$150,MATCH('SN#.Run#'!$M48,Assy.Model!$M$9:$M$150,0)))</f>
        <v/>
      </c>
      <c r="AY48" s="629" t="str">
        <f>IF($M48="","",Y48-INDEX(Assy.Model!$Y$9:$Y$150,MATCH('SN#.Run#'!$M48,Assy.Model!$M$9:$M$150,0)))</f>
        <v/>
      </c>
      <c r="AZ48" s="602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10" t="str">
        <f>IF($M48="","",AN48-INDEX(Assy.Model!$AN$9:$AN$150,MATCH('SN#.Run#'!$M48,Assy.Model!$M$9:$M$150,0)))</f>
        <v/>
      </c>
      <c r="BB48" s="525" t="str">
        <f>IF($M48="","",AO48-INDEX(Assy.Model!$AO$9:$AO$150,MATCH('SN#.Run#'!$M48,Assy.Model!$M$9:$M$150,0)))</f>
        <v/>
      </c>
      <c r="BC48" s="619" t="str">
        <f>IF($M48="","",AP48-INDEX(Assy.Model!$AP$9:$AP$150,MATCH('SN#.Run#'!$M48,Assy.Model!$M$9:$M$150,0)))</f>
        <v/>
      </c>
      <c r="BD48" s="419"/>
      <c r="BE48" s="699"/>
      <c r="BF48" s="417"/>
      <c r="BG48" s="417"/>
      <c r="BH48" s="417"/>
      <c r="IE48" s="790" t="str">
        <f>IFERROR(IF($IU48="","",IF($IU48&lt;(((Settings!$C$19/2)*-1)*$IE$8),"Taper","Nose")),"")</f>
        <v/>
      </c>
      <c r="IF48" s="482" t="str">
        <f>IFERROR(IF((((($IW48*COS(RADIANS(180-$IY48)))*COS(RADIANS($IY48)))-(($IX48*SIN(RADIANS(180-$IY48)))*SIN(RADIANS($IY48))))+$IU48)&lt;(((Settings!$C$19+$IF$8)/2)*-1),"Gage",""),"")</f>
        <v/>
      </c>
      <c r="IG48" s="788" t="str">
        <f t="shared" si="65"/>
        <v/>
      </c>
      <c r="IH48" s="674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677" t="str" cm="1">
        <f t="array" ref="II48">IFERROR(IF($IH48&lt;1,$IH48+LARGE((IF($M$9:$M$150="",0,$M$9:$M$150)-MOD(IF($M$9:$M$150="",0,$M$9:$M$150),1)),1),$IH48),"")</f>
        <v/>
      </c>
      <c r="IJ48" s="482" t="str">
        <f t="shared" si="62"/>
        <v/>
      </c>
      <c r="IK48" s="482" t="str">
        <f t="shared" si="20"/>
        <v/>
      </c>
      <c r="IL48" s="670" t="str">
        <f t="shared" si="68"/>
        <v/>
      </c>
      <c r="IM48" s="702"/>
      <c r="IN48" s="5" t="str">
        <f t="shared" si="69"/>
        <v/>
      </c>
      <c r="IO48" s="714"/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670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05" t="str">
        <f t="shared" si="77"/>
        <v/>
      </c>
    </row>
    <row r="49" spans="1:259" ht="15" customHeight="1" x14ac:dyDescent="0.25">
      <c r="A49" s="82"/>
      <c r="B49" s="578" t="str">
        <f t="shared" si="79"/>
        <v/>
      </c>
      <c r="C49" s="572" t="str">
        <f t="shared" si="80"/>
        <v/>
      </c>
      <c r="D49" s="576" t="str">
        <f t="shared" si="81"/>
        <v/>
      </c>
      <c r="E49" s="580" t="str">
        <f t="shared" si="82"/>
        <v/>
      </c>
      <c r="F49" s="572" t="str">
        <f t="shared" si="83"/>
        <v/>
      </c>
      <c r="G49" s="579" t="str">
        <f t="shared" si="84"/>
        <v/>
      </c>
      <c r="H49" s="580" t="str">
        <f t="shared" si="34"/>
        <v/>
      </c>
      <c r="I49" s="482"/>
      <c r="J49" s="483" t="str">
        <v/>
      </c>
      <c r="K49" s="806" t="str">
        <f t="shared" si="66"/>
        <v/>
      </c>
      <c r="M49" s="164" t="str">
        <f t="shared" ref="M49:M112" si="88">IF(J49="","",J49)</f>
        <v/>
      </c>
      <c r="N49" s="575" t="str">
        <f t="shared" ref="N49:N112" si="89">IF(M49="","",B49)</f>
        <v/>
      </c>
      <c r="O49" s="572" t="str">
        <f t="shared" ref="O49:O112" si="90">IF(M49="","",C49)</f>
        <v/>
      </c>
      <c r="P49" s="576" t="str">
        <f t="shared" ref="P49:P112" si="91">IF(M49="","",D49)</f>
        <v/>
      </c>
      <c r="Q49" s="528" t="str">
        <f t="shared" ref="Q49:Q112" si="92">IF(M49="","",IF(DEGREES(ATAN2(N49,O49))&lt;0,DEGREES(ATAN2(N49,O49))+360,IF(DEGREES(ATAN2(N49,O49))&gt;360,DEGREES(ATAN2(N49,O49))-360,DEGREES(ATAN2(N49,O49)))))</f>
        <v/>
      </c>
      <c r="R49" s="572" t="str">
        <f t="shared" ref="R49:R112" si="93">IF(M49="","",SQRT(N49^2+O49^2))</f>
        <v/>
      </c>
      <c r="S49" s="577" t="str">
        <f t="shared" ref="S49:S112" si="94">IF(M49="","",P49)</f>
        <v/>
      </c>
      <c r="T49" s="578" t="str">
        <f t="shared" ref="T49:T112" si="95">IF(M49="","",X49*COS(RADIANS(W49)))</f>
        <v/>
      </c>
      <c r="U49" s="572" t="str">
        <f t="shared" ref="U49:U112" si="96">IF(M49="","",X49*SIN(RADIANS(W49)))</f>
        <v/>
      </c>
      <c r="V49" s="579" t="str">
        <f t="shared" ref="V49:V112" si="97">IF(M49="","",Y49)</f>
        <v/>
      </c>
      <c r="W49" s="528" t="str">
        <f t="shared" ref="W49:W112" si="98">IF(M49="","",IF(Q49-$Q$8&lt;0,360+Q49-$Q$8,Q49-$Q$8))</f>
        <v/>
      </c>
      <c r="X49" s="572" t="str">
        <f t="shared" ref="X49:X112" si="99">IF(M49="","",R49)</f>
        <v/>
      </c>
      <c r="Y49" s="573" t="str">
        <f t="shared" si="85"/>
        <v/>
      </c>
      <c r="Z49" s="575" t="str">
        <f t="shared" ref="Z49:Z112" si="100">IF(M49="","",-E49)</f>
        <v/>
      </c>
      <c r="AA49" s="572" t="str">
        <f t="shared" ref="AA49:AA112" si="101">IF(M49="","",-F49)</f>
        <v/>
      </c>
      <c r="AB49" s="572" t="str">
        <f t="shared" ref="AB49:AB112" si="102">IF(M49="","",-G49)</f>
        <v/>
      </c>
      <c r="AC49" s="579" t="str">
        <f t="shared" ref="AC49:AC112" si="103">IF(M49="","",SQRT(Z49^2+AA49^2+AB49^2))</f>
        <v/>
      </c>
      <c r="AD49" s="580" t="str">
        <f t="shared" ref="AD49:AD112" si="104">IF(M49="","",Z49*(1/SQRT(Z49^2+AA49^2+AB49^2)))</f>
        <v/>
      </c>
      <c r="AE49" s="572" t="str">
        <f t="shared" ref="AE49:AE112" si="105">IF(M49="","",AA49*(1/SQRT(Z49^2+AA49^2+AB49^2)))</f>
        <v/>
      </c>
      <c r="AF49" s="576" t="str">
        <f t="shared" ref="AF49:AF112" si="106">IF(M49="","",AB49*(1/SQRT(Z49^2+AA49^2+AB49^2)))</f>
        <v/>
      </c>
      <c r="AG49" s="545" t="str">
        <f t="shared" ref="AG49:AG112" si="107">IF(M49="","",DEGREES(ATAN2(-AF49,AE49)))</f>
        <v/>
      </c>
      <c r="AH49" s="546" t="str">
        <f t="shared" ref="AH49:AH112" si="108">IF(M49="","",DEGREES(ACOS(AD49)))</f>
        <v/>
      </c>
      <c r="AI49" s="528" t="str">
        <f t="shared" ref="AI49:AI112" si="109">IF(M49="","",DEGREES(-ACOS(-AF49)))</f>
        <v/>
      </c>
      <c r="AJ49" s="529" t="str">
        <f t="shared" ref="AJ49:AJ112" si="110">IF(M49="","",DEGREES(ATAN2(-AE49,AD49)))</f>
        <v/>
      </c>
      <c r="AK49" s="578" t="str">
        <f t="shared" ref="AK49:AK112" si="111">IF(M49="","",(COS(RADIANS((90-$Q$8)-W49))*AD49)+(-SIN(RADIANS((90-$Q$8)-W49))*AE49))</f>
        <v/>
      </c>
      <c r="AL49" s="572" t="str">
        <f t="shared" ref="AL49:AL112" si="112">IF(M49="","",(SIN(RADIANS((90-$Q$8)-W49))*AD49)+(COS(RADIANS((90-$Q$8)-W49))*AE49))</f>
        <v/>
      </c>
      <c r="AM49" s="577" t="str">
        <f t="shared" ref="AM49:AM112" si="113">IF(M49="","",AF49)</f>
        <v/>
      </c>
      <c r="AN49" s="524" t="str">
        <f t="shared" si="86"/>
        <v/>
      </c>
      <c r="AO49" s="525" t="str">
        <f t="shared" si="17"/>
        <v/>
      </c>
      <c r="AP49" s="528" t="str">
        <f t="shared" ref="AP49:AP112" si="114">IF(M49="","",DEGREES(ATAN2(AK49,AL49)))</f>
        <v/>
      </c>
      <c r="AQ49" s="529" t="str">
        <f t="shared" si="60"/>
        <v/>
      </c>
      <c r="AS49" s="598" t="str">
        <f t="shared" ref="AS49:AS112" si="115">IF(M49="","",IF(W49&lt;=LARGE($W$9:$W$17,1),W49,W49-360))</f>
        <v/>
      </c>
      <c r="AT49" s="602" t="str">
        <f t="shared" si="61"/>
        <v/>
      </c>
      <c r="AU49" s="515" t="str">
        <f t="shared" si="87"/>
        <v/>
      </c>
      <c r="AV49" s="164" t="str">
        <f t="shared" ref="AV49:AV112" si="116">M49</f>
        <v/>
      </c>
      <c r="AW49" s="545" t="str">
        <f>IF($M49="","",W49-INDEX(Assy.Model!$W$9:$W$150,MATCH('SN#.Run#'!$M49,Assy.Model!$M$9:$M$150,0)))</f>
        <v/>
      </c>
      <c r="AX49" s="628" t="str">
        <f>IF($M49="","",X49-INDEX(Assy.Model!$X$9:$X$150,MATCH('SN#.Run#'!$M49,Assy.Model!$M$9:$M$150,0)))</f>
        <v/>
      </c>
      <c r="AY49" s="629" t="str">
        <f>IF($M49="","",Y49-INDEX(Assy.Model!$Y$9:$Y$150,MATCH('SN#.Run#'!$M49,Assy.Model!$M$9:$M$150,0)))</f>
        <v/>
      </c>
      <c r="AZ49" s="602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10" t="str">
        <f>IF($M49="","",AN49-INDEX(Assy.Model!$AN$9:$AN$150,MATCH('SN#.Run#'!$M49,Assy.Model!$M$9:$M$150,0)))</f>
        <v/>
      </c>
      <c r="BB49" s="525" t="str">
        <f>IF($M49="","",AO49-INDEX(Assy.Model!$AO$9:$AO$150,MATCH('SN#.Run#'!$M49,Assy.Model!$M$9:$M$150,0)))</f>
        <v/>
      </c>
      <c r="BC49" s="619" t="str">
        <f>IF($M49="","",AP49-INDEX(Assy.Model!$AP$9:$AP$150,MATCH('SN#.Run#'!$M49,Assy.Model!$M$9:$M$150,0)))</f>
        <v/>
      </c>
      <c r="BD49" s="419"/>
      <c r="BE49" s="699"/>
      <c r="BF49" s="417"/>
      <c r="BG49" s="417"/>
      <c r="BH49" s="417"/>
      <c r="IE49" s="790" t="str">
        <f>IFERROR(IF($IU49="","",IF($IU49&lt;(((Settings!$C$19/2)*-1)*$IE$8),"Taper","Nose")),"")</f>
        <v/>
      </c>
      <c r="IF49" s="482" t="str">
        <f>IFERROR(IF((((($IW49*COS(RADIANS(180-$IY49)))*COS(RADIANS($IY49)))-(($IX49*SIN(RADIANS(180-$IY49)))*SIN(RADIANS($IY49))))+$IU49)&lt;(((Settings!$C$19+$IF$8)/2)*-1),"Gage",""),"")</f>
        <v/>
      </c>
      <c r="IG49" s="788" t="str">
        <f t="shared" si="65"/>
        <v/>
      </c>
      <c r="IH49" s="674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677" t="str" cm="1">
        <f t="array" ref="II49">IFERROR(IF($IH49&lt;1,$IH49+LARGE((IF($M$9:$M$150="",0,$M$9:$M$150)-MOD(IF($M$9:$M$150="",0,$M$9:$M$150),1)),1),$IH49),"")</f>
        <v/>
      </c>
      <c r="IJ49" s="482" t="str">
        <f t="shared" si="62"/>
        <v/>
      </c>
      <c r="IK49" s="482" t="str">
        <f t="shared" si="20"/>
        <v/>
      </c>
      <c r="IL49" s="670" t="str">
        <f t="shared" si="68"/>
        <v/>
      </c>
      <c r="IM49" s="702"/>
      <c r="IN49" s="5" t="str">
        <f t="shared" si="69"/>
        <v/>
      </c>
      <c r="IO49" s="714"/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670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05" t="str">
        <f t="shared" si="77"/>
        <v/>
      </c>
    </row>
    <row r="50" spans="1:259" ht="15" customHeight="1" x14ac:dyDescent="0.25">
      <c r="A50" s="82"/>
      <c r="B50" s="578" t="str">
        <f t="shared" si="79"/>
        <v/>
      </c>
      <c r="C50" s="572" t="str">
        <f t="shared" si="80"/>
        <v/>
      </c>
      <c r="D50" s="576" t="str">
        <f t="shared" si="81"/>
        <v/>
      </c>
      <c r="E50" s="580" t="str">
        <f t="shared" si="82"/>
        <v/>
      </c>
      <c r="F50" s="572" t="str">
        <f t="shared" si="83"/>
        <v/>
      </c>
      <c r="G50" s="579" t="str">
        <f t="shared" si="84"/>
        <v/>
      </c>
      <c r="H50" s="580" t="str">
        <f t="shared" si="34"/>
        <v/>
      </c>
      <c r="I50" s="482"/>
      <c r="J50" s="483" t="str">
        <v/>
      </c>
      <c r="K50" s="806" t="str">
        <f t="shared" si="66"/>
        <v/>
      </c>
      <c r="M50" s="164" t="str">
        <f t="shared" si="88"/>
        <v/>
      </c>
      <c r="N50" s="575" t="str">
        <f t="shared" si="89"/>
        <v/>
      </c>
      <c r="O50" s="572" t="str">
        <f t="shared" si="90"/>
        <v/>
      </c>
      <c r="P50" s="576" t="str">
        <f t="shared" si="91"/>
        <v/>
      </c>
      <c r="Q50" s="528" t="str">
        <f t="shared" si="92"/>
        <v/>
      </c>
      <c r="R50" s="572" t="str">
        <f t="shared" si="93"/>
        <v/>
      </c>
      <c r="S50" s="577" t="str">
        <f t="shared" si="94"/>
        <v/>
      </c>
      <c r="T50" s="578" t="str">
        <f t="shared" si="95"/>
        <v/>
      </c>
      <c r="U50" s="572" t="str">
        <f t="shared" si="96"/>
        <v/>
      </c>
      <c r="V50" s="579" t="str">
        <f t="shared" si="97"/>
        <v/>
      </c>
      <c r="W50" s="528" t="str">
        <f t="shared" si="98"/>
        <v/>
      </c>
      <c r="X50" s="572" t="str">
        <f t="shared" si="99"/>
        <v/>
      </c>
      <c r="Y50" s="573" t="str">
        <f t="shared" si="85"/>
        <v/>
      </c>
      <c r="Z50" s="575" t="str">
        <f t="shared" si="100"/>
        <v/>
      </c>
      <c r="AA50" s="572" t="str">
        <f t="shared" si="101"/>
        <v/>
      </c>
      <c r="AB50" s="572" t="str">
        <f t="shared" si="102"/>
        <v/>
      </c>
      <c r="AC50" s="579" t="str">
        <f t="shared" si="103"/>
        <v/>
      </c>
      <c r="AD50" s="580" t="str">
        <f t="shared" si="104"/>
        <v/>
      </c>
      <c r="AE50" s="572" t="str">
        <f t="shared" si="105"/>
        <v/>
      </c>
      <c r="AF50" s="576" t="str">
        <f t="shared" si="106"/>
        <v/>
      </c>
      <c r="AG50" s="545" t="str">
        <f t="shared" si="107"/>
        <v/>
      </c>
      <c r="AH50" s="546" t="str">
        <f t="shared" si="108"/>
        <v/>
      </c>
      <c r="AI50" s="528" t="str">
        <f t="shared" si="109"/>
        <v/>
      </c>
      <c r="AJ50" s="529" t="str">
        <f t="shared" si="110"/>
        <v/>
      </c>
      <c r="AK50" s="578" t="str">
        <f t="shared" si="111"/>
        <v/>
      </c>
      <c r="AL50" s="572" t="str">
        <f t="shared" si="112"/>
        <v/>
      </c>
      <c r="AM50" s="577" t="str">
        <f t="shared" si="113"/>
        <v/>
      </c>
      <c r="AN50" s="524" t="str">
        <f t="shared" si="86"/>
        <v/>
      </c>
      <c r="AO50" s="525" t="str">
        <f t="shared" si="17"/>
        <v/>
      </c>
      <c r="AP50" s="528" t="str">
        <f t="shared" si="114"/>
        <v/>
      </c>
      <c r="AQ50" s="529" t="str">
        <f t="shared" si="60"/>
        <v/>
      </c>
      <c r="AS50" s="598" t="str">
        <f t="shared" si="115"/>
        <v/>
      </c>
      <c r="AT50" s="602" t="str">
        <f t="shared" si="61"/>
        <v/>
      </c>
      <c r="AU50" s="515" t="str">
        <f t="shared" si="87"/>
        <v/>
      </c>
      <c r="AV50" s="164" t="str">
        <f t="shared" si="116"/>
        <v/>
      </c>
      <c r="AW50" s="545" t="str">
        <f>IF($M50="","",W50-INDEX(Assy.Model!$W$9:$W$150,MATCH('SN#.Run#'!$M50,Assy.Model!$M$9:$M$150,0)))</f>
        <v/>
      </c>
      <c r="AX50" s="628" t="str">
        <f>IF($M50="","",X50-INDEX(Assy.Model!$X$9:$X$150,MATCH('SN#.Run#'!$M50,Assy.Model!$M$9:$M$150,0)))</f>
        <v/>
      </c>
      <c r="AY50" s="629" t="str">
        <f>IF($M50="","",Y50-INDEX(Assy.Model!$Y$9:$Y$150,MATCH('SN#.Run#'!$M50,Assy.Model!$M$9:$M$150,0)))</f>
        <v/>
      </c>
      <c r="AZ50" s="602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10" t="str">
        <f>IF($M50="","",AN50-INDEX(Assy.Model!$AN$9:$AN$150,MATCH('SN#.Run#'!$M50,Assy.Model!$M$9:$M$150,0)))</f>
        <v/>
      </c>
      <c r="BB50" s="525" t="str">
        <f>IF($M50="","",AO50-INDEX(Assy.Model!$AO$9:$AO$150,MATCH('SN#.Run#'!$M50,Assy.Model!$M$9:$M$150,0)))</f>
        <v/>
      </c>
      <c r="BC50" s="619" t="str">
        <f>IF($M50="","",AP50-INDEX(Assy.Model!$AP$9:$AP$150,MATCH('SN#.Run#'!$M50,Assy.Model!$M$9:$M$150,0)))</f>
        <v/>
      </c>
      <c r="BD50" s="419"/>
      <c r="BE50" s="699"/>
      <c r="BF50" s="417"/>
      <c r="BG50" s="417"/>
      <c r="BH50" s="417"/>
      <c r="IE50" s="790" t="str">
        <f>IFERROR(IF($IU50="","",IF($IU50&lt;(((Settings!$C$19/2)*-1)*$IE$8),"Taper","Nose")),"")</f>
        <v/>
      </c>
      <c r="IF50" s="482" t="str">
        <f>IFERROR(IF((((($IW50*COS(RADIANS(180-$IY50)))*COS(RADIANS($IY50)))-(($IX50*SIN(RADIANS(180-$IY50)))*SIN(RADIANS($IY50))))+$IU50)&lt;(((Settings!$C$19+$IF$8)/2)*-1),"Gage",""),"")</f>
        <v/>
      </c>
      <c r="IG50" s="788" t="str">
        <f t="shared" si="65"/>
        <v/>
      </c>
      <c r="IH50" s="674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677" t="str" cm="1">
        <f t="array" ref="II50">IFERROR(IF($IH50&lt;1,$IH50+LARGE((IF($M$9:$M$150="",0,$M$9:$M$150)-MOD(IF($M$9:$M$150="",0,$M$9:$M$150),1)),1),$IH50),"")</f>
        <v/>
      </c>
      <c r="IJ50" s="482" t="str">
        <f t="shared" si="62"/>
        <v/>
      </c>
      <c r="IK50" s="482" t="str">
        <f t="shared" si="20"/>
        <v/>
      </c>
      <c r="IL50" s="670" t="str">
        <f t="shared" si="68"/>
        <v/>
      </c>
      <c r="IM50" s="702"/>
      <c r="IN50" s="5" t="str">
        <f t="shared" si="69"/>
        <v/>
      </c>
      <c r="IO50" s="714"/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670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05" t="str">
        <f t="shared" si="77"/>
        <v/>
      </c>
    </row>
    <row r="51" spans="1:259" ht="15" customHeight="1" x14ac:dyDescent="0.25">
      <c r="A51" s="82"/>
      <c r="B51" s="578" t="str">
        <f t="shared" si="79"/>
        <v/>
      </c>
      <c r="C51" s="572" t="str">
        <f t="shared" si="80"/>
        <v/>
      </c>
      <c r="D51" s="576" t="str">
        <f t="shared" si="81"/>
        <v/>
      </c>
      <c r="E51" s="580" t="str">
        <f t="shared" si="82"/>
        <v/>
      </c>
      <c r="F51" s="572" t="str">
        <f t="shared" si="83"/>
        <v/>
      </c>
      <c r="G51" s="579" t="str">
        <f t="shared" si="84"/>
        <v/>
      </c>
      <c r="H51" s="580" t="str">
        <f t="shared" si="34"/>
        <v/>
      </c>
      <c r="I51" s="482"/>
      <c r="J51" s="483" t="str">
        <v/>
      </c>
      <c r="K51" s="806" t="str">
        <f t="shared" si="66"/>
        <v/>
      </c>
      <c r="M51" s="164" t="str">
        <f t="shared" si="88"/>
        <v/>
      </c>
      <c r="N51" s="575" t="str">
        <f t="shared" si="89"/>
        <v/>
      </c>
      <c r="O51" s="572" t="str">
        <f t="shared" si="90"/>
        <v/>
      </c>
      <c r="P51" s="576" t="str">
        <f t="shared" si="91"/>
        <v/>
      </c>
      <c r="Q51" s="528" t="str">
        <f t="shared" si="92"/>
        <v/>
      </c>
      <c r="R51" s="572" t="str">
        <f t="shared" si="93"/>
        <v/>
      </c>
      <c r="S51" s="577" t="str">
        <f t="shared" si="94"/>
        <v/>
      </c>
      <c r="T51" s="578" t="str">
        <f t="shared" si="95"/>
        <v/>
      </c>
      <c r="U51" s="572" t="str">
        <f t="shared" si="96"/>
        <v/>
      </c>
      <c r="V51" s="579" t="str">
        <f t="shared" si="97"/>
        <v/>
      </c>
      <c r="W51" s="528" t="str">
        <f t="shared" si="98"/>
        <v/>
      </c>
      <c r="X51" s="572" t="str">
        <f t="shared" si="99"/>
        <v/>
      </c>
      <c r="Y51" s="573" t="str">
        <f t="shared" si="85"/>
        <v/>
      </c>
      <c r="Z51" s="575" t="str">
        <f t="shared" si="100"/>
        <v/>
      </c>
      <c r="AA51" s="572" t="str">
        <f t="shared" si="101"/>
        <v/>
      </c>
      <c r="AB51" s="572" t="str">
        <f t="shared" si="102"/>
        <v/>
      </c>
      <c r="AC51" s="579" t="str">
        <f t="shared" si="103"/>
        <v/>
      </c>
      <c r="AD51" s="580" t="str">
        <f t="shared" si="104"/>
        <v/>
      </c>
      <c r="AE51" s="572" t="str">
        <f t="shared" si="105"/>
        <v/>
      </c>
      <c r="AF51" s="576" t="str">
        <f t="shared" si="106"/>
        <v/>
      </c>
      <c r="AG51" s="545" t="str">
        <f t="shared" si="107"/>
        <v/>
      </c>
      <c r="AH51" s="546" t="str">
        <f t="shared" si="108"/>
        <v/>
      </c>
      <c r="AI51" s="528" t="str">
        <f t="shared" si="109"/>
        <v/>
      </c>
      <c r="AJ51" s="529" t="str">
        <f t="shared" si="110"/>
        <v/>
      </c>
      <c r="AK51" s="578" t="str">
        <f t="shared" si="111"/>
        <v/>
      </c>
      <c r="AL51" s="572" t="str">
        <f t="shared" si="112"/>
        <v/>
      </c>
      <c r="AM51" s="577" t="str">
        <f t="shared" si="113"/>
        <v/>
      </c>
      <c r="AN51" s="524" t="str">
        <f t="shared" si="86"/>
        <v/>
      </c>
      <c r="AO51" s="525" t="str">
        <f t="shared" si="17"/>
        <v/>
      </c>
      <c r="AP51" s="528" t="str">
        <f t="shared" si="114"/>
        <v/>
      </c>
      <c r="AQ51" s="529" t="str">
        <f t="shared" si="60"/>
        <v/>
      </c>
      <c r="AS51" s="598" t="str">
        <f t="shared" si="115"/>
        <v/>
      </c>
      <c r="AT51" s="602" t="str">
        <f t="shared" si="61"/>
        <v/>
      </c>
      <c r="AU51" s="515" t="str">
        <f t="shared" si="87"/>
        <v/>
      </c>
      <c r="AV51" s="164" t="str">
        <f t="shared" si="116"/>
        <v/>
      </c>
      <c r="AW51" s="545" t="str">
        <f>IF($M51="","",W51-INDEX(Assy.Model!$W$9:$W$150,MATCH('SN#.Run#'!$M51,Assy.Model!$M$9:$M$150,0)))</f>
        <v/>
      </c>
      <c r="AX51" s="628" t="str">
        <f>IF($M51="","",X51-INDEX(Assy.Model!$X$9:$X$150,MATCH('SN#.Run#'!$M51,Assy.Model!$M$9:$M$150,0)))</f>
        <v/>
      </c>
      <c r="AY51" s="629" t="str">
        <f>IF($M51="","",Y51-INDEX(Assy.Model!$Y$9:$Y$150,MATCH('SN#.Run#'!$M51,Assy.Model!$M$9:$M$150,0)))</f>
        <v/>
      </c>
      <c r="AZ51" s="602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10" t="str">
        <f>IF($M51="","",AN51-INDEX(Assy.Model!$AN$9:$AN$150,MATCH('SN#.Run#'!$M51,Assy.Model!$M$9:$M$150,0)))</f>
        <v/>
      </c>
      <c r="BB51" s="525" t="str">
        <f>IF($M51="","",AO51-INDEX(Assy.Model!$AO$9:$AO$150,MATCH('SN#.Run#'!$M51,Assy.Model!$M$9:$M$150,0)))</f>
        <v/>
      </c>
      <c r="BC51" s="619" t="str">
        <f>IF($M51="","",AP51-INDEX(Assy.Model!$AP$9:$AP$150,MATCH('SN#.Run#'!$M51,Assy.Model!$M$9:$M$150,0)))</f>
        <v/>
      </c>
      <c r="BD51" s="419"/>
      <c r="BE51" s="699"/>
      <c r="BF51" s="417"/>
      <c r="BG51" s="417"/>
      <c r="BH51" s="417"/>
      <c r="IE51" s="790" t="str">
        <f>IFERROR(IF($IU51="","",IF($IU51&lt;(((Settings!$C$19/2)*-1)*$IE$8),"Taper","Nose")),"")</f>
        <v/>
      </c>
      <c r="IF51" s="482" t="str">
        <f>IFERROR(IF((((($IW51*COS(RADIANS(180-$IY51)))*COS(RADIANS($IY51)))-(($IX51*SIN(RADIANS(180-$IY51)))*SIN(RADIANS($IY51))))+$IU51)&lt;(((Settings!$C$19+$IF$8)/2)*-1),"Gage",""),"")</f>
        <v/>
      </c>
      <c r="IG51" s="788" t="str">
        <f t="shared" si="65"/>
        <v/>
      </c>
      <c r="IH51" s="674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677" t="str" cm="1">
        <f t="array" ref="II51">IFERROR(IF($IH51&lt;1,$IH51+LARGE((IF($M$9:$M$150="",0,$M$9:$M$150)-MOD(IF($M$9:$M$150="",0,$M$9:$M$150),1)),1),$IH51),"")</f>
        <v/>
      </c>
      <c r="IJ51" s="482" t="str">
        <f t="shared" si="62"/>
        <v/>
      </c>
      <c r="IK51" s="482" t="str">
        <f t="shared" si="20"/>
        <v/>
      </c>
      <c r="IL51" s="670" t="str">
        <f t="shared" si="68"/>
        <v/>
      </c>
      <c r="IM51" s="702"/>
      <c r="IN51" s="5" t="str">
        <f t="shared" si="69"/>
        <v/>
      </c>
      <c r="IO51" s="714"/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670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05" t="str">
        <f t="shared" si="77"/>
        <v/>
      </c>
    </row>
    <row r="52" spans="1:259" ht="15" customHeight="1" x14ac:dyDescent="0.25">
      <c r="A52" s="82"/>
      <c r="B52" s="578" t="str">
        <f t="shared" si="79"/>
        <v/>
      </c>
      <c r="C52" s="572" t="str">
        <f t="shared" si="80"/>
        <v/>
      </c>
      <c r="D52" s="576" t="str">
        <f t="shared" si="81"/>
        <v/>
      </c>
      <c r="E52" s="580" t="str">
        <f t="shared" si="82"/>
        <v/>
      </c>
      <c r="F52" s="572" t="str">
        <f t="shared" si="83"/>
        <v/>
      </c>
      <c r="G52" s="579" t="str">
        <f t="shared" si="84"/>
        <v/>
      </c>
      <c r="H52" s="580" t="str">
        <f t="shared" si="34"/>
        <v/>
      </c>
      <c r="I52" s="482"/>
      <c r="J52" s="483" t="str">
        <v/>
      </c>
      <c r="K52" s="806" t="str">
        <f t="shared" si="66"/>
        <v/>
      </c>
      <c r="M52" s="164" t="str">
        <f t="shared" si="88"/>
        <v/>
      </c>
      <c r="N52" s="575" t="str">
        <f t="shared" si="89"/>
        <v/>
      </c>
      <c r="O52" s="572" t="str">
        <f t="shared" si="90"/>
        <v/>
      </c>
      <c r="P52" s="576" t="str">
        <f t="shared" si="91"/>
        <v/>
      </c>
      <c r="Q52" s="528" t="str">
        <f t="shared" si="92"/>
        <v/>
      </c>
      <c r="R52" s="572" t="str">
        <f t="shared" si="93"/>
        <v/>
      </c>
      <c r="S52" s="577" t="str">
        <f t="shared" si="94"/>
        <v/>
      </c>
      <c r="T52" s="578" t="str">
        <f t="shared" si="95"/>
        <v/>
      </c>
      <c r="U52" s="572" t="str">
        <f t="shared" si="96"/>
        <v/>
      </c>
      <c r="V52" s="579" t="str">
        <f t="shared" si="97"/>
        <v/>
      </c>
      <c r="W52" s="528" t="str">
        <f t="shared" si="98"/>
        <v/>
      </c>
      <c r="X52" s="572" t="str">
        <f t="shared" si="99"/>
        <v/>
      </c>
      <c r="Y52" s="573" t="str">
        <f t="shared" si="85"/>
        <v/>
      </c>
      <c r="Z52" s="575" t="str">
        <f t="shared" si="100"/>
        <v/>
      </c>
      <c r="AA52" s="572" t="str">
        <f t="shared" si="101"/>
        <v/>
      </c>
      <c r="AB52" s="572" t="str">
        <f t="shared" si="102"/>
        <v/>
      </c>
      <c r="AC52" s="579" t="str">
        <f t="shared" si="103"/>
        <v/>
      </c>
      <c r="AD52" s="580" t="str">
        <f t="shared" si="104"/>
        <v/>
      </c>
      <c r="AE52" s="572" t="str">
        <f t="shared" si="105"/>
        <v/>
      </c>
      <c r="AF52" s="576" t="str">
        <f t="shared" si="106"/>
        <v/>
      </c>
      <c r="AG52" s="545" t="str">
        <f t="shared" si="107"/>
        <v/>
      </c>
      <c r="AH52" s="546" t="str">
        <f t="shared" si="108"/>
        <v/>
      </c>
      <c r="AI52" s="528" t="str">
        <f t="shared" si="109"/>
        <v/>
      </c>
      <c r="AJ52" s="529" t="str">
        <f t="shared" si="110"/>
        <v/>
      </c>
      <c r="AK52" s="578" t="str">
        <f t="shared" si="111"/>
        <v/>
      </c>
      <c r="AL52" s="572" t="str">
        <f t="shared" si="112"/>
        <v/>
      </c>
      <c r="AM52" s="577" t="str">
        <f t="shared" si="113"/>
        <v/>
      </c>
      <c r="AN52" s="524" t="str">
        <f t="shared" si="86"/>
        <v/>
      </c>
      <c r="AO52" s="525" t="str">
        <f t="shared" si="17"/>
        <v/>
      </c>
      <c r="AP52" s="528" t="str">
        <f t="shared" si="114"/>
        <v/>
      </c>
      <c r="AQ52" s="529" t="str">
        <f t="shared" si="60"/>
        <v/>
      </c>
      <c r="AS52" s="598" t="str">
        <f t="shared" si="115"/>
        <v/>
      </c>
      <c r="AT52" s="602" t="str">
        <f t="shared" si="61"/>
        <v/>
      </c>
      <c r="AU52" s="515" t="str">
        <f t="shared" si="87"/>
        <v/>
      </c>
      <c r="AV52" s="164" t="str">
        <f t="shared" si="116"/>
        <v/>
      </c>
      <c r="AW52" s="545" t="str">
        <f>IF($M52="","",W52-INDEX(Assy.Model!$W$9:$W$150,MATCH('SN#.Run#'!$M52,Assy.Model!$M$9:$M$150,0)))</f>
        <v/>
      </c>
      <c r="AX52" s="628" t="str">
        <f>IF($M52="","",X52-INDEX(Assy.Model!$X$9:$X$150,MATCH('SN#.Run#'!$M52,Assy.Model!$M$9:$M$150,0)))</f>
        <v/>
      </c>
      <c r="AY52" s="629" t="str">
        <f>IF($M52="","",Y52-INDEX(Assy.Model!$Y$9:$Y$150,MATCH('SN#.Run#'!$M52,Assy.Model!$M$9:$M$150,0)))</f>
        <v/>
      </c>
      <c r="AZ52" s="602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10" t="str">
        <f>IF($M52="","",AN52-INDEX(Assy.Model!$AN$9:$AN$150,MATCH('SN#.Run#'!$M52,Assy.Model!$M$9:$M$150,0)))</f>
        <v/>
      </c>
      <c r="BB52" s="525" t="str">
        <f>IF($M52="","",AO52-INDEX(Assy.Model!$AO$9:$AO$150,MATCH('SN#.Run#'!$M52,Assy.Model!$M$9:$M$150,0)))</f>
        <v/>
      </c>
      <c r="BC52" s="619" t="str">
        <f>IF($M52="","",AP52-INDEX(Assy.Model!$AP$9:$AP$150,MATCH('SN#.Run#'!$M52,Assy.Model!$M$9:$M$150,0)))</f>
        <v/>
      </c>
      <c r="BD52" s="419"/>
      <c r="BE52" s="699"/>
      <c r="BF52" s="417"/>
      <c r="BG52" s="417"/>
      <c r="BH52" s="417"/>
      <c r="IE52" s="790" t="str">
        <f>IFERROR(IF($IU52="","",IF($IU52&lt;(((Settings!$C$19/2)*-1)*$IE$8),"Taper","Nose")),"")</f>
        <v/>
      </c>
      <c r="IF52" s="482" t="str">
        <f>IFERROR(IF((((($IW52*COS(RADIANS(180-$IY52)))*COS(RADIANS($IY52)))-(($IX52*SIN(RADIANS(180-$IY52)))*SIN(RADIANS($IY52))))+$IU52)&lt;(((Settings!$C$19+$IF$8)/2)*-1),"Gage",""),"")</f>
        <v/>
      </c>
      <c r="IG52" s="788" t="str">
        <f t="shared" si="65"/>
        <v/>
      </c>
      <c r="IH52" s="674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677" t="str" cm="1">
        <f t="array" ref="II52">IFERROR(IF($IH52&lt;1,$IH52+LARGE((IF($M$9:$M$150="",0,$M$9:$M$150)-MOD(IF($M$9:$M$150="",0,$M$9:$M$150),1)),1),$IH52),"")</f>
        <v/>
      </c>
      <c r="IJ52" s="482" t="str">
        <f t="shared" si="62"/>
        <v/>
      </c>
      <c r="IK52" s="482" t="str">
        <f t="shared" si="20"/>
        <v/>
      </c>
      <c r="IL52" s="670" t="str">
        <f t="shared" si="68"/>
        <v/>
      </c>
      <c r="IM52" s="702"/>
      <c r="IN52" s="5" t="str">
        <f t="shared" si="69"/>
        <v/>
      </c>
      <c r="IO52" s="714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670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05" t="str">
        <f t="shared" si="77"/>
        <v/>
      </c>
    </row>
    <row r="53" spans="1:259" ht="15" customHeight="1" x14ac:dyDescent="0.25">
      <c r="A53" s="82"/>
      <c r="B53" s="578" t="str">
        <f t="shared" si="79"/>
        <v/>
      </c>
      <c r="C53" s="572" t="str">
        <f t="shared" si="80"/>
        <v/>
      </c>
      <c r="D53" s="576" t="str">
        <f t="shared" si="81"/>
        <v/>
      </c>
      <c r="E53" s="580" t="str">
        <f t="shared" si="82"/>
        <v/>
      </c>
      <c r="F53" s="572" t="str">
        <f t="shared" si="83"/>
        <v/>
      </c>
      <c r="G53" s="579" t="str">
        <f t="shared" si="84"/>
        <v/>
      </c>
      <c r="H53" s="580" t="str">
        <f t="shared" si="34"/>
        <v/>
      </c>
      <c r="I53" s="482"/>
      <c r="J53" s="483" t="str">
        <v/>
      </c>
      <c r="K53" s="806" t="str">
        <f t="shared" si="66"/>
        <v/>
      </c>
      <c r="M53" s="164" t="str">
        <f t="shared" si="88"/>
        <v/>
      </c>
      <c r="N53" s="575" t="str">
        <f t="shared" si="89"/>
        <v/>
      </c>
      <c r="O53" s="572" t="str">
        <f t="shared" si="90"/>
        <v/>
      </c>
      <c r="P53" s="576" t="str">
        <f t="shared" si="91"/>
        <v/>
      </c>
      <c r="Q53" s="528" t="str">
        <f t="shared" si="92"/>
        <v/>
      </c>
      <c r="R53" s="572" t="str">
        <f t="shared" si="93"/>
        <v/>
      </c>
      <c r="S53" s="577" t="str">
        <f t="shared" si="94"/>
        <v/>
      </c>
      <c r="T53" s="578" t="str">
        <f t="shared" si="95"/>
        <v/>
      </c>
      <c r="U53" s="572" t="str">
        <f t="shared" si="96"/>
        <v/>
      </c>
      <c r="V53" s="579" t="str">
        <f t="shared" si="97"/>
        <v/>
      </c>
      <c r="W53" s="528" t="str">
        <f t="shared" si="98"/>
        <v/>
      </c>
      <c r="X53" s="572" t="str">
        <f t="shared" si="99"/>
        <v/>
      </c>
      <c r="Y53" s="573" t="str">
        <f t="shared" si="85"/>
        <v/>
      </c>
      <c r="Z53" s="575" t="str">
        <f t="shared" si="100"/>
        <v/>
      </c>
      <c r="AA53" s="572" t="str">
        <f t="shared" si="101"/>
        <v/>
      </c>
      <c r="AB53" s="572" t="str">
        <f t="shared" si="102"/>
        <v/>
      </c>
      <c r="AC53" s="579" t="str">
        <f t="shared" si="103"/>
        <v/>
      </c>
      <c r="AD53" s="580" t="str">
        <f t="shared" si="104"/>
        <v/>
      </c>
      <c r="AE53" s="572" t="str">
        <f t="shared" si="105"/>
        <v/>
      </c>
      <c r="AF53" s="576" t="str">
        <f t="shared" si="106"/>
        <v/>
      </c>
      <c r="AG53" s="545" t="str">
        <f t="shared" si="107"/>
        <v/>
      </c>
      <c r="AH53" s="546" t="str">
        <f t="shared" si="108"/>
        <v/>
      </c>
      <c r="AI53" s="528" t="str">
        <f t="shared" si="109"/>
        <v/>
      </c>
      <c r="AJ53" s="529" t="str">
        <f t="shared" si="110"/>
        <v/>
      </c>
      <c r="AK53" s="578" t="str">
        <f t="shared" si="111"/>
        <v/>
      </c>
      <c r="AL53" s="572" t="str">
        <f t="shared" si="112"/>
        <v/>
      </c>
      <c r="AM53" s="577" t="str">
        <f t="shared" si="113"/>
        <v/>
      </c>
      <c r="AN53" s="524" t="str">
        <f t="shared" si="86"/>
        <v/>
      </c>
      <c r="AO53" s="525" t="str">
        <f t="shared" si="17"/>
        <v/>
      </c>
      <c r="AP53" s="528" t="str">
        <f t="shared" si="114"/>
        <v/>
      </c>
      <c r="AQ53" s="529" t="str">
        <f t="shared" si="60"/>
        <v/>
      </c>
      <c r="AS53" s="598" t="str">
        <f t="shared" si="115"/>
        <v/>
      </c>
      <c r="AT53" s="602" t="str">
        <f t="shared" si="61"/>
        <v/>
      </c>
      <c r="AU53" s="515" t="str">
        <f t="shared" si="87"/>
        <v/>
      </c>
      <c r="AV53" s="164" t="str">
        <f t="shared" si="116"/>
        <v/>
      </c>
      <c r="AW53" s="545" t="str">
        <f>IF($M53="","",W53-INDEX(Assy.Model!$W$9:$W$150,MATCH('SN#.Run#'!$M53,Assy.Model!$M$9:$M$150,0)))</f>
        <v/>
      </c>
      <c r="AX53" s="628" t="str">
        <f>IF($M53="","",X53-INDEX(Assy.Model!$X$9:$X$150,MATCH('SN#.Run#'!$M53,Assy.Model!$M$9:$M$150,0)))</f>
        <v/>
      </c>
      <c r="AY53" s="629" t="str">
        <f>IF($M53="","",Y53-INDEX(Assy.Model!$Y$9:$Y$150,MATCH('SN#.Run#'!$M53,Assy.Model!$M$9:$M$150,0)))</f>
        <v/>
      </c>
      <c r="AZ53" s="602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10" t="str">
        <f>IF($M53="","",AN53-INDEX(Assy.Model!$AN$9:$AN$150,MATCH('SN#.Run#'!$M53,Assy.Model!$M$9:$M$150,0)))</f>
        <v/>
      </c>
      <c r="BB53" s="525" t="str">
        <f>IF($M53="","",AO53-INDEX(Assy.Model!$AO$9:$AO$150,MATCH('SN#.Run#'!$M53,Assy.Model!$M$9:$M$150,0)))</f>
        <v/>
      </c>
      <c r="BC53" s="619" t="str">
        <f>IF($M53="","",AP53-INDEX(Assy.Model!$AP$9:$AP$150,MATCH('SN#.Run#'!$M53,Assy.Model!$M$9:$M$150,0)))</f>
        <v/>
      </c>
      <c r="BD53" s="419"/>
      <c r="BE53" s="699"/>
      <c r="BF53" s="417"/>
      <c r="BG53" s="417"/>
      <c r="BH53" s="417"/>
      <c r="BI53" s="1"/>
      <c r="IE53" s="790" t="str">
        <f>IFERROR(IF($IU53="","",IF($IU53&lt;(((Settings!$C$19/2)*-1)*$IE$8),"Taper","Nose")),"")</f>
        <v/>
      </c>
      <c r="IF53" s="482" t="str">
        <f>IFERROR(IF((((($IW53*COS(RADIANS(180-$IY53)))*COS(RADIANS($IY53)))-(($IX53*SIN(RADIANS(180-$IY53)))*SIN(RADIANS($IY53))))+$IU53)&lt;(((Settings!$C$19+$IF$8)/2)*-1),"Gage",""),"")</f>
        <v/>
      </c>
      <c r="IG53" s="788" t="str">
        <f t="shared" si="65"/>
        <v/>
      </c>
      <c r="IH53" s="674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677" t="str" cm="1">
        <f t="array" ref="II53">IFERROR(IF($IH53&lt;1,$IH53+LARGE((IF($M$9:$M$150="",0,$M$9:$M$150)-MOD(IF($M$9:$M$150="",0,$M$9:$M$150),1)),1),$IH53),"")</f>
        <v/>
      </c>
      <c r="IJ53" s="482" t="str">
        <f t="shared" si="62"/>
        <v/>
      </c>
      <c r="IK53" s="482" t="str">
        <f t="shared" si="20"/>
        <v/>
      </c>
      <c r="IL53" s="670" t="str">
        <f t="shared" si="68"/>
        <v/>
      </c>
      <c r="IM53" s="702"/>
      <c r="IN53" s="5" t="str">
        <f t="shared" si="69"/>
        <v/>
      </c>
      <c r="IO53" s="714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670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05" t="str">
        <f t="shared" si="77"/>
        <v/>
      </c>
    </row>
    <row r="54" spans="1:259" ht="15" customHeight="1" x14ac:dyDescent="0.25">
      <c r="A54" s="82"/>
      <c r="B54" s="578" t="str">
        <f t="shared" si="79"/>
        <v/>
      </c>
      <c r="C54" s="572" t="str">
        <f t="shared" si="80"/>
        <v/>
      </c>
      <c r="D54" s="576" t="str">
        <f t="shared" si="81"/>
        <v/>
      </c>
      <c r="E54" s="580" t="str">
        <f t="shared" si="82"/>
        <v/>
      </c>
      <c r="F54" s="572" t="str">
        <f t="shared" si="83"/>
        <v/>
      </c>
      <c r="G54" s="579" t="str">
        <f t="shared" si="84"/>
        <v/>
      </c>
      <c r="H54" s="580" t="str">
        <f t="shared" si="34"/>
        <v/>
      </c>
      <c r="I54" s="482"/>
      <c r="J54" s="483" t="str">
        <v/>
      </c>
      <c r="K54" s="806" t="str">
        <f t="shared" si="66"/>
        <v/>
      </c>
      <c r="M54" s="164" t="str">
        <f t="shared" si="88"/>
        <v/>
      </c>
      <c r="N54" s="575" t="str">
        <f t="shared" si="89"/>
        <v/>
      </c>
      <c r="O54" s="572" t="str">
        <f t="shared" si="90"/>
        <v/>
      </c>
      <c r="P54" s="576" t="str">
        <f t="shared" si="91"/>
        <v/>
      </c>
      <c r="Q54" s="528" t="str">
        <f t="shared" si="92"/>
        <v/>
      </c>
      <c r="R54" s="572" t="str">
        <f t="shared" si="93"/>
        <v/>
      </c>
      <c r="S54" s="577" t="str">
        <f t="shared" si="94"/>
        <v/>
      </c>
      <c r="T54" s="578" t="str">
        <f t="shared" si="95"/>
        <v/>
      </c>
      <c r="U54" s="572" t="str">
        <f t="shared" si="96"/>
        <v/>
      </c>
      <c r="V54" s="579" t="str">
        <f t="shared" si="97"/>
        <v/>
      </c>
      <c r="W54" s="528" t="str">
        <f t="shared" si="98"/>
        <v/>
      </c>
      <c r="X54" s="572" t="str">
        <f t="shared" si="99"/>
        <v/>
      </c>
      <c r="Y54" s="573" t="str">
        <f t="shared" si="85"/>
        <v/>
      </c>
      <c r="Z54" s="575" t="str">
        <f t="shared" si="100"/>
        <v/>
      </c>
      <c r="AA54" s="572" t="str">
        <f t="shared" si="101"/>
        <v/>
      </c>
      <c r="AB54" s="572" t="str">
        <f t="shared" si="102"/>
        <v/>
      </c>
      <c r="AC54" s="579" t="str">
        <f t="shared" si="103"/>
        <v/>
      </c>
      <c r="AD54" s="580" t="str">
        <f t="shared" si="104"/>
        <v/>
      </c>
      <c r="AE54" s="572" t="str">
        <f t="shared" si="105"/>
        <v/>
      </c>
      <c r="AF54" s="576" t="str">
        <f t="shared" si="106"/>
        <v/>
      </c>
      <c r="AG54" s="545" t="str">
        <f t="shared" si="107"/>
        <v/>
      </c>
      <c r="AH54" s="546" t="str">
        <f t="shared" si="108"/>
        <v/>
      </c>
      <c r="AI54" s="528" t="str">
        <f t="shared" si="109"/>
        <v/>
      </c>
      <c r="AJ54" s="529" t="str">
        <f t="shared" si="110"/>
        <v/>
      </c>
      <c r="AK54" s="578" t="str">
        <f t="shared" si="111"/>
        <v/>
      </c>
      <c r="AL54" s="572" t="str">
        <f t="shared" si="112"/>
        <v/>
      </c>
      <c r="AM54" s="577" t="str">
        <f t="shared" si="113"/>
        <v/>
      </c>
      <c r="AN54" s="524" t="str">
        <f t="shared" si="86"/>
        <v/>
      </c>
      <c r="AO54" s="525" t="str">
        <f t="shared" si="17"/>
        <v/>
      </c>
      <c r="AP54" s="528" t="str">
        <f t="shared" si="114"/>
        <v/>
      </c>
      <c r="AQ54" s="529" t="str">
        <f t="shared" si="60"/>
        <v/>
      </c>
      <c r="AS54" s="598" t="str">
        <f t="shared" si="115"/>
        <v/>
      </c>
      <c r="AT54" s="602" t="str">
        <f t="shared" si="61"/>
        <v/>
      </c>
      <c r="AU54" s="515" t="str">
        <f t="shared" si="87"/>
        <v/>
      </c>
      <c r="AV54" s="164" t="str">
        <f t="shared" si="116"/>
        <v/>
      </c>
      <c r="AW54" s="545" t="str">
        <f>IF($M54="","",W54-INDEX(Assy.Model!$W$9:$W$150,MATCH('SN#.Run#'!$M54,Assy.Model!$M$9:$M$150,0)))</f>
        <v/>
      </c>
      <c r="AX54" s="628" t="str">
        <f>IF($M54="","",X54-INDEX(Assy.Model!$X$9:$X$150,MATCH('SN#.Run#'!$M54,Assy.Model!$M$9:$M$150,0)))</f>
        <v/>
      </c>
      <c r="AY54" s="629" t="str">
        <f>IF($M54="","",Y54-INDEX(Assy.Model!$Y$9:$Y$150,MATCH('SN#.Run#'!$M54,Assy.Model!$M$9:$M$150,0)))</f>
        <v/>
      </c>
      <c r="AZ54" s="602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10" t="str">
        <f>IF($M54="","",AN54-INDEX(Assy.Model!$AN$9:$AN$150,MATCH('SN#.Run#'!$M54,Assy.Model!$M$9:$M$150,0)))</f>
        <v/>
      </c>
      <c r="BB54" s="525" t="str">
        <f>IF($M54="","",AO54-INDEX(Assy.Model!$AO$9:$AO$150,MATCH('SN#.Run#'!$M54,Assy.Model!$M$9:$M$150,0)))</f>
        <v/>
      </c>
      <c r="BC54" s="619" t="str">
        <f>IF($M54="","",AP54-INDEX(Assy.Model!$AP$9:$AP$150,MATCH('SN#.Run#'!$M54,Assy.Model!$M$9:$M$150,0)))</f>
        <v/>
      </c>
      <c r="BD54" s="419"/>
      <c r="BE54" s="699"/>
      <c r="BF54" s="417"/>
      <c r="BG54" s="417"/>
      <c r="BH54" s="417"/>
      <c r="IE54" s="790" t="str">
        <f>IFERROR(IF($IU54="","",IF($IU54&lt;(((Settings!$C$19/2)*-1)*$IE$8),"Taper","Nose")),"")</f>
        <v/>
      </c>
      <c r="IF54" s="482" t="str">
        <f>IFERROR(IF((((($IW54*COS(RADIANS(180-$IY54)))*COS(RADIANS($IY54)))-(($IX54*SIN(RADIANS(180-$IY54)))*SIN(RADIANS($IY54))))+$IU54)&lt;(((Settings!$C$19+$IF$8)/2)*-1),"Gage",""),"")</f>
        <v/>
      </c>
      <c r="IG54" s="788" t="str">
        <f t="shared" si="65"/>
        <v/>
      </c>
      <c r="IH54" s="674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677" t="str" cm="1">
        <f t="array" ref="II54">IFERROR(IF($IH54&lt;1,$IH54+LARGE((IF($M$9:$M$150="",0,$M$9:$M$150)-MOD(IF($M$9:$M$150="",0,$M$9:$M$150),1)),1),$IH54),"")</f>
        <v/>
      </c>
      <c r="IJ54" s="482" t="str">
        <f t="shared" si="62"/>
        <v/>
      </c>
      <c r="IK54" s="482" t="str">
        <f t="shared" si="20"/>
        <v/>
      </c>
      <c r="IL54" s="670" t="str">
        <f t="shared" si="68"/>
        <v/>
      </c>
      <c r="IM54" s="702"/>
      <c r="IN54" s="5" t="str">
        <f t="shared" si="69"/>
        <v/>
      </c>
      <c r="IO54" s="714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670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05" t="str">
        <f t="shared" si="77"/>
        <v/>
      </c>
    </row>
    <row r="55" spans="1:259" ht="15" customHeight="1" x14ac:dyDescent="0.25">
      <c r="A55" s="82"/>
      <c r="B55" s="578" t="str">
        <f t="shared" si="79"/>
        <v/>
      </c>
      <c r="C55" s="572" t="str">
        <f t="shared" si="80"/>
        <v/>
      </c>
      <c r="D55" s="576" t="str">
        <f t="shared" si="81"/>
        <v/>
      </c>
      <c r="E55" s="580" t="str">
        <f t="shared" si="82"/>
        <v/>
      </c>
      <c r="F55" s="572" t="str">
        <f t="shared" si="83"/>
        <v/>
      </c>
      <c r="G55" s="579" t="str">
        <f t="shared" si="84"/>
        <v/>
      </c>
      <c r="H55" s="580" t="str">
        <f t="shared" si="34"/>
        <v/>
      </c>
      <c r="I55" s="482"/>
      <c r="J55" s="483" t="str">
        <v/>
      </c>
      <c r="K55" s="806" t="str">
        <f t="shared" si="66"/>
        <v/>
      </c>
      <c r="M55" s="164" t="str">
        <f t="shared" si="88"/>
        <v/>
      </c>
      <c r="N55" s="575" t="str">
        <f t="shared" si="89"/>
        <v/>
      </c>
      <c r="O55" s="572" t="str">
        <f t="shared" si="90"/>
        <v/>
      </c>
      <c r="P55" s="576" t="str">
        <f t="shared" si="91"/>
        <v/>
      </c>
      <c r="Q55" s="528" t="str">
        <f t="shared" si="92"/>
        <v/>
      </c>
      <c r="R55" s="572" t="str">
        <f t="shared" si="93"/>
        <v/>
      </c>
      <c r="S55" s="577" t="str">
        <f t="shared" si="94"/>
        <v/>
      </c>
      <c r="T55" s="578" t="str">
        <f t="shared" si="95"/>
        <v/>
      </c>
      <c r="U55" s="572" t="str">
        <f t="shared" si="96"/>
        <v/>
      </c>
      <c r="V55" s="579" t="str">
        <f t="shared" si="97"/>
        <v/>
      </c>
      <c r="W55" s="528" t="str">
        <f t="shared" si="98"/>
        <v/>
      </c>
      <c r="X55" s="572" t="str">
        <f t="shared" si="99"/>
        <v/>
      </c>
      <c r="Y55" s="573" t="str">
        <f t="shared" si="85"/>
        <v/>
      </c>
      <c r="Z55" s="575" t="str">
        <f t="shared" si="100"/>
        <v/>
      </c>
      <c r="AA55" s="572" t="str">
        <f t="shared" si="101"/>
        <v/>
      </c>
      <c r="AB55" s="572" t="str">
        <f t="shared" si="102"/>
        <v/>
      </c>
      <c r="AC55" s="579" t="str">
        <f t="shared" si="103"/>
        <v/>
      </c>
      <c r="AD55" s="580" t="str">
        <f t="shared" si="104"/>
        <v/>
      </c>
      <c r="AE55" s="572" t="str">
        <f t="shared" si="105"/>
        <v/>
      </c>
      <c r="AF55" s="576" t="str">
        <f t="shared" si="106"/>
        <v/>
      </c>
      <c r="AG55" s="545" t="str">
        <f t="shared" si="107"/>
        <v/>
      </c>
      <c r="AH55" s="546" t="str">
        <f t="shared" si="108"/>
        <v/>
      </c>
      <c r="AI55" s="528" t="str">
        <f t="shared" si="109"/>
        <v/>
      </c>
      <c r="AJ55" s="529" t="str">
        <f t="shared" si="110"/>
        <v/>
      </c>
      <c r="AK55" s="578" t="str">
        <f t="shared" si="111"/>
        <v/>
      </c>
      <c r="AL55" s="572" t="str">
        <f t="shared" si="112"/>
        <v/>
      </c>
      <c r="AM55" s="577" t="str">
        <f t="shared" si="113"/>
        <v/>
      </c>
      <c r="AN55" s="524" t="str">
        <f t="shared" si="86"/>
        <v/>
      </c>
      <c r="AO55" s="525" t="str">
        <f t="shared" si="17"/>
        <v/>
      </c>
      <c r="AP55" s="528" t="str">
        <f t="shared" si="114"/>
        <v/>
      </c>
      <c r="AQ55" s="529" t="str">
        <f t="shared" si="60"/>
        <v/>
      </c>
      <c r="AS55" s="598" t="str">
        <f t="shared" si="115"/>
        <v/>
      </c>
      <c r="AT55" s="602" t="str">
        <f t="shared" si="61"/>
        <v/>
      </c>
      <c r="AU55" s="515" t="str">
        <f t="shared" si="87"/>
        <v/>
      </c>
      <c r="AV55" s="164" t="str">
        <f t="shared" si="116"/>
        <v/>
      </c>
      <c r="AW55" s="545" t="str">
        <f>IF($M55="","",W55-INDEX(Assy.Model!$W$9:$W$150,MATCH('SN#.Run#'!$M55,Assy.Model!$M$9:$M$150,0)))</f>
        <v/>
      </c>
      <c r="AX55" s="628" t="str">
        <f>IF($M55="","",X55-INDEX(Assy.Model!$X$9:$X$150,MATCH('SN#.Run#'!$M55,Assy.Model!$M$9:$M$150,0)))</f>
        <v/>
      </c>
      <c r="AY55" s="629" t="str">
        <f>IF($M55="","",Y55-INDEX(Assy.Model!$Y$9:$Y$150,MATCH('SN#.Run#'!$M55,Assy.Model!$M$9:$M$150,0)))</f>
        <v/>
      </c>
      <c r="AZ55" s="602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10" t="str">
        <f>IF($M55="","",AN55-INDEX(Assy.Model!$AN$9:$AN$150,MATCH('SN#.Run#'!$M55,Assy.Model!$M$9:$M$150,0)))</f>
        <v/>
      </c>
      <c r="BB55" s="525" t="str">
        <f>IF($M55="","",AO55-INDEX(Assy.Model!$AO$9:$AO$150,MATCH('SN#.Run#'!$M55,Assy.Model!$M$9:$M$150,0)))</f>
        <v/>
      </c>
      <c r="BC55" s="619" t="str">
        <f>IF($M55="","",AP55-INDEX(Assy.Model!$AP$9:$AP$150,MATCH('SN#.Run#'!$M55,Assy.Model!$M$9:$M$150,0)))</f>
        <v/>
      </c>
      <c r="BD55" s="419"/>
      <c r="BE55" s="699"/>
      <c r="BF55" s="417"/>
      <c r="BG55" s="417"/>
      <c r="BH55" s="417"/>
      <c r="IE55" s="790" t="str">
        <f>IFERROR(IF($IU55="","",IF($IU55&lt;(((Settings!$C$19/2)*-1)*$IE$8),"Taper","Nose")),"")</f>
        <v/>
      </c>
      <c r="IF55" s="482" t="str">
        <f>IFERROR(IF((((($IW55*COS(RADIANS(180-$IY55)))*COS(RADIANS($IY55)))-(($IX55*SIN(RADIANS(180-$IY55)))*SIN(RADIANS($IY55))))+$IU55)&lt;(((Settings!$C$19+$IF$8)/2)*-1),"Gage",""),"")</f>
        <v/>
      </c>
      <c r="IG55" s="788" t="str">
        <f t="shared" si="65"/>
        <v/>
      </c>
      <c r="IH55" s="674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677" t="str" cm="1">
        <f t="array" ref="II55">IFERROR(IF($IH55&lt;1,$IH55+LARGE((IF($M$9:$M$150="",0,$M$9:$M$150)-MOD(IF($M$9:$M$150="",0,$M$9:$M$150),1)),1),$IH55),"")</f>
        <v/>
      </c>
      <c r="IJ55" s="482" t="str">
        <f t="shared" si="62"/>
        <v/>
      </c>
      <c r="IK55" s="482" t="str">
        <f t="shared" si="20"/>
        <v/>
      </c>
      <c r="IL55" s="670" t="str">
        <f t="shared" si="68"/>
        <v/>
      </c>
      <c r="IM55" s="702"/>
      <c r="IN55" s="5" t="str">
        <f t="shared" si="69"/>
        <v/>
      </c>
      <c r="IO55" s="714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670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05" t="str">
        <f t="shared" si="77"/>
        <v/>
      </c>
    </row>
    <row r="56" spans="1:259" ht="15" customHeight="1" x14ac:dyDescent="0.25">
      <c r="A56" s="82"/>
      <c r="B56" s="578" t="str">
        <f t="shared" si="79"/>
        <v/>
      </c>
      <c r="C56" s="572" t="str">
        <f t="shared" si="80"/>
        <v/>
      </c>
      <c r="D56" s="576" t="str">
        <f t="shared" si="81"/>
        <v/>
      </c>
      <c r="E56" s="580" t="str">
        <f t="shared" si="82"/>
        <v/>
      </c>
      <c r="F56" s="572" t="str">
        <f t="shared" si="83"/>
        <v/>
      </c>
      <c r="G56" s="579" t="str">
        <f t="shared" si="84"/>
        <v/>
      </c>
      <c r="H56" s="580" t="str">
        <f t="shared" si="34"/>
        <v/>
      </c>
      <c r="I56" s="482"/>
      <c r="J56" s="483" t="str">
        <v/>
      </c>
      <c r="K56" s="806" t="str">
        <f t="shared" si="66"/>
        <v/>
      </c>
      <c r="M56" s="164" t="str">
        <f t="shared" si="88"/>
        <v/>
      </c>
      <c r="N56" s="575" t="str">
        <f t="shared" si="89"/>
        <v/>
      </c>
      <c r="O56" s="572" t="str">
        <f t="shared" si="90"/>
        <v/>
      </c>
      <c r="P56" s="576" t="str">
        <f t="shared" si="91"/>
        <v/>
      </c>
      <c r="Q56" s="528" t="str">
        <f t="shared" si="92"/>
        <v/>
      </c>
      <c r="R56" s="572" t="str">
        <f t="shared" si="93"/>
        <v/>
      </c>
      <c r="S56" s="577" t="str">
        <f t="shared" si="94"/>
        <v/>
      </c>
      <c r="T56" s="578" t="str">
        <f t="shared" si="95"/>
        <v/>
      </c>
      <c r="U56" s="572" t="str">
        <f t="shared" si="96"/>
        <v/>
      </c>
      <c r="V56" s="579" t="str">
        <f t="shared" si="97"/>
        <v/>
      </c>
      <c r="W56" s="528" t="str">
        <f t="shared" si="98"/>
        <v/>
      </c>
      <c r="X56" s="572" t="str">
        <f t="shared" si="99"/>
        <v/>
      </c>
      <c r="Y56" s="573" t="str">
        <f t="shared" si="85"/>
        <v/>
      </c>
      <c r="Z56" s="575" t="str">
        <f t="shared" si="100"/>
        <v/>
      </c>
      <c r="AA56" s="572" t="str">
        <f t="shared" si="101"/>
        <v/>
      </c>
      <c r="AB56" s="572" t="str">
        <f t="shared" si="102"/>
        <v/>
      </c>
      <c r="AC56" s="579" t="str">
        <f t="shared" si="103"/>
        <v/>
      </c>
      <c r="AD56" s="580" t="str">
        <f t="shared" si="104"/>
        <v/>
      </c>
      <c r="AE56" s="572" t="str">
        <f t="shared" si="105"/>
        <v/>
      </c>
      <c r="AF56" s="576" t="str">
        <f t="shared" si="106"/>
        <v/>
      </c>
      <c r="AG56" s="545" t="str">
        <f t="shared" si="107"/>
        <v/>
      </c>
      <c r="AH56" s="546" t="str">
        <f t="shared" si="108"/>
        <v/>
      </c>
      <c r="AI56" s="528" t="str">
        <f t="shared" si="109"/>
        <v/>
      </c>
      <c r="AJ56" s="529" t="str">
        <f t="shared" si="110"/>
        <v/>
      </c>
      <c r="AK56" s="578" t="str">
        <f t="shared" si="111"/>
        <v/>
      </c>
      <c r="AL56" s="572" t="str">
        <f t="shared" si="112"/>
        <v/>
      </c>
      <c r="AM56" s="577" t="str">
        <f t="shared" si="113"/>
        <v/>
      </c>
      <c r="AN56" s="524" t="str">
        <f t="shared" si="86"/>
        <v/>
      </c>
      <c r="AO56" s="525" t="str">
        <f t="shared" si="17"/>
        <v/>
      </c>
      <c r="AP56" s="528" t="str">
        <f t="shared" si="114"/>
        <v/>
      </c>
      <c r="AQ56" s="529" t="str">
        <f t="shared" si="60"/>
        <v/>
      </c>
      <c r="AS56" s="598" t="str">
        <f t="shared" si="115"/>
        <v/>
      </c>
      <c r="AT56" s="602" t="str">
        <f t="shared" si="61"/>
        <v/>
      </c>
      <c r="AU56" s="515" t="str">
        <f t="shared" si="87"/>
        <v/>
      </c>
      <c r="AV56" s="164" t="str">
        <f t="shared" si="116"/>
        <v/>
      </c>
      <c r="AW56" s="545" t="str">
        <f>IF($M56="","",W56-INDEX(Assy.Model!$W$9:$W$150,MATCH('SN#.Run#'!$M56,Assy.Model!$M$9:$M$150,0)))</f>
        <v/>
      </c>
      <c r="AX56" s="628" t="str">
        <f>IF($M56="","",X56-INDEX(Assy.Model!$X$9:$X$150,MATCH('SN#.Run#'!$M56,Assy.Model!$M$9:$M$150,0)))</f>
        <v/>
      </c>
      <c r="AY56" s="629" t="str">
        <f>IF($M56="","",Y56-INDEX(Assy.Model!$Y$9:$Y$150,MATCH('SN#.Run#'!$M56,Assy.Model!$M$9:$M$150,0)))</f>
        <v/>
      </c>
      <c r="AZ56" s="602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10" t="str">
        <f>IF($M56="","",AN56-INDEX(Assy.Model!$AN$9:$AN$150,MATCH('SN#.Run#'!$M56,Assy.Model!$M$9:$M$150,0)))</f>
        <v/>
      </c>
      <c r="BB56" s="525" t="str">
        <f>IF($M56="","",AO56-INDEX(Assy.Model!$AO$9:$AO$150,MATCH('SN#.Run#'!$M56,Assy.Model!$M$9:$M$150,0)))</f>
        <v/>
      </c>
      <c r="BC56" s="619" t="str">
        <f>IF($M56="","",AP56-INDEX(Assy.Model!$AP$9:$AP$150,MATCH('SN#.Run#'!$M56,Assy.Model!$M$9:$M$150,0)))</f>
        <v/>
      </c>
      <c r="BD56" s="419"/>
      <c r="BE56" s="699"/>
      <c r="BF56" s="417"/>
      <c r="BG56" s="417"/>
      <c r="BH56" s="417"/>
      <c r="IE56" s="790" t="str">
        <f>IFERROR(IF($IU56="","",IF($IU56&lt;(((Settings!$C$19/2)*-1)*$IE$8),"Taper","Nose")),"")</f>
        <v/>
      </c>
      <c r="IF56" s="482" t="str">
        <f>IFERROR(IF((((($IW56*COS(RADIANS(180-$IY56)))*COS(RADIANS($IY56)))-(($IX56*SIN(RADIANS(180-$IY56)))*SIN(RADIANS($IY56))))+$IU56)&lt;(((Settings!$C$19+$IF$8)/2)*-1),"Gage",""),"")</f>
        <v/>
      </c>
      <c r="IG56" s="788" t="str">
        <f t="shared" si="65"/>
        <v/>
      </c>
      <c r="IH56" s="674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677" t="str" cm="1">
        <f t="array" ref="II56">IFERROR(IF($IH56&lt;1,$IH56+LARGE((IF($M$9:$M$150="",0,$M$9:$M$150)-MOD(IF($M$9:$M$150="",0,$M$9:$M$150),1)),1),$IH56),"")</f>
        <v/>
      </c>
      <c r="IJ56" s="482" t="str">
        <f t="shared" si="62"/>
        <v/>
      </c>
      <c r="IK56" s="482" t="str">
        <f t="shared" si="20"/>
        <v/>
      </c>
      <c r="IL56" s="670" t="str">
        <f t="shared" si="68"/>
        <v/>
      </c>
      <c r="IM56" s="702"/>
      <c r="IN56" s="5" t="str">
        <f t="shared" si="69"/>
        <v/>
      </c>
      <c r="IO56" s="714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670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05" t="str">
        <f t="shared" si="77"/>
        <v/>
      </c>
    </row>
    <row r="57" spans="1:259" ht="15" customHeight="1" x14ac:dyDescent="0.25">
      <c r="A57" s="82"/>
      <c r="B57" s="578" t="str">
        <f t="shared" si="79"/>
        <v/>
      </c>
      <c r="C57" s="572" t="str">
        <f t="shared" si="80"/>
        <v/>
      </c>
      <c r="D57" s="576" t="str">
        <f t="shared" si="81"/>
        <v/>
      </c>
      <c r="E57" s="580" t="str">
        <f t="shared" si="82"/>
        <v/>
      </c>
      <c r="F57" s="572" t="str">
        <f t="shared" si="83"/>
        <v/>
      </c>
      <c r="G57" s="579" t="str">
        <f t="shared" si="84"/>
        <v/>
      </c>
      <c r="H57" s="580" t="str">
        <f t="shared" si="34"/>
        <v/>
      </c>
      <c r="I57" s="482"/>
      <c r="J57" s="483" t="str">
        <v/>
      </c>
      <c r="K57" s="806" t="str">
        <f t="shared" si="66"/>
        <v/>
      </c>
      <c r="M57" s="164" t="str">
        <f t="shared" si="88"/>
        <v/>
      </c>
      <c r="N57" s="575" t="str">
        <f t="shared" si="89"/>
        <v/>
      </c>
      <c r="O57" s="572" t="str">
        <f t="shared" si="90"/>
        <v/>
      </c>
      <c r="P57" s="576" t="str">
        <f t="shared" si="91"/>
        <v/>
      </c>
      <c r="Q57" s="528" t="str">
        <f t="shared" si="92"/>
        <v/>
      </c>
      <c r="R57" s="572" t="str">
        <f t="shared" si="93"/>
        <v/>
      </c>
      <c r="S57" s="577" t="str">
        <f t="shared" si="94"/>
        <v/>
      </c>
      <c r="T57" s="578" t="str">
        <f t="shared" si="95"/>
        <v/>
      </c>
      <c r="U57" s="572" t="str">
        <f t="shared" si="96"/>
        <v/>
      </c>
      <c r="V57" s="579" t="str">
        <f t="shared" si="97"/>
        <v/>
      </c>
      <c r="W57" s="528" t="str">
        <f t="shared" si="98"/>
        <v/>
      </c>
      <c r="X57" s="572" t="str">
        <f t="shared" si="99"/>
        <v/>
      </c>
      <c r="Y57" s="573" t="str">
        <f t="shared" si="85"/>
        <v/>
      </c>
      <c r="Z57" s="575" t="str">
        <f t="shared" si="100"/>
        <v/>
      </c>
      <c r="AA57" s="572" t="str">
        <f t="shared" si="101"/>
        <v/>
      </c>
      <c r="AB57" s="572" t="str">
        <f t="shared" si="102"/>
        <v/>
      </c>
      <c r="AC57" s="579" t="str">
        <f t="shared" si="103"/>
        <v/>
      </c>
      <c r="AD57" s="580" t="str">
        <f t="shared" si="104"/>
        <v/>
      </c>
      <c r="AE57" s="572" t="str">
        <f t="shared" si="105"/>
        <v/>
      </c>
      <c r="AF57" s="576" t="str">
        <f t="shared" si="106"/>
        <v/>
      </c>
      <c r="AG57" s="545" t="str">
        <f t="shared" si="107"/>
        <v/>
      </c>
      <c r="AH57" s="546" t="str">
        <f t="shared" si="108"/>
        <v/>
      </c>
      <c r="AI57" s="528" t="str">
        <f t="shared" si="109"/>
        <v/>
      </c>
      <c r="AJ57" s="529" t="str">
        <f t="shared" si="110"/>
        <v/>
      </c>
      <c r="AK57" s="578" t="str">
        <f t="shared" si="111"/>
        <v/>
      </c>
      <c r="AL57" s="572" t="str">
        <f t="shared" si="112"/>
        <v/>
      </c>
      <c r="AM57" s="577" t="str">
        <f t="shared" si="113"/>
        <v/>
      </c>
      <c r="AN57" s="524" t="str">
        <f t="shared" si="86"/>
        <v/>
      </c>
      <c r="AO57" s="525" t="str">
        <f t="shared" si="17"/>
        <v/>
      </c>
      <c r="AP57" s="528" t="str">
        <f t="shared" si="114"/>
        <v/>
      </c>
      <c r="AQ57" s="529" t="str">
        <f t="shared" si="60"/>
        <v/>
      </c>
      <c r="AS57" s="598" t="str">
        <f t="shared" si="115"/>
        <v/>
      </c>
      <c r="AT57" s="602" t="str">
        <f t="shared" si="61"/>
        <v/>
      </c>
      <c r="AU57" s="515" t="str">
        <f t="shared" si="87"/>
        <v/>
      </c>
      <c r="AV57" s="164" t="str">
        <f t="shared" si="116"/>
        <v/>
      </c>
      <c r="AW57" s="545" t="str">
        <f>IF($M57="","",W57-INDEX(Assy.Model!$W$9:$W$150,MATCH('SN#.Run#'!$M57,Assy.Model!$M$9:$M$150,0)))</f>
        <v/>
      </c>
      <c r="AX57" s="628" t="str">
        <f>IF($M57="","",X57-INDEX(Assy.Model!$X$9:$X$150,MATCH('SN#.Run#'!$M57,Assy.Model!$M$9:$M$150,0)))</f>
        <v/>
      </c>
      <c r="AY57" s="629" t="str">
        <f>IF($M57="","",Y57-INDEX(Assy.Model!$Y$9:$Y$150,MATCH('SN#.Run#'!$M57,Assy.Model!$M$9:$M$150,0)))</f>
        <v/>
      </c>
      <c r="AZ57" s="602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10" t="str">
        <f>IF($M57="","",AN57-INDEX(Assy.Model!$AN$9:$AN$150,MATCH('SN#.Run#'!$M57,Assy.Model!$M$9:$M$150,0)))</f>
        <v/>
      </c>
      <c r="BB57" s="525" t="str">
        <f>IF($M57="","",AO57-INDEX(Assy.Model!$AO$9:$AO$150,MATCH('SN#.Run#'!$M57,Assy.Model!$M$9:$M$150,0)))</f>
        <v/>
      </c>
      <c r="BC57" s="619" t="str">
        <f>IF($M57="","",AP57-INDEX(Assy.Model!$AP$9:$AP$150,MATCH('SN#.Run#'!$M57,Assy.Model!$M$9:$M$150,0)))</f>
        <v/>
      </c>
      <c r="BD57" s="419"/>
      <c r="BE57" s="699"/>
      <c r="BF57" s="417"/>
      <c r="BG57" s="417"/>
      <c r="BH57" s="417"/>
      <c r="IE57" s="790" t="str">
        <f>IFERROR(IF($IU57="","",IF($IU57&lt;(((Settings!$C$19/2)*-1)*$IE$8),"Taper","Nose")),"")</f>
        <v/>
      </c>
      <c r="IF57" s="482" t="str">
        <f>IFERROR(IF((((($IW57*COS(RADIANS(180-$IY57)))*COS(RADIANS($IY57)))-(($IX57*SIN(RADIANS(180-$IY57)))*SIN(RADIANS($IY57))))+$IU57)&lt;(((Settings!$C$19+$IF$8)/2)*-1),"Gage",""),"")</f>
        <v/>
      </c>
      <c r="IG57" s="788" t="str">
        <f t="shared" si="65"/>
        <v/>
      </c>
      <c r="IH57" s="674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677" t="str" cm="1">
        <f t="array" ref="II57">IFERROR(IF($IH57&lt;1,$IH57+LARGE((IF($M$9:$M$150="",0,$M$9:$M$150)-MOD(IF($M$9:$M$150="",0,$M$9:$M$150),1)),1),$IH57),"")</f>
        <v/>
      </c>
      <c r="IJ57" s="482" t="str">
        <f t="shared" si="62"/>
        <v/>
      </c>
      <c r="IK57" s="482" t="str">
        <f t="shared" si="20"/>
        <v/>
      </c>
      <c r="IL57" s="670" t="str">
        <f t="shared" si="68"/>
        <v/>
      </c>
      <c r="IM57" s="702"/>
      <c r="IN57" s="5" t="str">
        <f t="shared" si="69"/>
        <v/>
      </c>
      <c r="IO57" s="714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670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05" t="str">
        <f t="shared" si="77"/>
        <v/>
      </c>
    </row>
    <row r="58" spans="1:259" ht="15" customHeight="1" x14ac:dyDescent="0.25">
      <c r="A58" s="82"/>
      <c r="B58" s="578" t="str">
        <f t="shared" si="79"/>
        <v/>
      </c>
      <c r="C58" s="572" t="str">
        <f t="shared" si="80"/>
        <v/>
      </c>
      <c r="D58" s="576" t="str">
        <f t="shared" si="81"/>
        <v/>
      </c>
      <c r="E58" s="580" t="str">
        <f t="shared" si="82"/>
        <v/>
      </c>
      <c r="F58" s="572" t="str">
        <f t="shared" si="83"/>
        <v/>
      </c>
      <c r="G58" s="579" t="str">
        <f t="shared" si="84"/>
        <v/>
      </c>
      <c r="H58" s="580" t="str">
        <f t="shared" si="34"/>
        <v/>
      </c>
      <c r="I58" s="482"/>
      <c r="J58" s="483" t="str">
        <v/>
      </c>
      <c r="K58" s="806" t="str">
        <f t="shared" si="66"/>
        <v/>
      </c>
      <c r="M58" s="164" t="str">
        <f t="shared" si="88"/>
        <v/>
      </c>
      <c r="N58" s="575" t="str">
        <f t="shared" si="89"/>
        <v/>
      </c>
      <c r="O58" s="572" t="str">
        <f t="shared" si="90"/>
        <v/>
      </c>
      <c r="P58" s="576" t="str">
        <f t="shared" si="91"/>
        <v/>
      </c>
      <c r="Q58" s="528" t="str">
        <f t="shared" si="92"/>
        <v/>
      </c>
      <c r="R58" s="572" t="str">
        <f t="shared" si="93"/>
        <v/>
      </c>
      <c r="S58" s="577" t="str">
        <f t="shared" si="94"/>
        <v/>
      </c>
      <c r="T58" s="578" t="str">
        <f t="shared" si="95"/>
        <v/>
      </c>
      <c r="U58" s="572" t="str">
        <f t="shared" si="96"/>
        <v/>
      </c>
      <c r="V58" s="579" t="str">
        <f t="shared" si="97"/>
        <v/>
      </c>
      <c r="W58" s="528" t="str">
        <f t="shared" si="98"/>
        <v/>
      </c>
      <c r="X58" s="572" t="str">
        <f t="shared" si="99"/>
        <v/>
      </c>
      <c r="Y58" s="573" t="str">
        <f t="shared" si="85"/>
        <v/>
      </c>
      <c r="Z58" s="575" t="str">
        <f t="shared" si="100"/>
        <v/>
      </c>
      <c r="AA58" s="572" t="str">
        <f t="shared" si="101"/>
        <v/>
      </c>
      <c r="AB58" s="572" t="str">
        <f t="shared" si="102"/>
        <v/>
      </c>
      <c r="AC58" s="579" t="str">
        <f t="shared" si="103"/>
        <v/>
      </c>
      <c r="AD58" s="580" t="str">
        <f t="shared" si="104"/>
        <v/>
      </c>
      <c r="AE58" s="572" t="str">
        <f t="shared" si="105"/>
        <v/>
      </c>
      <c r="AF58" s="576" t="str">
        <f t="shared" si="106"/>
        <v/>
      </c>
      <c r="AG58" s="545" t="str">
        <f t="shared" si="107"/>
        <v/>
      </c>
      <c r="AH58" s="546" t="str">
        <f t="shared" si="108"/>
        <v/>
      </c>
      <c r="AI58" s="528" t="str">
        <f t="shared" si="109"/>
        <v/>
      </c>
      <c r="AJ58" s="529" t="str">
        <f t="shared" si="110"/>
        <v/>
      </c>
      <c r="AK58" s="578" t="str">
        <f t="shared" si="111"/>
        <v/>
      </c>
      <c r="AL58" s="572" t="str">
        <f t="shared" si="112"/>
        <v/>
      </c>
      <c r="AM58" s="577" t="str">
        <f t="shared" si="113"/>
        <v/>
      </c>
      <c r="AN58" s="524" t="str">
        <f t="shared" si="86"/>
        <v/>
      </c>
      <c r="AO58" s="525" t="str">
        <f t="shared" si="17"/>
        <v/>
      </c>
      <c r="AP58" s="528" t="str">
        <f t="shared" si="114"/>
        <v/>
      </c>
      <c r="AQ58" s="529" t="str">
        <f t="shared" si="60"/>
        <v/>
      </c>
      <c r="AS58" s="598" t="str">
        <f t="shared" si="115"/>
        <v/>
      </c>
      <c r="AT58" s="602" t="str">
        <f t="shared" si="61"/>
        <v/>
      </c>
      <c r="AU58" s="515" t="str">
        <f t="shared" si="87"/>
        <v/>
      </c>
      <c r="AV58" s="164" t="str">
        <f t="shared" si="116"/>
        <v/>
      </c>
      <c r="AW58" s="545" t="str">
        <f>IF($M58="","",W58-INDEX(Assy.Model!$W$9:$W$150,MATCH('SN#.Run#'!$M58,Assy.Model!$M$9:$M$150,0)))</f>
        <v/>
      </c>
      <c r="AX58" s="628" t="str">
        <f>IF($M58="","",X58-INDEX(Assy.Model!$X$9:$X$150,MATCH('SN#.Run#'!$M58,Assy.Model!$M$9:$M$150,0)))</f>
        <v/>
      </c>
      <c r="AY58" s="629" t="str">
        <f>IF($M58="","",Y58-INDEX(Assy.Model!$Y$9:$Y$150,MATCH('SN#.Run#'!$M58,Assy.Model!$M$9:$M$150,0)))</f>
        <v/>
      </c>
      <c r="AZ58" s="602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10" t="str">
        <f>IF($M58="","",AN58-INDEX(Assy.Model!$AN$9:$AN$150,MATCH('SN#.Run#'!$M58,Assy.Model!$M$9:$M$150,0)))</f>
        <v/>
      </c>
      <c r="BB58" s="525" t="str">
        <f>IF($M58="","",AO58-INDEX(Assy.Model!$AO$9:$AO$150,MATCH('SN#.Run#'!$M58,Assy.Model!$M$9:$M$150,0)))</f>
        <v/>
      </c>
      <c r="BC58" s="619" t="str">
        <f>IF($M58="","",AP58-INDEX(Assy.Model!$AP$9:$AP$150,MATCH('SN#.Run#'!$M58,Assy.Model!$M$9:$M$150,0)))</f>
        <v/>
      </c>
      <c r="BD58" s="419"/>
      <c r="BE58" s="699"/>
      <c r="BF58" s="417"/>
      <c r="BG58" s="417"/>
      <c r="BH58" s="417"/>
      <c r="IE58" s="790" t="str">
        <f>IFERROR(IF($IU58="","",IF($IU58&lt;(((Settings!$C$19/2)*-1)*$IE$8),"Taper","Nose")),"")</f>
        <v/>
      </c>
      <c r="IF58" s="482" t="str">
        <f>IFERROR(IF((((($IW58*COS(RADIANS(180-$IY58)))*COS(RADIANS($IY58)))-(($IX58*SIN(RADIANS(180-$IY58)))*SIN(RADIANS($IY58))))+$IU58)&lt;(((Settings!$C$19+$IF$8)/2)*-1),"Gage",""),"")</f>
        <v/>
      </c>
      <c r="IG58" s="788" t="str">
        <f t="shared" si="65"/>
        <v/>
      </c>
      <c r="IH58" s="674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677" t="str" cm="1">
        <f t="array" ref="II58">IFERROR(IF($IH58&lt;1,$IH58+LARGE((IF($M$9:$M$150="",0,$M$9:$M$150)-MOD(IF($M$9:$M$150="",0,$M$9:$M$150),1)),1),$IH58),"")</f>
        <v/>
      </c>
      <c r="IJ58" s="482" t="str">
        <f t="shared" si="62"/>
        <v/>
      </c>
      <c r="IK58" s="482" t="str">
        <f t="shared" si="20"/>
        <v/>
      </c>
      <c r="IL58" s="670" t="str">
        <f t="shared" si="68"/>
        <v/>
      </c>
      <c r="IM58" s="702"/>
      <c r="IN58" s="5" t="str">
        <f t="shared" si="69"/>
        <v/>
      </c>
      <c r="IO58" s="714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670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05" t="str">
        <f t="shared" si="77"/>
        <v/>
      </c>
    </row>
    <row r="59" spans="1:259" ht="15" customHeight="1" x14ac:dyDescent="0.25">
      <c r="A59" s="82"/>
      <c r="B59" s="578" t="str">
        <f t="shared" si="79"/>
        <v/>
      </c>
      <c r="C59" s="572" t="str">
        <f t="shared" si="80"/>
        <v/>
      </c>
      <c r="D59" s="576" t="str">
        <f t="shared" si="81"/>
        <v/>
      </c>
      <c r="E59" s="580" t="str">
        <f t="shared" si="82"/>
        <v/>
      </c>
      <c r="F59" s="572" t="str">
        <f t="shared" si="83"/>
        <v/>
      </c>
      <c r="G59" s="579" t="str">
        <f t="shared" si="84"/>
        <v/>
      </c>
      <c r="H59" s="580" t="str">
        <f t="shared" si="34"/>
        <v/>
      </c>
      <c r="I59" s="482"/>
      <c r="J59" s="483" t="str">
        <v/>
      </c>
      <c r="K59" s="806" t="str">
        <f t="shared" si="66"/>
        <v/>
      </c>
      <c r="M59" s="164" t="str">
        <f t="shared" si="88"/>
        <v/>
      </c>
      <c r="N59" s="575" t="str">
        <f t="shared" si="89"/>
        <v/>
      </c>
      <c r="O59" s="572" t="str">
        <f t="shared" si="90"/>
        <v/>
      </c>
      <c r="P59" s="576" t="str">
        <f t="shared" si="91"/>
        <v/>
      </c>
      <c r="Q59" s="528" t="str">
        <f t="shared" si="92"/>
        <v/>
      </c>
      <c r="R59" s="572" t="str">
        <f t="shared" si="93"/>
        <v/>
      </c>
      <c r="S59" s="577" t="str">
        <f t="shared" si="94"/>
        <v/>
      </c>
      <c r="T59" s="578" t="str">
        <f t="shared" si="95"/>
        <v/>
      </c>
      <c r="U59" s="572" t="str">
        <f t="shared" si="96"/>
        <v/>
      </c>
      <c r="V59" s="579" t="str">
        <f t="shared" si="97"/>
        <v/>
      </c>
      <c r="W59" s="528" t="str">
        <f t="shared" si="98"/>
        <v/>
      </c>
      <c r="X59" s="572" t="str">
        <f t="shared" si="99"/>
        <v/>
      </c>
      <c r="Y59" s="573" t="str">
        <f t="shared" si="85"/>
        <v/>
      </c>
      <c r="Z59" s="575" t="str">
        <f t="shared" si="100"/>
        <v/>
      </c>
      <c r="AA59" s="572" t="str">
        <f t="shared" si="101"/>
        <v/>
      </c>
      <c r="AB59" s="572" t="str">
        <f t="shared" si="102"/>
        <v/>
      </c>
      <c r="AC59" s="579" t="str">
        <f t="shared" si="103"/>
        <v/>
      </c>
      <c r="AD59" s="580" t="str">
        <f t="shared" si="104"/>
        <v/>
      </c>
      <c r="AE59" s="572" t="str">
        <f t="shared" si="105"/>
        <v/>
      </c>
      <c r="AF59" s="576" t="str">
        <f t="shared" si="106"/>
        <v/>
      </c>
      <c r="AG59" s="545" t="str">
        <f t="shared" si="107"/>
        <v/>
      </c>
      <c r="AH59" s="546" t="str">
        <f t="shared" si="108"/>
        <v/>
      </c>
      <c r="AI59" s="528" t="str">
        <f t="shared" si="109"/>
        <v/>
      </c>
      <c r="AJ59" s="529" t="str">
        <f t="shared" si="110"/>
        <v/>
      </c>
      <c r="AK59" s="578" t="str">
        <f>IF(M59="","",(COS(RADIANS((90-$Q$8)-W59))*AD59)+(-SIN(RADIANS((90-$Q$8)-W59))*AE59))</f>
        <v/>
      </c>
      <c r="AL59" s="572" t="str">
        <f t="shared" si="112"/>
        <v/>
      </c>
      <c r="AM59" s="577" t="str">
        <f t="shared" si="113"/>
        <v/>
      </c>
      <c r="AN59" s="524" t="str">
        <f t="shared" si="86"/>
        <v/>
      </c>
      <c r="AO59" s="525" t="str">
        <f t="shared" si="17"/>
        <v/>
      </c>
      <c r="AP59" s="528" t="str">
        <f t="shared" si="114"/>
        <v/>
      </c>
      <c r="AQ59" s="529" t="str">
        <f t="shared" si="60"/>
        <v/>
      </c>
      <c r="AS59" s="598" t="str">
        <f t="shared" si="115"/>
        <v/>
      </c>
      <c r="AT59" s="602" t="str">
        <f t="shared" si="61"/>
        <v/>
      </c>
      <c r="AU59" s="515" t="str">
        <f t="shared" si="87"/>
        <v/>
      </c>
      <c r="AV59" s="164" t="str">
        <f t="shared" si="116"/>
        <v/>
      </c>
      <c r="AW59" s="545" t="str">
        <f>IF($M59="","",W59-INDEX(Assy.Model!$W$9:$W$150,MATCH('SN#.Run#'!$M59,Assy.Model!$M$9:$M$150,0)))</f>
        <v/>
      </c>
      <c r="AX59" s="628" t="str">
        <f>IF($M59="","",X59-INDEX(Assy.Model!$X$9:$X$150,MATCH('SN#.Run#'!$M59,Assy.Model!$M$9:$M$150,0)))</f>
        <v/>
      </c>
      <c r="AY59" s="629" t="str">
        <f>IF($M59="","",Y59-INDEX(Assy.Model!$Y$9:$Y$150,MATCH('SN#.Run#'!$M59,Assy.Model!$M$9:$M$150,0)))</f>
        <v/>
      </c>
      <c r="AZ59" s="602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10" t="str">
        <f>IF($M59="","",AN59-INDEX(Assy.Model!$AN$9:$AN$150,MATCH('SN#.Run#'!$M59,Assy.Model!$M$9:$M$150,0)))</f>
        <v/>
      </c>
      <c r="BB59" s="525" t="str">
        <f>IF($M59="","",AO59-INDEX(Assy.Model!$AO$9:$AO$150,MATCH('SN#.Run#'!$M59,Assy.Model!$M$9:$M$150,0)))</f>
        <v/>
      </c>
      <c r="BC59" s="619" t="str">
        <f>IF($M59="","",AP59-INDEX(Assy.Model!$AP$9:$AP$150,MATCH('SN#.Run#'!$M59,Assy.Model!$M$9:$M$150,0)))</f>
        <v/>
      </c>
      <c r="BD59" s="419"/>
      <c r="BE59" s="699"/>
      <c r="BF59" s="417"/>
      <c r="BG59" s="417"/>
      <c r="BH59" s="417"/>
      <c r="IE59" s="790" t="str">
        <f>IFERROR(IF($IU59="","",IF($IU59&lt;(((Settings!$C$19/2)*-1)*$IE$8),"Taper","Nose")),"")</f>
        <v/>
      </c>
      <c r="IF59" s="482" t="str">
        <f>IFERROR(IF((((($IW59*COS(RADIANS(180-$IY59)))*COS(RADIANS($IY59)))-(($IX59*SIN(RADIANS(180-$IY59)))*SIN(RADIANS($IY59))))+$IU59)&lt;(((Settings!$C$19+$IF$8)/2)*-1),"Gage",""),"")</f>
        <v/>
      </c>
      <c r="IG59" s="788" t="str">
        <f t="shared" si="65"/>
        <v/>
      </c>
      <c r="IH59" s="674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677" t="str" cm="1">
        <f t="array" ref="II59">IFERROR(IF($IH59&lt;1,$IH59+LARGE((IF($M$9:$M$150="",0,$M$9:$M$150)-MOD(IF($M$9:$M$150="",0,$M$9:$M$150),1)),1),$IH59),"")</f>
        <v/>
      </c>
      <c r="IJ59" s="482" t="str">
        <f t="shared" si="62"/>
        <v/>
      </c>
      <c r="IK59" s="482" t="str">
        <f>IF(ISNUMBER($II59),INDEX($K$9:$K$150,MATCH($IG59,$M$9:$M$150,0)),"")</f>
        <v/>
      </c>
      <c r="IL59" s="670" t="str">
        <f t="shared" si="68"/>
        <v/>
      </c>
      <c r="IM59" s="702"/>
      <c r="IN59" s="5" t="str">
        <f t="shared" si="69"/>
        <v/>
      </c>
      <c r="IO59" s="714"/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670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05" t="str">
        <f t="shared" si="77"/>
        <v/>
      </c>
    </row>
    <row r="60" spans="1:259" ht="15" customHeight="1" x14ac:dyDescent="0.25">
      <c r="A60" s="82"/>
      <c r="B60" s="578" t="str">
        <f t="shared" si="79"/>
        <v/>
      </c>
      <c r="C60" s="572" t="str">
        <f t="shared" si="80"/>
        <v/>
      </c>
      <c r="D60" s="576" t="str">
        <f t="shared" si="81"/>
        <v/>
      </c>
      <c r="E60" s="580" t="str">
        <f t="shared" si="82"/>
        <v/>
      </c>
      <c r="F60" s="572" t="str">
        <f t="shared" si="83"/>
        <v/>
      </c>
      <c r="G60" s="579" t="str">
        <f t="shared" si="84"/>
        <v/>
      </c>
      <c r="H60" s="580" t="str">
        <f t="shared" si="34"/>
        <v/>
      </c>
      <c r="I60" s="482"/>
      <c r="J60" s="483" t="str">
        <v/>
      </c>
      <c r="K60" s="806" t="str">
        <f t="shared" si="66"/>
        <v/>
      </c>
      <c r="M60" s="164" t="str">
        <f t="shared" si="88"/>
        <v/>
      </c>
      <c r="N60" s="575" t="str">
        <f t="shared" si="89"/>
        <v/>
      </c>
      <c r="O60" s="572" t="str">
        <f t="shared" si="90"/>
        <v/>
      </c>
      <c r="P60" s="576" t="str">
        <f t="shared" si="91"/>
        <v/>
      </c>
      <c r="Q60" s="528" t="str">
        <f t="shared" si="92"/>
        <v/>
      </c>
      <c r="R60" s="572" t="str">
        <f t="shared" si="93"/>
        <v/>
      </c>
      <c r="S60" s="577" t="str">
        <f t="shared" si="94"/>
        <v/>
      </c>
      <c r="T60" s="578" t="str">
        <f t="shared" si="95"/>
        <v/>
      </c>
      <c r="U60" s="572" t="str">
        <f t="shared" si="96"/>
        <v/>
      </c>
      <c r="V60" s="579" t="str">
        <f t="shared" si="97"/>
        <v/>
      </c>
      <c r="W60" s="528" t="str">
        <f t="shared" si="98"/>
        <v/>
      </c>
      <c r="X60" s="572" t="str">
        <f t="shared" si="99"/>
        <v/>
      </c>
      <c r="Y60" s="573" t="str">
        <f t="shared" si="85"/>
        <v/>
      </c>
      <c r="Z60" s="575" t="str">
        <f t="shared" si="100"/>
        <v/>
      </c>
      <c r="AA60" s="572" t="str">
        <f t="shared" si="101"/>
        <v/>
      </c>
      <c r="AB60" s="572" t="str">
        <f t="shared" si="102"/>
        <v/>
      </c>
      <c r="AC60" s="579" t="str">
        <f t="shared" si="103"/>
        <v/>
      </c>
      <c r="AD60" s="580" t="str">
        <f t="shared" si="104"/>
        <v/>
      </c>
      <c r="AE60" s="572" t="str">
        <f t="shared" si="105"/>
        <v/>
      </c>
      <c r="AF60" s="576" t="str">
        <f t="shared" si="106"/>
        <v/>
      </c>
      <c r="AG60" s="545" t="str">
        <f t="shared" si="107"/>
        <v/>
      </c>
      <c r="AH60" s="546" t="str">
        <f t="shared" si="108"/>
        <v/>
      </c>
      <c r="AI60" s="528" t="str">
        <f t="shared" si="109"/>
        <v/>
      </c>
      <c r="AJ60" s="529" t="str">
        <f t="shared" si="110"/>
        <v/>
      </c>
      <c r="AK60" s="578" t="str">
        <f t="shared" si="111"/>
        <v/>
      </c>
      <c r="AL60" s="572" t="str">
        <f t="shared" si="112"/>
        <v/>
      </c>
      <c r="AM60" s="577" t="str">
        <f t="shared" si="113"/>
        <v/>
      </c>
      <c r="AN60" s="524" t="str">
        <f t="shared" si="86"/>
        <v/>
      </c>
      <c r="AO60" s="525" t="str">
        <f t="shared" si="17"/>
        <v/>
      </c>
      <c r="AP60" s="528" t="str">
        <f t="shared" si="114"/>
        <v/>
      </c>
      <c r="AQ60" s="529" t="str">
        <f t="shared" si="60"/>
        <v/>
      </c>
      <c r="AS60" s="598" t="str">
        <f t="shared" si="115"/>
        <v/>
      </c>
      <c r="AT60" s="602" t="str">
        <f t="shared" si="61"/>
        <v/>
      </c>
      <c r="AU60" s="515" t="str">
        <f t="shared" si="87"/>
        <v/>
      </c>
      <c r="AV60" s="164" t="str">
        <f t="shared" si="116"/>
        <v/>
      </c>
      <c r="AW60" s="545" t="str">
        <f>IF($M60="","",W60-INDEX(Assy.Model!$W$9:$W$150,MATCH('SN#.Run#'!$M60,Assy.Model!$M$9:$M$150,0)))</f>
        <v/>
      </c>
      <c r="AX60" s="628" t="str">
        <f>IF($M60="","",X60-INDEX(Assy.Model!$X$9:$X$150,MATCH('SN#.Run#'!$M60,Assy.Model!$M$9:$M$150,0)))</f>
        <v/>
      </c>
      <c r="AY60" s="629" t="str">
        <f>IF($M60="","",Y60-INDEX(Assy.Model!$Y$9:$Y$150,MATCH('SN#.Run#'!$M60,Assy.Model!$M$9:$M$150,0)))</f>
        <v/>
      </c>
      <c r="AZ60" s="602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10" t="str">
        <f>IF($M60="","",AN60-INDEX(Assy.Model!$AN$9:$AN$150,MATCH('SN#.Run#'!$M60,Assy.Model!$M$9:$M$150,0)))</f>
        <v/>
      </c>
      <c r="BB60" s="525" t="str">
        <f>IF($M60="","",AO60-INDEX(Assy.Model!$AO$9:$AO$150,MATCH('SN#.Run#'!$M60,Assy.Model!$M$9:$M$150,0)))</f>
        <v/>
      </c>
      <c r="BC60" s="619" t="str">
        <f>IF($M60="","",AP60-INDEX(Assy.Model!$AP$9:$AP$150,MATCH('SN#.Run#'!$M60,Assy.Model!$M$9:$M$150,0)))</f>
        <v/>
      </c>
      <c r="BD60" s="419"/>
      <c r="BE60" s="699"/>
      <c r="BF60" s="417"/>
      <c r="BG60" s="417"/>
      <c r="BH60" s="417"/>
      <c r="IE60" s="790" t="str">
        <f>IFERROR(IF($IU60="","",IF($IU60&lt;(((Settings!$C$19/2)*-1)*$IE$8),"Taper","Nose")),"")</f>
        <v/>
      </c>
      <c r="IF60" s="482" t="str">
        <f>IFERROR(IF((((($IW60*COS(RADIANS(180-$IY60)))*COS(RADIANS($IY60)))-(($IX60*SIN(RADIANS(180-$IY60)))*SIN(RADIANS($IY60))))+$IU60)&lt;(((Settings!$C$19+$IF$8)/2)*-1),"Gage",""),"")</f>
        <v/>
      </c>
      <c r="IG60" s="788" t="str">
        <f t="shared" si="65"/>
        <v/>
      </c>
      <c r="IH60" s="674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677" t="str" cm="1">
        <f t="array" ref="II60">IFERROR(IF($IH60&lt;1,$IH60+LARGE((IF($M$9:$M$150="",0,$M$9:$M$150)-MOD(IF($M$9:$M$150="",0,$M$9:$M$150),1)),1),$IH60),"")</f>
        <v/>
      </c>
      <c r="IJ60" s="482" t="str">
        <f t="shared" si="62"/>
        <v/>
      </c>
      <c r="IK60" s="482" t="str">
        <f t="shared" ref="IK60:IK123" si="117">IF(ISNUMBER($II60),INDEX($K$9:$K$150,MATCH($IG60,$M$9:$M$150,0)),"")</f>
        <v/>
      </c>
      <c r="IL60" s="670" t="str">
        <f t="shared" si="68"/>
        <v/>
      </c>
      <c r="IM60" s="702"/>
      <c r="IN60" s="5" t="str">
        <f t="shared" si="69"/>
        <v/>
      </c>
      <c r="IO60" s="714"/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670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05" t="str">
        <f t="shared" si="77"/>
        <v/>
      </c>
    </row>
    <row r="61" spans="1:259" ht="15" customHeight="1" x14ac:dyDescent="0.25">
      <c r="A61" s="82"/>
      <c r="B61" s="578" t="str">
        <f t="shared" si="79"/>
        <v/>
      </c>
      <c r="C61" s="572" t="str">
        <f t="shared" si="80"/>
        <v/>
      </c>
      <c r="D61" s="576" t="str">
        <f t="shared" si="81"/>
        <v/>
      </c>
      <c r="E61" s="580" t="str">
        <f t="shared" si="82"/>
        <v/>
      </c>
      <c r="F61" s="572" t="str">
        <f t="shared" si="83"/>
        <v/>
      </c>
      <c r="G61" s="579" t="str">
        <f t="shared" si="84"/>
        <v/>
      </c>
      <c r="H61" s="580" t="str">
        <f t="shared" si="34"/>
        <v/>
      </c>
      <c r="I61" s="482"/>
      <c r="J61" s="483" t="str">
        <v/>
      </c>
      <c r="K61" s="806" t="str">
        <f t="shared" si="66"/>
        <v/>
      </c>
      <c r="M61" s="164" t="str">
        <f t="shared" si="88"/>
        <v/>
      </c>
      <c r="N61" s="575" t="str">
        <f t="shared" si="89"/>
        <v/>
      </c>
      <c r="O61" s="572" t="str">
        <f t="shared" si="90"/>
        <v/>
      </c>
      <c r="P61" s="576" t="str">
        <f t="shared" si="91"/>
        <v/>
      </c>
      <c r="Q61" s="528" t="str">
        <f t="shared" si="92"/>
        <v/>
      </c>
      <c r="R61" s="572" t="str">
        <f t="shared" si="93"/>
        <v/>
      </c>
      <c r="S61" s="577" t="str">
        <f t="shared" si="94"/>
        <v/>
      </c>
      <c r="T61" s="578" t="str">
        <f t="shared" si="95"/>
        <v/>
      </c>
      <c r="U61" s="572" t="str">
        <f t="shared" si="96"/>
        <v/>
      </c>
      <c r="V61" s="579" t="str">
        <f t="shared" si="97"/>
        <v/>
      </c>
      <c r="W61" s="528" t="str">
        <f t="shared" si="98"/>
        <v/>
      </c>
      <c r="X61" s="572" t="str">
        <f t="shared" si="99"/>
        <v/>
      </c>
      <c r="Y61" s="573" t="str">
        <f t="shared" si="85"/>
        <v/>
      </c>
      <c r="Z61" s="575" t="str">
        <f t="shared" si="100"/>
        <v/>
      </c>
      <c r="AA61" s="572" t="str">
        <f t="shared" si="101"/>
        <v/>
      </c>
      <c r="AB61" s="572" t="str">
        <f t="shared" si="102"/>
        <v/>
      </c>
      <c r="AC61" s="579" t="str">
        <f t="shared" si="103"/>
        <v/>
      </c>
      <c r="AD61" s="580" t="str">
        <f t="shared" si="104"/>
        <v/>
      </c>
      <c r="AE61" s="572" t="str">
        <f t="shared" si="105"/>
        <v/>
      </c>
      <c r="AF61" s="576" t="str">
        <f t="shared" si="106"/>
        <v/>
      </c>
      <c r="AG61" s="545" t="str">
        <f t="shared" si="107"/>
        <v/>
      </c>
      <c r="AH61" s="546" t="str">
        <f t="shared" si="108"/>
        <v/>
      </c>
      <c r="AI61" s="528" t="str">
        <f t="shared" si="109"/>
        <v/>
      </c>
      <c r="AJ61" s="529" t="str">
        <f t="shared" si="110"/>
        <v/>
      </c>
      <c r="AK61" s="578" t="str">
        <f t="shared" si="111"/>
        <v/>
      </c>
      <c r="AL61" s="572" t="str">
        <f t="shared" si="112"/>
        <v/>
      </c>
      <c r="AM61" s="577" t="str">
        <f t="shared" si="113"/>
        <v/>
      </c>
      <c r="AN61" s="524" t="str">
        <f t="shared" si="86"/>
        <v/>
      </c>
      <c r="AO61" s="525" t="str">
        <f t="shared" si="17"/>
        <v/>
      </c>
      <c r="AP61" s="528" t="str">
        <f t="shared" si="114"/>
        <v/>
      </c>
      <c r="AQ61" s="529" t="str">
        <f t="shared" si="60"/>
        <v/>
      </c>
      <c r="AS61" s="598" t="str">
        <f t="shared" si="115"/>
        <v/>
      </c>
      <c r="AT61" s="602" t="str">
        <f t="shared" si="61"/>
        <v/>
      </c>
      <c r="AU61" s="515" t="str">
        <f t="shared" si="87"/>
        <v/>
      </c>
      <c r="AV61" s="164" t="str">
        <f t="shared" si="116"/>
        <v/>
      </c>
      <c r="AW61" s="545" t="str">
        <f>IF($M61="","",W61-INDEX(Assy.Model!$W$9:$W$150,MATCH('SN#.Run#'!$M61,Assy.Model!$M$9:$M$150,0)))</f>
        <v/>
      </c>
      <c r="AX61" s="628" t="str">
        <f>IF($M61="","",X61-INDEX(Assy.Model!$X$9:$X$150,MATCH('SN#.Run#'!$M61,Assy.Model!$M$9:$M$150,0)))</f>
        <v/>
      </c>
      <c r="AY61" s="629" t="str">
        <f>IF($M61="","",Y61-INDEX(Assy.Model!$Y$9:$Y$150,MATCH('SN#.Run#'!$M61,Assy.Model!$M$9:$M$150,0)))</f>
        <v/>
      </c>
      <c r="AZ61" s="602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10" t="str">
        <f>IF($M61="","",AN61-INDEX(Assy.Model!$AN$9:$AN$150,MATCH('SN#.Run#'!$M61,Assy.Model!$M$9:$M$150,0)))</f>
        <v/>
      </c>
      <c r="BB61" s="525" t="str">
        <f>IF($M61="","",AO61-INDEX(Assy.Model!$AO$9:$AO$150,MATCH('SN#.Run#'!$M61,Assy.Model!$M$9:$M$150,0)))</f>
        <v/>
      </c>
      <c r="BC61" s="619" t="str">
        <f>IF($M61="","",AP61-INDEX(Assy.Model!$AP$9:$AP$150,MATCH('SN#.Run#'!$M61,Assy.Model!$M$9:$M$150,0)))</f>
        <v/>
      </c>
      <c r="BD61" s="419"/>
      <c r="BE61" s="699"/>
      <c r="BF61" s="417"/>
      <c r="BG61" s="417"/>
      <c r="BH61" s="417"/>
      <c r="IE61" s="790" t="str">
        <f>IFERROR(IF($IU61="","",IF($IU61&lt;(((Settings!$C$19/2)*-1)*$IE$8),"Taper","Nose")),"")</f>
        <v/>
      </c>
      <c r="IF61" s="482" t="str">
        <f>IFERROR(IF((((($IW61*COS(RADIANS(180-$IY61)))*COS(RADIANS($IY61)))-(($IX61*SIN(RADIANS(180-$IY61)))*SIN(RADIANS($IY61))))+$IU61)&lt;(((Settings!$C$19+$IF$8)/2)*-1),"Gage",""),"")</f>
        <v/>
      </c>
      <c r="IG61" s="788" t="str">
        <f t="shared" si="65"/>
        <v/>
      </c>
      <c r="IH61" s="674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677" t="str" cm="1">
        <f t="array" ref="II61">IFERROR(IF($IH61&lt;1,$IH61+LARGE((IF($M$9:$M$150="",0,$M$9:$M$150)-MOD(IF($M$9:$M$150="",0,$M$9:$M$150),1)),1),$IH61),"")</f>
        <v/>
      </c>
      <c r="IJ61" s="482" t="str">
        <f t="shared" si="62"/>
        <v/>
      </c>
      <c r="IK61" s="482" t="str">
        <f t="shared" si="117"/>
        <v/>
      </c>
      <c r="IL61" s="670" t="str">
        <f t="shared" si="68"/>
        <v/>
      </c>
      <c r="IM61" s="702"/>
      <c r="IN61" s="5" t="str">
        <f t="shared" si="69"/>
        <v/>
      </c>
      <c r="IO61" s="714"/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670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05" t="str">
        <f t="shared" si="77"/>
        <v/>
      </c>
    </row>
    <row r="62" spans="1:259" ht="15" customHeight="1" x14ac:dyDescent="0.25">
      <c r="A62" s="82"/>
      <c r="B62" s="578" t="str">
        <f t="shared" si="79"/>
        <v/>
      </c>
      <c r="C62" s="572" t="str">
        <f t="shared" si="80"/>
        <v/>
      </c>
      <c r="D62" s="576" t="str">
        <f t="shared" si="81"/>
        <v/>
      </c>
      <c r="E62" s="580" t="str">
        <f t="shared" si="82"/>
        <v/>
      </c>
      <c r="F62" s="572" t="str">
        <f t="shared" si="83"/>
        <v/>
      </c>
      <c r="G62" s="579" t="str">
        <f t="shared" si="84"/>
        <v/>
      </c>
      <c r="H62" s="580" t="str">
        <f t="shared" si="34"/>
        <v/>
      </c>
      <c r="I62" s="482"/>
      <c r="J62" s="483" t="str">
        <v/>
      </c>
      <c r="K62" s="806" t="str">
        <f t="shared" si="66"/>
        <v/>
      </c>
      <c r="M62" s="164" t="str">
        <f t="shared" si="88"/>
        <v/>
      </c>
      <c r="N62" s="575" t="str">
        <f t="shared" si="89"/>
        <v/>
      </c>
      <c r="O62" s="572" t="str">
        <f t="shared" si="90"/>
        <v/>
      </c>
      <c r="P62" s="576" t="str">
        <f t="shared" si="91"/>
        <v/>
      </c>
      <c r="Q62" s="528" t="str">
        <f t="shared" si="92"/>
        <v/>
      </c>
      <c r="R62" s="572" t="str">
        <f t="shared" si="93"/>
        <v/>
      </c>
      <c r="S62" s="577" t="str">
        <f t="shared" si="94"/>
        <v/>
      </c>
      <c r="T62" s="578" t="str">
        <f t="shared" si="95"/>
        <v/>
      </c>
      <c r="U62" s="572" t="str">
        <f t="shared" si="96"/>
        <v/>
      </c>
      <c r="V62" s="579" t="str">
        <f t="shared" si="97"/>
        <v/>
      </c>
      <c r="W62" s="528" t="str">
        <f t="shared" si="98"/>
        <v/>
      </c>
      <c r="X62" s="572" t="str">
        <f t="shared" si="99"/>
        <v/>
      </c>
      <c r="Y62" s="573" t="str">
        <f t="shared" si="85"/>
        <v/>
      </c>
      <c r="Z62" s="575" t="str">
        <f t="shared" si="100"/>
        <v/>
      </c>
      <c r="AA62" s="572" t="str">
        <f t="shared" si="101"/>
        <v/>
      </c>
      <c r="AB62" s="572" t="str">
        <f t="shared" si="102"/>
        <v/>
      </c>
      <c r="AC62" s="579" t="str">
        <f t="shared" si="103"/>
        <v/>
      </c>
      <c r="AD62" s="580" t="str">
        <f t="shared" si="104"/>
        <v/>
      </c>
      <c r="AE62" s="572" t="str">
        <f t="shared" si="105"/>
        <v/>
      </c>
      <c r="AF62" s="576" t="str">
        <f t="shared" si="106"/>
        <v/>
      </c>
      <c r="AG62" s="545" t="str">
        <f t="shared" si="107"/>
        <v/>
      </c>
      <c r="AH62" s="546" t="str">
        <f t="shared" si="108"/>
        <v/>
      </c>
      <c r="AI62" s="528" t="str">
        <f t="shared" si="109"/>
        <v/>
      </c>
      <c r="AJ62" s="529" t="str">
        <f t="shared" si="110"/>
        <v/>
      </c>
      <c r="AK62" s="578" t="str">
        <f t="shared" si="111"/>
        <v/>
      </c>
      <c r="AL62" s="572" t="str">
        <f t="shared" si="112"/>
        <v/>
      </c>
      <c r="AM62" s="577" t="str">
        <f t="shared" si="113"/>
        <v/>
      </c>
      <c r="AN62" s="524" t="str">
        <f t="shared" si="86"/>
        <v/>
      </c>
      <c r="AO62" s="525" t="str">
        <f t="shared" si="17"/>
        <v/>
      </c>
      <c r="AP62" s="528" t="str">
        <f t="shared" si="114"/>
        <v/>
      </c>
      <c r="AQ62" s="529" t="str">
        <f t="shared" si="60"/>
        <v/>
      </c>
      <c r="AS62" s="598" t="str">
        <f t="shared" si="115"/>
        <v/>
      </c>
      <c r="AT62" s="602" t="str">
        <f t="shared" si="61"/>
        <v/>
      </c>
      <c r="AU62" s="515" t="str">
        <f t="shared" si="87"/>
        <v/>
      </c>
      <c r="AV62" s="164" t="str">
        <f t="shared" si="116"/>
        <v/>
      </c>
      <c r="AW62" s="545" t="str">
        <f>IF($M62="","",W62-INDEX(Assy.Model!$W$9:$W$150,MATCH('SN#.Run#'!$M62,Assy.Model!$M$9:$M$150,0)))</f>
        <v/>
      </c>
      <c r="AX62" s="628" t="str">
        <f>IF($M62="","",X62-INDEX(Assy.Model!$X$9:$X$150,MATCH('SN#.Run#'!$M62,Assy.Model!$M$9:$M$150,0)))</f>
        <v/>
      </c>
      <c r="AY62" s="629" t="str">
        <f>IF($M62="","",Y62-INDEX(Assy.Model!$Y$9:$Y$150,MATCH('SN#.Run#'!$M62,Assy.Model!$M$9:$M$150,0)))</f>
        <v/>
      </c>
      <c r="AZ62" s="602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10" t="str">
        <f>IF($M62="","",AN62-INDEX(Assy.Model!$AN$9:$AN$150,MATCH('SN#.Run#'!$M62,Assy.Model!$M$9:$M$150,0)))</f>
        <v/>
      </c>
      <c r="BB62" s="525" t="str">
        <f>IF($M62="","",AO62-INDEX(Assy.Model!$AO$9:$AO$150,MATCH('SN#.Run#'!$M62,Assy.Model!$M$9:$M$150,0)))</f>
        <v/>
      </c>
      <c r="BC62" s="619" t="str">
        <f>IF($M62="","",AP62-INDEX(Assy.Model!$AP$9:$AP$150,MATCH('SN#.Run#'!$M62,Assy.Model!$M$9:$M$150,0)))</f>
        <v/>
      </c>
      <c r="BD62" s="419"/>
      <c r="BE62" s="699"/>
      <c r="BF62" s="417"/>
      <c r="BG62" s="417"/>
      <c r="BH62" s="417"/>
      <c r="IE62" s="790" t="str">
        <f>IFERROR(IF($IU62="","",IF($IU62&lt;(((Settings!$C$19/2)*-1)*$IE$8),"Taper","Nose")),"")</f>
        <v/>
      </c>
      <c r="IF62" s="482" t="str">
        <f>IFERROR(IF((((($IW62*COS(RADIANS(180-$IY62)))*COS(RADIANS($IY62)))-(($IX62*SIN(RADIANS(180-$IY62)))*SIN(RADIANS($IY62))))+$IU62)&lt;(((Settings!$C$19+$IF$8)/2)*-1),"Gage",""),"")</f>
        <v/>
      </c>
      <c r="IG62" s="788" t="str">
        <f t="shared" si="65"/>
        <v/>
      </c>
      <c r="IH62" s="674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677" t="str" cm="1">
        <f t="array" ref="II62">IFERROR(IF($IH62&lt;1,$IH62+LARGE((IF($M$9:$M$150="",0,$M$9:$M$150)-MOD(IF($M$9:$M$150="",0,$M$9:$M$150),1)),1),$IH62),"")</f>
        <v/>
      </c>
      <c r="IJ62" s="482" t="str">
        <f t="shared" si="62"/>
        <v/>
      </c>
      <c r="IK62" s="482" t="str">
        <f t="shared" si="117"/>
        <v/>
      </c>
      <c r="IL62" s="670" t="str">
        <f t="shared" si="68"/>
        <v/>
      </c>
      <c r="IM62" s="702"/>
      <c r="IN62" s="5" t="str">
        <f t="shared" si="69"/>
        <v/>
      </c>
      <c r="IO62" s="714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670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05" t="str">
        <f t="shared" si="77"/>
        <v/>
      </c>
    </row>
    <row r="63" spans="1:259" ht="15" customHeight="1" x14ac:dyDescent="0.25">
      <c r="A63" s="82"/>
      <c r="B63" s="578" t="str">
        <f t="shared" si="79"/>
        <v/>
      </c>
      <c r="C63" s="572" t="str">
        <f t="shared" si="80"/>
        <v/>
      </c>
      <c r="D63" s="576" t="str">
        <f t="shared" si="81"/>
        <v/>
      </c>
      <c r="E63" s="580" t="str">
        <f t="shared" si="82"/>
        <v/>
      </c>
      <c r="F63" s="572" t="str">
        <f t="shared" si="83"/>
        <v/>
      </c>
      <c r="G63" s="579" t="str">
        <f t="shared" si="84"/>
        <v/>
      </c>
      <c r="H63" s="580" t="str">
        <f t="shared" si="34"/>
        <v/>
      </c>
      <c r="I63" s="482"/>
      <c r="J63" s="483" t="str">
        <v/>
      </c>
      <c r="K63" s="806" t="str">
        <f t="shared" si="66"/>
        <v/>
      </c>
      <c r="M63" s="164" t="str">
        <f t="shared" si="88"/>
        <v/>
      </c>
      <c r="N63" s="575" t="str">
        <f t="shared" si="89"/>
        <v/>
      </c>
      <c r="O63" s="572" t="str">
        <f t="shared" si="90"/>
        <v/>
      </c>
      <c r="P63" s="576" t="str">
        <f t="shared" si="91"/>
        <v/>
      </c>
      <c r="Q63" s="528" t="str">
        <f t="shared" si="92"/>
        <v/>
      </c>
      <c r="R63" s="572" t="str">
        <f t="shared" si="93"/>
        <v/>
      </c>
      <c r="S63" s="577" t="str">
        <f t="shared" si="94"/>
        <v/>
      </c>
      <c r="T63" s="578" t="str">
        <f t="shared" si="95"/>
        <v/>
      </c>
      <c r="U63" s="572" t="str">
        <f t="shared" si="96"/>
        <v/>
      </c>
      <c r="V63" s="579" t="str">
        <f t="shared" si="97"/>
        <v/>
      </c>
      <c r="W63" s="528" t="str">
        <f t="shared" si="98"/>
        <v/>
      </c>
      <c r="X63" s="572" t="str">
        <f t="shared" si="99"/>
        <v/>
      </c>
      <c r="Y63" s="573" t="str">
        <f t="shared" si="85"/>
        <v/>
      </c>
      <c r="Z63" s="575" t="str">
        <f t="shared" si="100"/>
        <v/>
      </c>
      <c r="AA63" s="572" t="str">
        <f t="shared" si="101"/>
        <v/>
      </c>
      <c r="AB63" s="572" t="str">
        <f t="shared" si="102"/>
        <v/>
      </c>
      <c r="AC63" s="579" t="str">
        <f t="shared" si="103"/>
        <v/>
      </c>
      <c r="AD63" s="580" t="str">
        <f t="shared" si="104"/>
        <v/>
      </c>
      <c r="AE63" s="572" t="str">
        <f t="shared" si="105"/>
        <v/>
      </c>
      <c r="AF63" s="576" t="str">
        <f t="shared" si="106"/>
        <v/>
      </c>
      <c r="AG63" s="545" t="str">
        <f t="shared" si="107"/>
        <v/>
      </c>
      <c r="AH63" s="546" t="str">
        <f t="shared" si="108"/>
        <v/>
      </c>
      <c r="AI63" s="528" t="str">
        <f t="shared" si="109"/>
        <v/>
      </c>
      <c r="AJ63" s="529" t="str">
        <f t="shared" si="110"/>
        <v/>
      </c>
      <c r="AK63" s="578" t="str">
        <f t="shared" si="111"/>
        <v/>
      </c>
      <c r="AL63" s="572" t="str">
        <f t="shared" si="112"/>
        <v/>
      </c>
      <c r="AM63" s="577" t="str">
        <f t="shared" si="113"/>
        <v/>
      </c>
      <c r="AN63" s="524" t="str">
        <f t="shared" si="86"/>
        <v/>
      </c>
      <c r="AO63" s="525" t="str">
        <f t="shared" si="17"/>
        <v/>
      </c>
      <c r="AP63" s="528" t="str">
        <f t="shared" si="114"/>
        <v/>
      </c>
      <c r="AQ63" s="529" t="str">
        <f t="shared" si="60"/>
        <v/>
      </c>
      <c r="AS63" s="598" t="str">
        <f t="shared" si="115"/>
        <v/>
      </c>
      <c r="AT63" s="602" t="str">
        <f t="shared" si="61"/>
        <v/>
      </c>
      <c r="AU63" s="515" t="str">
        <f t="shared" si="87"/>
        <v/>
      </c>
      <c r="AV63" s="164" t="str">
        <f t="shared" si="116"/>
        <v/>
      </c>
      <c r="AW63" s="545" t="str">
        <f>IF($M63="","",W63-INDEX(Assy.Model!$W$9:$W$150,MATCH('SN#.Run#'!$M63,Assy.Model!$M$9:$M$150,0)))</f>
        <v/>
      </c>
      <c r="AX63" s="628" t="str">
        <f>IF($M63="","",X63-INDEX(Assy.Model!$X$9:$X$150,MATCH('SN#.Run#'!$M63,Assy.Model!$M$9:$M$150,0)))</f>
        <v/>
      </c>
      <c r="AY63" s="629" t="str">
        <f>IF($M63="","",Y63-INDEX(Assy.Model!$Y$9:$Y$150,MATCH('SN#.Run#'!$M63,Assy.Model!$M$9:$M$150,0)))</f>
        <v/>
      </c>
      <c r="AZ63" s="602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10" t="str">
        <f>IF($M63="","",AN63-INDEX(Assy.Model!$AN$9:$AN$150,MATCH('SN#.Run#'!$M63,Assy.Model!$M$9:$M$150,0)))</f>
        <v/>
      </c>
      <c r="BB63" s="525" t="str">
        <f>IF($M63="","",AO63-INDEX(Assy.Model!$AO$9:$AO$150,MATCH('SN#.Run#'!$M63,Assy.Model!$M$9:$M$150,0)))</f>
        <v/>
      </c>
      <c r="BC63" s="619" t="str">
        <f>IF($M63="","",AP63-INDEX(Assy.Model!$AP$9:$AP$150,MATCH('SN#.Run#'!$M63,Assy.Model!$M$9:$M$150,0)))</f>
        <v/>
      </c>
      <c r="BD63" s="419"/>
      <c r="BE63" s="699"/>
      <c r="BF63" s="417"/>
      <c r="BG63" s="417"/>
      <c r="BH63" s="417"/>
      <c r="IE63" s="790" t="str">
        <f>IFERROR(IF($IU63="","",IF($IU63&lt;(((Settings!$C$19/2)*-1)*$IE$8),"Taper","Nose")),"")</f>
        <v/>
      </c>
      <c r="IF63" s="482" t="str">
        <f>IFERROR(IF((((($IW63*COS(RADIANS(180-$IY63)))*COS(RADIANS($IY63)))-(($IX63*SIN(RADIANS(180-$IY63)))*SIN(RADIANS($IY63))))+$IU63)&lt;(((Settings!$C$19+$IF$8)/2)*-1),"Gage",""),"")</f>
        <v/>
      </c>
      <c r="IG63" s="788" t="str">
        <f t="shared" si="65"/>
        <v/>
      </c>
      <c r="IH63" s="674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677" t="str" cm="1">
        <f t="array" ref="II63">IFERROR(IF($IH63&lt;1,$IH63+LARGE((IF($M$9:$M$150="",0,$M$9:$M$150)-MOD(IF($M$9:$M$150="",0,$M$9:$M$150),1)),1),$IH63),"")</f>
        <v/>
      </c>
      <c r="IJ63" s="482" t="str">
        <f t="shared" si="62"/>
        <v/>
      </c>
      <c r="IK63" s="482" t="str">
        <f t="shared" si="117"/>
        <v/>
      </c>
      <c r="IL63" s="670" t="str">
        <f t="shared" si="68"/>
        <v/>
      </c>
      <c r="IM63" s="702"/>
      <c r="IN63" s="5" t="str">
        <f t="shared" si="69"/>
        <v/>
      </c>
      <c r="IO63" s="714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670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05" t="str">
        <f t="shared" si="77"/>
        <v/>
      </c>
    </row>
    <row r="64" spans="1:259" ht="15" customHeight="1" x14ac:dyDescent="0.25">
      <c r="A64" s="82"/>
      <c r="B64" s="578" t="str">
        <f t="shared" si="79"/>
        <v/>
      </c>
      <c r="C64" s="572" t="str">
        <f t="shared" si="80"/>
        <v/>
      </c>
      <c r="D64" s="576" t="str">
        <f t="shared" si="81"/>
        <v/>
      </c>
      <c r="E64" s="580" t="str">
        <f t="shared" si="82"/>
        <v/>
      </c>
      <c r="F64" s="572" t="str">
        <f t="shared" si="83"/>
        <v/>
      </c>
      <c r="G64" s="579" t="str">
        <f t="shared" si="84"/>
        <v/>
      </c>
      <c r="H64" s="580" t="str">
        <f t="shared" si="34"/>
        <v/>
      </c>
      <c r="I64" s="482"/>
      <c r="J64" s="483" t="str">
        <v/>
      </c>
      <c r="K64" s="806" t="str">
        <f t="shared" si="66"/>
        <v/>
      </c>
      <c r="M64" s="164" t="str">
        <f t="shared" si="88"/>
        <v/>
      </c>
      <c r="N64" s="575" t="str">
        <f t="shared" si="89"/>
        <v/>
      </c>
      <c r="O64" s="572" t="str">
        <f t="shared" si="90"/>
        <v/>
      </c>
      <c r="P64" s="576" t="str">
        <f t="shared" si="91"/>
        <v/>
      </c>
      <c r="Q64" s="528" t="str">
        <f t="shared" si="92"/>
        <v/>
      </c>
      <c r="R64" s="572" t="str">
        <f t="shared" si="93"/>
        <v/>
      </c>
      <c r="S64" s="577" t="str">
        <f t="shared" si="94"/>
        <v/>
      </c>
      <c r="T64" s="578" t="str">
        <f t="shared" si="95"/>
        <v/>
      </c>
      <c r="U64" s="572" t="str">
        <f t="shared" si="96"/>
        <v/>
      </c>
      <c r="V64" s="579" t="str">
        <f t="shared" si="97"/>
        <v/>
      </c>
      <c r="W64" s="528" t="str">
        <f>IF(M64="","",IF(Q64-$Q$8&lt;0,360+Q64-$Q$8,Q64-$Q$8))</f>
        <v/>
      </c>
      <c r="X64" s="572" t="str">
        <f t="shared" si="99"/>
        <v/>
      </c>
      <c r="Y64" s="573" t="str">
        <f t="shared" si="85"/>
        <v/>
      </c>
      <c r="Z64" s="575" t="str">
        <f t="shared" si="100"/>
        <v/>
      </c>
      <c r="AA64" s="572" t="str">
        <f t="shared" si="101"/>
        <v/>
      </c>
      <c r="AB64" s="572" t="str">
        <f t="shared" si="102"/>
        <v/>
      </c>
      <c r="AC64" s="579" t="str">
        <f t="shared" si="103"/>
        <v/>
      </c>
      <c r="AD64" s="580" t="str">
        <f t="shared" si="104"/>
        <v/>
      </c>
      <c r="AE64" s="572" t="str">
        <f t="shared" si="105"/>
        <v/>
      </c>
      <c r="AF64" s="576" t="str">
        <f t="shared" si="106"/>
        <v/>
      </c>
      <c r="AG64" s="545" t="str">
        <f t="shared" si="107"/>
        <v/>
      </c>
      <c r="AH64" s="546" t="str">
        <f t="shared" si="108"/>
        <v/>
      </c>
      <c r="AI64" s="528" t="str">
        <f t="shared" si="109"/>
        <v/>
      </c>
      <c r="AJ64" s="529" t="str">
        <f t="shared" si="110"/>
        <v/>
      </c>
      <c r="AK64" s="578" t="str">
        <f t="shared" si="111"/>
        <v/>
      </c>
      <c r="AL64" s="572" t="str">
        <f t="shared" si="112"/>
        <v/>
      </c>
      <c r="AM64" s="577" t="str">
        <f t="shared" si="113"/>
        <v/>
      </c>
      <c r="AN64" s="524" t="str">
        <f t="shared" si="86"/>
        <v/>
      </c>
      <c r="AO64" s="525" t="str">
        <f t="shared" si="17"/>
        <v/>
      </c>
      <c r="AP64" s="528" t="str">
        <f t="shared" si="114"/>
        <v/>
      </c>
      <c r="AQ64" s="529" t="str">
        <f t="shared" si="60"/>
        <v/>
      </c>
      <c r="AS64" s="598" t="str">
        <f t="shared" si="115"/>
        <v/>
      </c>
      <c r="AT64" s="602" t="str">
        <f t="shared" si="61"/>
        <v/>
      </c>
      <c r="AU64" s="515" t="str">
        <f t="shared" si="87"/>
        <v/>
      </c>
      <c r="AV64" s="164" t="str">
        <f t="shared" si="116"/>
        <v/>
      </c>
      <c r="AW64" s="545" t="str">
        <f>IF($M64="","",W64-INDEX(Assy.Model!$W$9:$W$150,MATCH('SN#.Run#'!$M64,Assy.Model!$M$9:$M$150,0)))</f>
        <v/>
      </c>
      <c r="AX64" s="628" t="str">
        <f>IF($M64="","",X64-INDEX(Assy.Model!$X$9:$X$150,MATCH('SN#.Run#'!$M64,Assy.Model!$M$9:$M$150,0)))</f>
        <v/>
      </c>
      <c r="AY64" s="629" t="str">
        <f>IF($M64="","",Y64-INDEX(Assy.Model!$Y$9:$Y$150,MATCH('SN#.Run#'!$M64,Assy.Model!$M$9:$M$150,0)))</f>
        <v/>
      </c>
      <c r="AZ64" s="602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10" t="str">
        <f>IF($M64="","",AN64-INDEX(Assy.Model!$AN$9:$AN$150,MATCH('SN#.Run#'!$M64,Assy.Model!$M$9:$M$150,0)))</f>
        <v/>
      </c>
      <c r="BB64" s="525" t="str">
        <f>IF($M64="","",AO64-INDEX(Assy.Model!$AO$9:$AO$150,MATCH('SN#.Run#'!$M64,Assy.Model!$M$9:$M$150,0)))</f>
        <v/>
      </c>
      <c r="BC64" s="619" t="str">
        <f>IF($M64="","",AP64-INDEX(Assy.Model!$AP$9:$AP$150,MATCH('SN#.Run#'!$M64,Assy.Model!$M$9:$M$150,0)))</f>
        <v/>
      </c>
      <c r="BD64" s="419"/>
      <c r="BE64" s="699"/>
      <c r="BF64" s="417"/>
      <c r="BG64" s="417"/>
      <c r="BH64" s="417"/>
      <c r="IE64" s="790" t="str">
        <f>IFERROR(IF($IU64="","",IF($IU64&lt;(((Settings!$C$19/2)*-1)*$IE$8),"Taper","Nose")),"")</f>
        <v/>
      </c>
      <c r="IF64" s="482" t="str">
        <f>IFERROR(IF((((($IW64*COS(RADIANS(180-$IY64)))*COS(RADIANS($IY64)))-(($IX64*SIN(RADIANS(180-$IY64)))*SIN(RADIANS($IY64))))+$IU64)&lt;(((Settings!$C$19+$IF$8)/2)*-1),"Gage",""),"")</f>
        <v/>
      </c>
      <c r="IG64" s="788" t="str">
        <f t="shared" si="65"/>
        <v/>
      </c>
      <c r="IH64" s="674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677" t="str" cm="1">
        <f t="array" ref="II64">IFERROR(IF($IH64&lt;1,$IH64+LARGE((IF($M$9:$M$150="",0,$M$9:$M$150)-MOD(IF($M$9:$M$150="",0,$M$9:$M$150),1)),1),$IH64),"")</f>
        <v/>
      </c>
      <c r="IJ64" s="482" t="str">
        <f t="shared" si="62"/>
        <v/>
      </c>
      <c r="IK64" s="482" t="str">
        <f t="shared" si="117"/>
        <v/>
      </c>
      <c r="IL64" s="670" t="str">
        <f t="shared" si="68"/>
        <v/>
      </c>
      <c r="IM64" s="702"/>
      <c r="IN64" s="5" t="str">
        <f t="shared" si="69"/>
        <v/>
      </c>
      <c r="IO64" s="714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670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05" t="str">
        <f t="shared" si="77"/>
        <v/>
      </c>
    </row>
    <row r="65" spans="1:259" ht="15" customHeight="1" x14ac:dyDescent="0.25">
      <c r="A65" s="82"/>
      <c r="B65" s="578" t="str">
        <f t="shared" si="79"/>
        <v/>
      </c>
      <c r="C65" s="572" t="str">
        <f t="shared" si="80"/>
        <v/>
      </c>
      <c r="D65" s="576" t="str">
        <f t="shared" si="81"/>
        <v/>
      </c>
      <c r="E65" s="580" t="str">
        <f t="shared" si="82"/>
        <v/>
      </c>
      <c r="F65" s="572" t="str">
        <f t="shared" si="83"/>
        <v/>
      </c>
      <c r="G65" s="579" t="str">
        <f t="shared" si="84"/>
        <v/>
      </c>
      <c r="H65" s="580" t="str">
        <f t="shared" si="34"/>
        <v/>
      </c>
      <c r="I65" s="482"/>
      <c r="J65" s="483" t="str">
        <v/>
      </c>
      <c r="K65" s="806" t="str">
        <f t="shared" si="66"/>
        <v/>
      </c>
      <c r="M65" s="164" t="str">
        <f t="shared" si="88"/>
        <v/>
      </c>
      <c r="N65" s="575" t="str">
        <f t="shared" si="89"/>
        <v/>
      </c>
      <c r="O65" s="572" t="str">
        <f t="shared" si="90"/>
        <v/>
      </c>
      <c r="P65" s="576" t="str">
        <f t="shared" si="91"/>
        <v/>
      </c>
      <c r="Q65" s="528" t="str">
        <f t="shared" si="92"/>
        <v/>
      </c>
      <c r="R65" s="572" t="str">
        <f t="shared" si="93"/>
        <v/>
      </c>
      <c r="S65" s="577" t="str">
        <f t="shared" si="94"/>
        <v/>
      </c>
      <c r="T65" s="578" t="str">
        <f t="shared" si="95"/>
        <v/>
      </c>
      <c r="U65" s="572" t="str">
        <f t="shared" si="96"/>
        <v/>
      </c>
      <c r="V65" s="579" t="str">
        <f t="shared" si="97"/>
        <v/>
      </c>
      <c r="W65" s="528" t="str">
        <f t="shared" si="98"/>
        <v/>
      </c>
      <c r="X65" s="572" t="str">
        <f t="shared" si="99"/>
        <v/>
      </c>
      <c r="Y65" s="573" t="str">
        <f t="shared" si="85"/>
        <v/>
      </c>
      <c r="Z65" s="575" t="str">
        <f t="shared" si="100"/>
        <v/>
      </c>
      <c r="AA65" s="572" t="str">
        <f t="shared" si="101"/>
        <v/>
      </c>
      <c r="AB65" s="572" t="str">
        <f t="shared" si="102"/>
        <v/>
      </c>
      <c r="AC65" s="579" t="str">
        <f t="shared" si="103"/>
        <v/>
      </c>
      <c r="AD65" s="580" t="str">
        <f t="shared" si="104"/>
        <v/>
      </c>
      <c r="AE65" s="572" t="str">
        <f t="shared" si="105"/>
        <v/>
      </c>
      <c r="AF65" s="576" t="str">
        <f t="shared" si="106"/>
        <v/>
      </c>
      <c r="AG65" s="545" t="str">
        <f t="shared" si="107"/>
        <v/>
      </c>
      <c r="AH65" s="546" t="str">
        <f t="shared" si="108"/>
        <v/>
      </c>
      <c r="AI65" s="528" t="str">
        <f t="shared" si="109"/>
        <v/>
      </c>
      <c r="AJ65" s="529" t="str">
        <f t="shared" si="110"/>
        <v/>
      </c>
      <c r="AK65" s="578" t="str">
        <f t="shared" si="111"/>
        <v/>
      </c>
      <c r="AL65" s="572" t="str">
        <f t="shared" si="112"/>
        <v/>
      </c>
      <c r="AM65" s="577" t="str">
        <f t="shared" si="113"/>
        <v/>
      </c>
      <c r="AN65" s="524" t="str">
        <f t="shared" si="86"/>
        <v/>
      </c>
      <c r="AO65" s="525" t="str">
        <f t="shared" si="17"/>
        <v/>
      </c>
      <c r="AP65" s="528" t="str">
        <f t="shared" si="114"/>
        <v/>
      </c>
      <c r="AQ65" s="529" t="str">
        <f t="shared" si="60"/>
        <v/>
      </c>
      <c r="AS65" s="598" t="str">
        <f t="shared" si="115"/>
        <v/>
      </c>
      <c r="AT65" s="602" t="str">
        <f t="shared" si="61"/>
        <v/>
      </c>
      <c r="AU65" s="515" t="str">
        <f t="shared" si="87"/>
        <v/>
      </c>
      <c r="AV65" s="164" t="str">
        <f t="shared" si="116"/>
        <v/>
      </c>
      <c r="AW65" s="545" t="str">
        <f>IF($M65="","",W65-INDEX(Assy.Model!$W$9:$W$150,MATCH('SN#.Run#'!$M65,Assy.Model!$M$9:$M$150,0)))</f>
        <v/>
      </c>
      <c r="AX65" s="628" t="str">
        <f>IF($M65="","",X65-INDEX(Assy.Model!$X$9:$X$150,MATCH('SN#.Run#'!$M65,Assy.Model!$M$9:$M$150,0)))</f>
        <v/>
      </c>
      <c r="AY65" s="629" t="str">
        <f>IF($M65="","",Y65-INDEX(Assy.Model!$Y$9:$Y$150,MATCH('SN#.Run#'!$M65,Assy.Model!$M$9:$M$150,0)))</f>
        <v/>
      </c>
      <c r="AZ65" s="602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10" t="str">
        <f>IF($M65="","",AN65-INDEX(Assy.Model!$AN$9:$AN$150,MATCH('SN#.Run#'!$M65,Assy.Model!$M$9:$M$150,0)))</f>
        <v/>
      </c>
      <c r="BB65" s="525" t="str">
        <f>IF($M65="","",AO65-INDEX(Assy.Model!$AO$9:$AO$150,MATCH('SN#.Run#'!$M65,Assy.Model!$M$9:$M$150,0)))</f>
        <v/>
      </c>
      <c r="BC65" s="619" t="str">
        <f>IF($M65="","",AP65-INDEX(Assy.Model!$AP$9:$AP$150,MATCH('SN#.Run#'!$M65,Assy.Model!$M$9:$M$150,0)))</f>
        <v/>
      </c>
      <c r="BD65" s="419"/>
      <c r="BE65" s="699"/>
      <c r="BF65" s="417"/>
      <c r="BG65" s="417"/>
      <c r="BH65" s="417"/>
      <c r="IE65" s="790" t="str">
        <f>IFERROR(IF($IU65="","",IF($IU65&lt;(((Settings!$C$19/2)*-1)*$IE$8),"Taper","Nose")),"")</f>
        <v/>
      </c>
      <c r="IF65" s="482" t="str">
        <f>IFERROR(IF((((($IW65*COS(RADIANS(180-$IY65)))*COS(RADIANS($IY65)))-(($IX65*SIN(RADIANS(180-$IY65)))*SIN(RADIANS($IY65))))+$IU65)&lt;(((Settings!$C$19+$IF$8)/2)*-1),"Gage",""),"")</f>
        <v/>
      </c>
      <c r="IG65" s="788" t="str">
        <f t="shared" si="65"/>
        <v/>
      </c>
      <c r="IH65" s="674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677" t="str" cm="1">
        <f t="array" ref="II65">IFERROR(IF($IH65&lt;1,$IH65+LARGE((IF($M$9:$M$150="",0,$M$9:$M$150)-MOD(IF($M$9:$M$150="",0,$M$9:$M$150),1)),1),$IH65),"")</f>
        <v/>
      </c>
      <c r="IJ65" s="482" t="str">
        <f t="shared" si="62"/>
        <v/>
      </c>
      <c r="IK65" s="482" t="str">
        <f t="shared" si="117"/>
        <v/>
      </c>
      <c r="IL65" s="670" t="str">
        <f t="shared" si="68"/>
        <v/>
      </c>
      <c r="IM65" s="702"/>
      <c r="IN65" s="5" t="str">
        <f t="shared" si="69"/>
        <v/>
      </c>
      <c r="IO65" s="714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670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05" t="str">
        <f t="shared" si="77"/>
        <v/>
      </c>
    </row>
    <row r="66" spans="1:259" ht="15" customHeight="1" x14ac:dyDescent="0.25">
      <c r="A66" s="82"/>
      <c r="B66" s="578" t="str">
        <f t="shared" si="79"/>
        <v/>
      </c>
      <c r="C66" s="572" t="str">
        <f t="shared" si="80"/>
        <v/>
      </c>
      <c r="D66" s="576" t="str">
        <f t="shared" si="81"/>
        <v/>
      </c>
      <c r="E66" s="580" t="str">
        <f t="shared" si="82"/>
        <v/>
      </c>
      <c r="F66" s="572" t="str">
        <f t="shared" si="83"/>
        <v/>
      </c>
      <c r="G66" s="579" t="str">
        <f t="shared" si="84"/>
        <v/>
      </c>
      <c r="H66" s="580" t="str">
        <f t="shared" si="34"/>
        <v/>
      </c>
      <c r="I66" s="482"/>
      <c r="J66" s="483" t="str">
        <v/>
      </c>
      <c r="K66" s="806" t="str">
        <f t="shared" si="66"/>
        <v/>
      </c>
      <c r="M66" s="164" t="str">
        <f t="shared" si="88"/>
        <v/>
      </c>
      <c r="N66" s="575" t="str">
        <f t="shared" si="89"/>
        <v/>
      </c>
      <c r="O66" s="572" t="str">
        <f t="shared" si="90"/>
        <v/>
      </c>
      <c r="P66" s="576" t="str">
        <f t="shared" si="91"/>
        <v/>
      </c>
      <c r="Q66" s="528" t="str">
        <f t="shared" si="92"/>
        <v/>
      </c>
      <c r="R66" s="572" t="str">
        <f t="shared" si="93"/>
        <v/>
      </c>
      <c r="S66" s="577" t="str">
        <f t="shared" si="94"/>
        <v/>
      </c>
      <c r="T66" s="578" t="str">
        <f t="shared" si="95"/>
        <v/>
      </c>
      <c r="U66" s="572" t="str">
        <f t="shared" si="96"/>
        <v/>
      </c>
      <c r="V66" s="579" t="str">
        <f t="shared" si="97"/>
        <v/>
      </c>
      <c r="W66" s="528" t="str">
        <f t="shared" si="98"/>
        <v/>
      </c>
      <c r="X66" s="572" t="str">
        <f t="shared" si="99"/>
        <v/>
      </c>
      <c r="Y66" s="573" t="str">
        <f t="shared" si="85"/>
        <v/>
      </c>
      <c r="Z66" s="575" t="str">
        <f t="shared" si="100"/>
        <v/>
      </c>
      <c r="AA66" s="572" t="str">
        <f t="shared" si="101"/>
        <v/>
      </c>
      <c r="AB66" s="572" t="str">
        <f t="shared" si="102"/>
        <v/>
      </c>
      <c r="AC66" s="579" t="str">
        <f t="shared" si="103"/>
        <v/>
      </c>
      <c r="AD66" s="580" t="str">
        <f t="shared" si="104"/>
        <v/>
      </c>
      <c r="AE66" s="572" t="str">
        <f t="shared" si="105"/>
        <v/>
      </c>
      <c r="AF66" s="576" t="str">
        <f t="shared" si="106"/>
        <v/>
      </c>
      <c r="AG66" s="545" t="str">
        <f t="shared" si="107"/>
        <v/>
      </c>
      <c r="AH66" s="546" t="str">
        <f t="shared" si="108"/>
        <v/>
      </c>
      <c r="AI66" s="528" t="str">
        <f t="shared" si="109"/>
        <v/>
      </c>
      <c r="AJ66" s="529" t="str">
        <f t="shared" si="110"/>
        <v/>
      </c>
      <c r="AK66" s="578" t="str">
        <f t="shared" si="111"/>
        <v/>
      </c>
      <c r="AL66" s="572" t="str">
        <f t="shared" si="112"/>
        <v/>
      </c>
      <c r="AM66" s="577" t="str">
        <f t="shared" si="113"/>
        <v/>
      </c>
      <c r="AN66" s="524" t="str">
        <f t="shared" si="86"/>
        <v/>
      </c>
      <c r="AO66" s="525" t="str">
        <f t="shared" si="17"/>
        <v/>
      </c>
      <c r="AP66" s="528" t="str">
        <f t="shared" si="114"/>
        <v/>
      </c>
      <c r="AQ66" s="529" t="str">
        <f t="shared" si="60"/>
        <v/>
      </c>
      <c r="AS66" s="598" t="str">
        <f t="shared" si="115"/>
        <v/>
      </c>
      <c r="AT66" s="602" t="str">
        <f t="shared" si="61"/>
        <v/>
      </c>
      <c r="AU66" s="515" t="str">
        <f t="shared" si="87"/>
        <v/>
      </c>
      <c r="AV66" s="164" t="str">
        <f t="shared" si="116"/>
        <v/>
      </c>
      <c r="AW66" s="545" t="str">
        <f>IF($M66="","",W66-INDEX(Assy.Model!$W$9:$W$150,MATCH('SN#.Run#'!$M66,Assy.Model!$M$9:$M$150,0)))</f>
        <v/>
      </c>
      <c r="AX66" s="628" t="str">
        <f>IF($M66="","",X66-INDEX(Assy.Model!$X$9:$X$150,MATCH('SN#.Run#'!$M66,Assy.Model!$M$9:$M$150,0)))</f>
        <v/>
      </c>
      <c r="AY66" s="629" t="str">
        <f>IF($M66="","",Y66-INDEX(Assy.Model!$Y$9:$Y$150,MATCH('SN#.Run#'!$M66,Assy.Model!$M$9:$M$150,0)))</f>
        <v/>
      </c>
      <c r="AZ66" s="602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10" t="str">
        <f>IF($M66="","",AN66-INDEX(Assy.Model!$AN$9:$AN$150,MATCH('SN#.Run#'!$M66,Assy.Model!$M$9:$M$150,0)))</f>
        <v/>
      </c>
      <c r="BB66" s="525" t="str">
        <f>IF($M66="","",AO66-INDEX(Assy.Model!$AO$9:$AO$150,MATCH('SN#.Run#'!$M66,Assy.Model!$M$9:$M$150,0)))</f>
        <v/>
      </c>
      <c r="BC66" s="619" t="str">
        <f>IF($M66="","",AP66-INDEX(Assy.Model!$AP$9:$AP$150,MATCH('SN#.Run#'!$M66,Assy.Model!$M$9:$M$150,0)))</f>
        <v/>
      </c>
      <c r="BD66" s="419"/>
      <c r="BE66" s="699"/>
      <c r="BF66" s="417"/>
      <c r="BG66" s="417"/>
      <c r="BH66" s="417"/>
      <c r="IE66" s="790" t="str">
        <f>IFERROR(IF($IU66="","",IF($IU66&lt;(((Settings!$C$19/2)*-1)*$IE$8),"Taper","Nose")),"")</f>
        <v/>
      </c>
      <c r="IF66" s="482" t="str">
        <f>IFERROR(IF((((($IW66*COS(RADIANS(180-$IY66)))*COS(RADIANS($IY66)))-(($IX66*SIN(RADIANS(180-$IY66)))*SIN(RADIANS($IY66))))+$IU66)&lt;(((Settings!$C$19+$IF$8)/2)*-1),"Gage",""),"")</f>
        <v/>
      </c>
      <c r="IG66" s="788" t="str">
        <f t="shared" si="65"/>
        <v/>
      </c>
      <c r="IH66" s="674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677" t="str" cm="1">
        <f t="array" ref="II66">IFERROR(IF($IH66&lt;1,$IH66+LARGE((IF($M$9:$M$150="",0,$M$9:$M$150)-MOD(IF($M$9:$M$150="",0,$M$9:$M$150),1)),1),$IH66),"")</f>
        <v/>
      </c>
      <c r="IJ66" s="482" t="str">
        <f t="shared" si="62"/>
        <v/>
      </c>
      <c r="IK66" s="482" t="str">
        <f t="shared" si="117"/>
        <v/>
      </c>
      <c r="IL66" s="670" t="str">
        <f t="shared" si="68"/>
        <v/>
      </c>
      <c r="IM66" s="702"/>
      <c r="IN66" s="5" t="str">
        <f t="shared" si="69"/>
        <v/>
      </c>
      <c r="IO66" s="714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670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05" t="str">
        <f t="shared" si="77"/>
        <v/>
      </c>
    </row>
    <row r="67" spans="1:259" ht="15" customHeight="1" x14ac:dyDescent="0.25">
      <c r="A67" s="82"/>
      <c r="B67" s="578" t="str">
        <f t="shared" si="79"/>
        <v/>
      </c>
      <c r="C67" s="572" t="str">
        <f t="shared" si="80"/>
        <v/>
      </c>
      <c r="D67" s="576" t="str">
        <f t="shared" si="81"/>
        <v/>
      </c>
      <c r="E67" s="580" t="str">
        <f t="shared" si="82"/>
        <v/>
      </c>
      <c r="F67" s="572" t="str">
        <f t="shared" si="83"/>
        <v/>
      </c>
      <c r="G67" s="579" t="str">
        <f t="shared" si="84"/>
        <v/>
      </c>
      <c r="H67" s="580" t="str">
        <f t="shared" si="34"/>
        <v/>
      </c>
      <c r="I67" s="482"/>
      <c r="J67" s="483" t="str">
        <v/>
      </c>
      <c r="K67" s="806" t="str">
        <f t="shared" si="66"/>
        <v/>
      </c>
      <c r="M67" s="164" t="str">
        <f t="shared" si="88"/>
        <v/>
      </c>
      <c r="N67" s="575" t="str">
        <f t="shared" si="89"/>
        <v/>
      </c>
      <c r="O67" s="572" t="str">
        <f t="shared" si="90"/>
        <v/>
      </c>
      <c r="P67" s="576" t="str">
        <f t="shared" si="91"/>
        <v/>
      </c>
      <c r="Q67" s="528" t="str">
        <f t="shared" si="92"/>
        <v/>
      </c>
      <c r="R67" s="572" t="str">
        <f t="shared" si="93"/>
        <v/>
      </c>
      <c r="S67" s="577" t="str">
        <f t="shared" si="94"/>
        <v/>
      </c>
      <c r="T67" s="578" t="str">
        <f t="shared" si="95"/>
        <v/>
      </c>
      <c r="U67" s="572" t="str">
        <f t="shared" si="96"/>
        <v/>
      </c>
      <c r="V67" s="579" t="str">
        <f t="shared" si="97"/>
        <v/>
      </c>
      <c r="W67" s="528" t="str">
        <f t="shared" si="98"/>
        <v/>
      </c>
      <c r="X67" s="572" t="str">
        <f t="shared" si="99"/>
        <v/>
      </c>
      <c r="Y67" s="573" t="str">
        <f t="shared" si="85"/>
        <v/>
      </c>
      <c r="Z67" s="575" t="str">
        <f t="shared" si="100"/>
        <v/>
      </c>
      <c r="AA67" s="572" t="str">
        <f t="shared" si="101"/>
        <v/>
      </c>
      <c r="AB67" s="572" t="str">
        <f t="shared" si="102"/>
        <v/>
      </c>
      <c r="AC67" s="579" t="str">
        <f t="shared" si="103"/>
        <v/>
      </c>
      <c r="AD67" s="580" t="str">
        <f t="shared" si="104"/>
        <v/>
      </c>
      <c r="AE67" s="572" t="str">
        <f t="shared" si="105"/>
        <v/>
      </c>
      <c r="AF67" s="576" t="str">
        <f t="shared" si="106"/>
        <v/>
      </c>
      <c r="AG67" s="545" t="str">
        <f t="shared" si="107"/>
        <v/>
      </c>
      <c r="AH67" s="546" t="str">
        <f t="shared" si="108"/>
        <v/>
      </c>
      <c r="AI67" s="528" t="str">
        <f t="shared" si="109"/>
        <v/>
      </c>
      <c r="AJ67" s="529" t="str">
        <f t="shared" si="110"/>
        <v/>
      </c>
      <c r="AK67" s="578" t="str">
        <f t="shared" si="111"/>
        <v/>
      </c>
      <c r="AL67" s="572" t="str">
        <f t="shared" si="112"/>
        <v/>
      </c>
      <c r="AM67" s="577" t="str">
        <f t="shared" si="113"/>
        <v/>
      </c>
      <c r="AN67" s="524" t="str">
        <f t="shared" si="86"/>
        <v/>
      </c>
      <c r="AO67" s="525" t="str">
        <f t="shared" si="17"/>
        <v/>
      </c>
      <c r="AP67" s="528" t="str">
        <f t="shared" si="114"/>
        <v/>
      </c>
      <c r="AQ67" s="529" t="str">
        <f t="shared" si="60"/>
        <v/>
      </c>
      <c r="AS67" s="598" t="str">
        <f t="shared" si="115"/>
        <v/>
      </c>
      <c r="AT67" s="602" t="str">
        <f t="shared" si="61"/>
        <v/>
      </c>
      <c r="AU67" s="515" t="str">
        <f t="shared" si="87"/>
        <v/>
      </c>
      <c r="AV67" s="164" t="str">
        <f t="shared" si="116"/>
        <v/>
      </c>
      <c r="AW67" s="545" t="str">
        <f>IF($M67="","",W67-INDEX(Assy.Model!$W$9:$W$150,MATCH('SN#.Run#'!$M67,Assy.Model!$M$9:$M$150,0)))</f>
        <v/>
      </c>
      <c r="AX67" s="628" t="str">
        <f>IF($M67="","",X67-INDEX(Assy.Model!$X$9:$X$150,MATCH('SN#.Run#'!$M67,Assy.Model!$M$9:$M$150,0)))</f>
        <v/>
      </c>
      <c r="AY67" s="629" t="str">
        <f>IF($M67="","",Y67-INDEX(Assy.Model!$Y$9:$Y$150,MATCH('SN#.Run#'!$M67,Assy.Model!$M$9:$M$150,0)))</f>
        <v/>
      </c>
      <c r="AZ67" s="602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10" t="str">
        <f>IF($M67="","",AN67-INDEX(Assy.Model!$AN$9:$AN$150,MATCH('SN#.Run#'!$M67,Assy.Model!$M$9:$M$150,0)))</f>
        <v/>
      </c>
      <c r="BB67" s="525" t="str">
        <f>IF($M67="","",AO67-INDEX(Assy.Model!$AO$9:$AO$150,MATCH('SN#.Run#'!$M67,Assy.Model!$M$9:$M$150,0)))</f>
        <v/>
      </c>
      <c r="BC67" s="619" t="str">
        <f>IF($M67="","",AP67-INDEX(Assy.Model!$AP$9:$AP$150,MATCH('SN#.Run#'!$M67,Assy.Model!$M$9:$M$150,0)))</f>
        <v/>
      </c>
      <c r="BD67" s="419"/>
      <c r="BE67" s="699"/>
      <c r="BF67" s="417"/>
      <c r="BG67" s="417"/>
      <c r="BH67" s="417"/>
      <c r="IE67" s="790" t="str">
        <f>IFERROR(IF($IU67="","",IF($IU67&lt;(((Settings!$C$19/2)*-1)*$IE$8),"Taper","Nose")),"")</f>
        <v/>
      </c>
      <c r="IF67" s="482" t="str">
        <f>IFERROR(IF((((($IW67*COS(RADIANS(180-$IY67)))*COS(RADIANS($IY67)))-(($IX67*SIN(RADIANS(180-$IY67)))*SIN(RADIANS($IY67))))+$IU67)&lt;(((Settings!$C$19+$IF$8)/2)*-1),"Gage",""),"")</f>
        <v/>
      </c>
      <c r="IG67" s="788" t="str">
        <f t="shared" si="65"/>
        <v/>
      </c>
      <c r="IH67" s="674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677" t="str" cm="1">
        <f t="array" ref="II67">IFERROR(IF($IH67&lt;1,$IH67+LARGE((IF($M$9:$M$150="",0,$M$9:$M$150)-MOD(IF($M$9:$M$150="",0,$M$9:$M$150),1)),1),$IH67),"")</f>
        <v/>
      </c>
      <c r="IJ67" s="482" t="str">
        <f t="shared" si="62"/>
        <v/>
      </c>
      <c r="IK67" s="482" t="str">
        <f t="shared" si="117"/>
        <v/>
      </c>
      <c r="IL67" s="670" t="str">
        <f t="shared" si="68"/>
        <v/>
      </c>
      <c r="IM67" s="702"/>
      <c r="IN67" s="5" t="str">
        <f t="shared" si="69"/>
        <v/>
      </c>
      <c r="IO67" s="714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670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05" t="str">
        <f t="shared" si="77"/>
        <v/>
      </c>
    </row>
    <row r="68" spans="1:259" ht="15" customHeight="1" x14ac:dyDescent="0.25">
      <c r="A68" s="82"/>
      <c r="B68" s="578" t="str">
        <f t="shared" si="79"/>
        <v/>
      </c>
      <c r="C68" s="572" t="str">
        <f t="shared" si="80"/>
        <v/>
      </c>
      <c r="D68" s="576" t="str">
        <f t="shared" si="81"/>
        <v/>
      </c>
      <c r="E68" s="580" t="str">
        <f t="shared" si="82"/>
        <v/>
      </c>
      <c r="F68" s="572" t="str">
        <f t="shared" si="83"/>
        <v/>
      </c>
      <c r="G68" s="579" t="str">
        <f t="shared" si="84"/>
        <v/>
      </c>
      <c r="H68" s="580" t="str">
        <f t="shared" si="34"/>
        <v/>
      </c>
      <c r="I68" s="482"/>
      <c r="J68" s="483" t="str">
        <v/>
      </c>
      <c r="K68" s="806" t="str">
        <f t="shared" si="66"/>
        <v/>
      </c>
      <c r="M68" s="164" t="str">
        <f t="shared" si="88"/>
        <v/>
      </c>
      <c r="N68" s="575" t="str">
        <f t="shared" si="89"/>
        <v/>
      </c>
      <c r="O68" s="572" t="str">
        <f t="shared" si="90"/>
        <v/>
      </c>
      <c r="P68" s="576" t="str">
        <f t="shared" si="91"/>
        <v/>
      </c>
      <c r="Q68" s="528" t="str">
        <f t="shared" si="92"/>
        <v/>
      </c>
      <c r="R68" s="572" t="str">
        <f t="shared" si="93"/>
        <v/>
      </c>
      <c r="S68" s="577" t="str">
        <f t="shared" si="94"/>
        <v/>
      </c>
      <c r="T68" s="578" t="str">
        <f t="shared" si="95"/>
        <v/>
      </c>
      <c r="U68" s="572" t="str">
        <f t="shared" si="96"/>
        <v/>
      </c>
      <c r="V68" s="579" t="str">
        <f t="shared" si="97"/>
        <v/>
      </c>
      <c r="W68" s="528" t="str">
        <f t="shared" si="98"/>
        <v/>
      </c>
      <c r="X68" s="572" t="str">
        <f t="shared" si="99"/>
        <v/>
      </c>
      <c r="Y68" s="573" t="str">
        <f t="shared" si="85"/>
        <v/>
      </c>
      <c r="Z68" s="575" t="str">
        <f t="shared" si="100"/>
        <v/>
      </c>
      <c r="AA68" s="572" t="str">
        <f t="shared" si="101"/>
        <v/>
      </c>
      <c r="AB68" s="572" t="str">
        <f t="shared" si="102"/>
        <v/>
      </c>
      <c r="AC68" s="579" t="str">
        <f t="shared" si="103"/>
        <v/>
      </c>
      <c r="AD68" s="580" t="str">
        <f t="shared" si="104"/>
        <v/>
      </c>
      <c r="AE68" s="572" t="str">
        <f t="shared" si="105"/>
        <v/>
      </c>
      <c r="AF68" s="576" t="str">
        <f t="shared" si="106"/>
        <v/>
      </c>
      <c r="AG68" s="545" t="str">
        <f t="shared" si="107"/>
        <v/>
      </c>
      <c r="AH68" s="546" t="str">
        <f t="shared" si="108"/>
        <v/>
      </c>
      <c r="AI68" s="528" t="str">
        <f t="shared" si="109"/>
        <v/>
      </c>
      <c r="AJ68" s="529" t="str">
        <f t="shared" si="110"/>
        <v/>
      </c>
      <c r="AK68" s="578" t="str">
        <f t="shared" si="111"/>
        <v/>
      </c>
      <c r="AL68" s="572" t="str">
        <f t="shared" si="112"/>
        <v/>
      </c>
      <c r="AM68" s="577" t="str">
        <f t="shared" si="113"/>
        <v/>
      </c>
      <c r="AN68" s="524" t="str">
        <f t="shared" si="86"/>
        <v/>
      </c>
      <c r="AO68" s="525" t="str">
        <f t="shared" si="17"/>
        <v/>
      </c>
      <c r="AP68" s="528" t="str">
        <f t="shared" si="114"/>
        <v/>
      </c>
      <c r="AQ68" s="529" t="str">
        <f t="shared" si="60"/>
        <v/>
      </c>
      <c r="AS68" s="598" t="str">
        <f t="shared" si="115"/>
        <v/>
      </c>
      <c r="AT68" s="602" t="str">
        <f t="shared" si="61"/>
        <v/>
      </c>
      <c r="AU68" s="515" t="str">
        <f t="shared" si="87"/>
        <v/>
      </c>
      <c r="AV68" s="164" t="str">
        <f t="shared" si="116"/>
        <v/>
      </c>
      <c r="AW68" s="545" t="str">
        <f>IF($M68="","",W68-INDEX(Assy.Model!$W$9:$W$150,MATCH('SN#.Run#'!$M68,Assy.Model!$M$9:$M$150,0)))</f>
        <v/>
      </c>
      <c r="AX68" s="628" t="str">
        <f>IF($M68="","",X68-INDEX(Assy.Model!$X$9:$X$150,MATCH('SN#.Run#'!$M68,Assy.Model!$M$9:$M$150,0)))</f>
        <v/>
      </c>
      <c r="AY68" s="629" t="str">
        <f>IF($M68="","",Y68-INDEX(Assy.Model!$Y$9:$Y$150,MATCH('SN#.Run#'!$M68,Assy.Model!$M$9:$M$150,0)))</f>
        <v/>
      </c>
      <c r="AZ68" s="602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10" t="str">
        <f>IF($M68="","",AN68-INDEX(Assy.Model!$AN$9:$AN$150,MATCH('SN#.Run#'!$M68,Assy.Model!$M$9:$M$150,0)))</f>
        <v/>
      </c>
      <c r="BB68" s="525" t="str">
        <f>IF($M68="","",AO68-INDEX(Assy.Model!$AO$9:$AO$150,MATCH('SN#.Run#'!$M68,Assy.Model!$M$9:$M$150,0)))</f>
        <v/>
      </c>
      <c r="BC68" s="619" t="str">
        <f>IF($M68="","",AP68-INDEX(Assy.Model!$AP$9:$AP$150,MATCH('SN#.Run#'!$M68,Assy.Model!$M$9:$M$150,0)))</f>
        <v/>
      </c>
      <c r="BD68" s="419"/>
      <c r="BE68" s="699"/>
      <c r="BF68" s="417"/>
      <c r="BG68" s="417"/>
      <c r="BH68" s="417"/>
      <c r="BI68" s="1"/>
      <c r="IE68" s="790" t="str">
        <f>IFERROR(IF($IU68="","",IF($IU68&lt;(((Settings!$C$19/2)*-1)*$IE$8),"Taper","Nose")),"")</f>
        <v/>
      </c>
      <c r="IF68" s="482" t="str">
        <f>IFERROR(IF((((($IW68*COS(RADIANS(180-$IY68)))*COS(RADIANS($IY68)))-(($IX68*SIN(RADIANS(180-$IY68)))*SIN(RADIANS($IY68))))+$IU68)&lt;(((Settings!$C$19+$IF$8)/2)*-1),"Gage",""),"")</f>
        <v/>
      </c>
      <c r="IG68" s="788" t="str">
        <f t="shared" si="65"/>
        <v/>
      </c>
      <c r="IH68" s="674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677" t="str" cm="1">
        <f t="array" ref="II68">IFERROR(IF($IH68&lt;1,$IH68+LARGE((IF($M$9:$M$150="",0,$M$9:$M$150)-MOD(IF($M$9:$M$150="",0,$M$9:$M$150),1)),1),$IH68),"")</f>
        <v/>
      </c>
      <c r="IJ68" s="482" t="str">
        <f t="shared" si="62"/>
        <v/>
      </c>
      <c r="IK68" s="482" t="str">
        <f t="shared" si="117"/>
        <v/>
      </c>
      <c r="IL68" s="670" t="str">
        <f t="shared" si="68"/>
        <v/>
      </c>
      <c r="IM68" s="702"/>
      <c r="IN68" s="5" t="str">
        <f t="shared" si="69"/>
        <v/>
      </c>
      <c r="IO68" s="714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670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05" t="str">
        <f t="shared" si="77"/>
        <v/>
      </c>
    </row>
    <row r="69" spans="1:259" ht="15" customHeight="1" x14ac:dyDescent="0.25">
      <c r="A69" s="82"/>
      <c r="B69" s="578" t="str">
        <f t="shared" si="79"/>
        <v/>
      </c>
      <c r="C69" s="572" t="str">
        <f t="shared" si="80"/>
        <v/>
      </c>
      <c r="D69" s="576" t="str">
        <f t="shared" si="81"/>
        <v/>
      </c>
      <c r="E69" s="580" t="str">
        <f t="shared" si="82"/>
        <v/>
      </c>
      <c r="F69" s="572" t="str">
        <f t="shared" si="83"/>
        <v/>
      </c>
      <c r="G69" s="579" t="str">
        <f t="shared" si="84"/>
        <v/>
      </c>
      <c r="H69" s="580" t="str">
        <f t="shared" si="34"/>
        <v/>
      </c>
      <c r="I69" s="482"/>
      <c r="J69" s="483" t="str">
        <v/>
      </c>
      <c r="K69" s="806" t="str">
        <f t="shared" si="66"/>
        <v/>
      </c>
      <c r="M69" s="164" t="str">
        <f t="shared" si="88"/>
        <v/>
      </c>
      <c r="N69" s="575" t="str">
        <f t="shared" si="89"/>
        <v/>
      </c>
      <c r="O69" s="572" t="str">
        <f t="shared" si="90"/>
        <v/>
      </c>
      <c r="P69" s="576" t="str">
        <f t="shared" si="91"/>
        <v/>
      </c>
      <c r="Q69" s="528" t="str">
        <f t="shared" si="92"/>
        <v/>
      </c>
      <c r="R69" s="572" t="str">
        <f t="shared" si="93"/>
        <v/>
      </c>
      <c r="S69" s="577" t="str">
        <f t="shared" si="94"/>
        <v/>
      </c>
      <c r="T69" s="578" t="str">
        <f t="shared" si="95"/>
        <v/>
      </c>
      <c r="U69" s="572" t="str">
        <f t="shared" si="96"/>
        <v/>
      </c>
      <c r="V69" s="579" t="str">
        <f t="shared" si="97"/>
        <v/>
      </c>
      <c r="W69" s="528" t="str">
        <f t="shared" si="98"/>
        <v/>
      </c>
      <c r="X69" s="572" t="str">
        <f t="shared" si="99"/>
        <v/>
      </c>
      <c r="Y69" s="573" t="str">
        <f t="shared" si="85"/>
        <v/>
      </c>
      <c r="Z69" s="575" t="str">
        <f t="shared" si="100"/>
        <v/>
      </c>
      <c r="AA69" s="572" t="str">
        <f t="shared" si="101"/>
        <v/>
      </c>
      <c r="AB69" s="572" t="str">
        <f t="shared" si="102"/>
        <v/>
      </c>
      <c r="AC69" s="579" t="str">
        <f t="shared" si="103"/>
        <v/>
      </c>
      <c r="AD69" s="580" t="str">
        <f t="shared" si="104"/>
        <v/>
      </c>
      <c r="AE69" s="572" t="str">
        <f t="shared" si="105"/>
        <v/>
      </c>
      <c r="AF69" s="576" t="str">
        <f t="shared" si="106"/>
        <v/>
      </c>
      <c r="AG69" s="545" t="str">
        <f t="shared" si="107"/>
        <v/>
      </c>
      <c r="AH69" s="546" t="str">
        <f t="shared" si="108"/>
        <v/>
      </c>
      <c r="AI69" s="528" t="str">
        <f t="shared" si="109"/>
        <v/>
      </c>
      <c r="AJ69" s="529" t="str">
        <f t="shared" si="110"/>
        <v/>
      </c>
      <c r="AK69" s="578" t="str">
        <f t="shared" si="111"/>
        <v/>
      </c>
      <c r="AL69" s="572" t="str">
        <f t="shared" si="112"/>
        <v/>
      </c>
      <c r="AM69" s="577" t="str">
        <f t="shared" si="113"/>
        <v/>
      </c>
      <c r="AN69" s="524" t="str">
        <f t="shared" si="86"/>
        <v/>
      </c>
      <c r="AO69" s="525" t="str">
        <f t="shared" si="17"/>
        <v/>
      </c>
      <c r="AP69" s="528" t="str">
        <f t="shared" si="114"/>
        <v/>
      </c>
      <c r="AQ69" s="529" t="str">
        <f t="shared" si="60"/>
        <v/>
      </c>
      <c r="AS69" s="598" t="str">
        <f t="shared" si="115"/>
        <v/>
      </c>
      <c r="AT69" s="602" t="str">
        <f t="shared" si="61"/>
        <v/>
      </c>
      <c r="AU69" s="515" t="str">
        <f t="shared" si="87"/>
        <v/>
      </c>
      <c r="AV69" s="164" t="str">
        <f t="shared" si="116"/>
        <v/>
      </c>
      <c r="AW69" s="545" t="str">
        <f>IF($M69="","",W69-INDEX(Assy.Model!$W$9:$W$150,MATCH('SN#.Run#'!$M69,Assy.Model!$M$9:$M$150,0)))</f>
        <v/>
      </c>
      <c r="AX69" s="628" t="str">
        <f>IF($M69="","",X69-INDEX(Assy.Model!$X$9:$X$150,MATCH('SN#.Run#'!$M69,Assy.Model!$M$9:$M$150,0)))</f>
        <v/>
      </c>
      <c r="AY69" s="629" t="str">
        <f>IF($M69="","",Y69-INDEX(Assy.Model!$Y$9:$Y$150,MATCH('SN#.Run#'!$M69,Assy.Model!$M$9:$M$150,0)))</f>
        <v/>
      </c>
      <c r="AZ69" s="602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10" t="str">
        <f>IF($M69="","",AN69-INDEX(Assy.Model!$AN$9:$AN$150,MATCH('SN#.Run#'!$M69,Assy.Model!$M$9:$M$150,0)))</f>
        <v/>
      </c>
      <c r="BB69" s="525" t="str">
        <f>IF($M69="","",AO69-INDEX(Assy.Model!$AO$9:$AO$150,MATCH('SN#.Run#'!$M69,Assy.Model!$M$9:$M$150,0)))</f>
        <v/>
      </c>
      <c r="BC69" s="619" t="str">
        <f>IF($M69="","",AP69-INDEX(Assy.Model!$AP$9:$AP$150,MATCH('SN#.Run#'!$M69,Assy.Model!$M$9:$M$150,0)))</f>
        <v/>
      </c>
      <c r="BD69" s="419"/>
      <c r="BE69" s="699"/>
      <c r="BF69" s="417"/>
      <c r="BG69" s="417"/>
      <c r="BH69" s="417"/>
      <c r="IE69" s="790" t="str">
        <f>IFERROR(IF($IU69="","",IF($IU69&lt;(((Settings!$C$19/2)*-1)*$IE$8),"Taper","Nose")),"")</f>
        <v/>
      </c>
      <c r="IF69" s="482" t="str">
        <f>IFERROR(IF((((($IW69*COS(RADIANS(180-$IY69)))*COS(RADIANS($IY69)))-(($IX69*SIN(RADIANS(180-$IY69)))*SIN(RADIANS($IY69))))+$IU69)&lt;(((Settings!$C$19+$IF$8)/2)*-1),"Gage",""),"")</f>
        <v/>
      </c>
      <c r="IG69" s="788" t="str">
        <f t="shared" si="65"/>
        <v/>
      </c>
      <c r="IH69" s="674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677" t="str" cm="1">
        <f t="array" ref="II69">IFERROR(IF($IH69&lt;1,$IH69+LARGE((IF($M$9:$M$150="",0,$M$9:$M$150)-MOD(IF($M$9:$M$150="",0,$M$9:$M$150),1)),1),$IH69),"")</f>
        <v/>
      </c>
      <c r="IJ69" s="482" t="str">
        <f t="shared" si="62"/>
        <v/>
      </c>
      <c r="IK69" s="482" t="str">
        <f t="shared" si="117"/>
        <v/>
      </c>
      <c r="IL69" s="670" t="str">
        <f t="shared" si="68"/>
        <v/>
      </c>
      <c r="IM69" s="702"/>
      <c r="IN69" s="5" t="str">
        <f t="shared" si="69"/>
        <v/>
      </c>
      <c r="IO69" s="714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670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05" t="str">
        <f t="shared" si="77"/>
        <v/>
      </c>
    </row>
    <row r="70" spans="1:259" ht="15" customHeight="1" x14ac:dyDescent="0.25">
      <c r="A70" s="82"/>
      <c r="B70" s="578" t="str">
        <f t="shared" si="79"/>
        <v/>
      </c>
      <c r="C70" s="572" t="str">
        <f t="shared" si="80"/>
        <v/>
      </c>
      <c r="D70" s="576" t="str">
        <f t="shared" si="81"/>
        <v/>
      </c>
      <c r="E70" s="580" t="str">
        <f t="shared" si="82"/>
        <v/>
      </c>
      <c r="F70" s="572" t="str">
        <f t="shared" si="83"/>
        <v/>
      </c>
      <c r="G70" s="579" t="str">
        <f t="shared" si="84"/>
        <v/>
      </c>
      <c r="H70" s="580" t="str">
        <f t="shared" si="34"/>
        <v/>
      </c>
      <c r="I70" s="482"/>
      <c r="J70" s="483" t="str">
        <v/>
      </c>
      <c r="K70" s="806" t="str">
        <f t="shared" si="66"/>
        <v/>
      </c>
      <c r="M70" s="164" t="str">
        <f t="shared" si="88"/>
        <v/>
      </c>
      <c r="N70" s="575" t="str">
        <f t="shared" si="89"/>
        <v/>
      </c>
      <c r="O70" s="572" t="str">
        <f t="shared" si="90"/>
        <v/>
      </c>
      <c r="P70" s="576" t="str">
        <f t="shared" si="91"/>
        <v/>
      </c>
      <c r="Q70" s="528" t="str">
        <f t="shared" si="92"/>
        <v/>
      </c>
      <c r="R70" s="572" t="str">
        <f t="shared" si="93"/>
        <v/>
      </c>
      <c r="S70" s="577" t="str">
        <f t="shared" si="94"/>
        <v/>
      </c>
      <c r="T70" s="578" t="str">
        <f t="shared" si="95"/>
        <v/>
      </c>
      <c r="U70" s="572" t="str">
        <f t="shared" si="96"/>
        <v/>
      </c>
      <c r="V70" s="579" t="str">
        <f t="shared" si="97"/>
        <v/>
      </c>
      <c r="W70" s="528" t="str">
        <f t="shared" si="98"/>
        <v/>
      </c>
      <c r="X70" s="572" t="str">
        <f t="shared" si="99"/>
        <v/>
      </c>
      <c r="Y70" s="573" t="str">
        <f t="shared" si="85"/>
        <v/>
      </c>
      <c r="Z70" s="575" t="str">
        <f t="shared" si="100"/>
        <v/>
      </c>
      <c r="AA70" s="572" t="str">
        <f t="shared" si="101"/>
        <v/>
      </c>
      <c r="AB70" s="572" t="str">
        <f t="shared" si="102"/>
        <v/>
      </c>
      <c r="AC70" s="579" t="str">
        <f t="shared" si="103"/>
        <v/>
      </c>
      <c r="AD70" s="580" t="str">
        <f t="shared" si="104"/>
        <v/>
      </c>
      <c r="AE70" s="572" t="str">
        <f t="shared" si="105"/>
        <v/>
      </c>
      <c r="AF70" s="576" t="str">
        <f t="shared" si="106"/>
        <v/>
      </c>
      <c r="AG70" s="545" t="str">
        <f t="shared" si="107"/>
        <v/>
      </c>
      <c r="AH70" s="546" t="str">
        <f t="shared" si="108"/>
        <v/>
      </c>
      <c r="AI70" s="528" t="str">
        <f t="shared" si="109"/>
        <v/>
      </c>
      <c r="AJ70" s="529" t="str">
        <f t="shared" si="110"/>
        <v/>
      </c>
      <c r="AK70" s="578" t="str">
        <f t="shared" si="111"/>
        <v/>
      </c>
      <c r="AL70" s="572" t="str">
        <f t="shared" si="112"/>
        <v/>
      </c>
      <c r="AM70" s="577" t="str">
        <f t="shared" si="113"/>
        <v/>
      </c>
      <c r="AN70" s="524" t="str">
        <f t="shared" si="86"/>
        <v/>
      </c>
      <c r="AO70" s="525" t="str">
        <f t="shared" si="17"/>
        <v/>
      </c>
      <c r="AP70" s="528" t="str">
        <f t="shared" si="114"/>
        <v/>
      </c>
      <c r="AQ70" s="529" t="str">
        <f t="shared" si="60"/>
        <v/>
      </c>
      <c r="AS70" s="598" t="str">
        <f t="shared" si="115"/>
        <v/>
      </c>
      <c r="AT70" s="602" t="str">
        <f t="shared" si="61"/>
        <v/>
      </c>
      <c r="AU70" s="515" t="str">
        <f t="shared" si="87"/>
        <v/>
      </c>
      <c r="AV70" s="164" t="str">
        <f t="shared" si="116"/>
        <v/>
      </c>
      <c r="AW70" s="545" t="str">
        <f>IF($M70="","",W70-INDEX(Assy.Model!$W$9:$W$150,MATCH('SN#.Run#'!$M70,Assy.Model!$M$9:$M$150,0)))</f>
        <v/>
      </c>
      <c r="AX70" s="628" t="str">
        <f>IF($M70="","",X70-INDEX(Assy.Model!$X$9:$X$150,MATCH('SN#.Run#'!$M70,Assy.Model!$M$9:$M$150,0)))</f>
        <v/>
      </c>
      <c r="AY70" s="629" t="str">
        <f>IF($M70="","",Y70-INDEX(Assy.Model!$Y$9:$Y$150,MATCH('SN#.Run#'!$M70,Assy.Model!$M$9:$M$150,0)))</f>
        <v/>
      </c>
      <c r="AZ70" s="602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10" t="str">
        <f>IF($M70="","",AN70-INDEX(Assy.Model!$AN$9:$AN$150,MATCH('SN#.Run#'!$M70,Assy.Model!$M$9:$M$150,0)))</f>
        <v/>
      </c>
      <c r="BB70" s="525" t="str">
        <f>IF($M70="","",AO70-INDEX(Assy.Model!$AO$9:$AO$150,MATCH('SN#.Run#'!$M70,Assy.Model!$M$9:$M$150,0)))</f>
        <v/>
      </c>
      <c r="BC70" s="619" t="str">
        <f>IF($M70="","",AP70-INDEX(Assy.Model!$AP$9:$AP$150,MATCH('SN#.Run#'!$M70,Assy.Model!$M$9:$M$150,0)))</f>
        <v/>
      </c>
      <c r="BD70" s="419"/>
      <c r="BE70" s="699"/>
      <c r="BF70" s="417"/>
      <c r="BG70" s="417"/>
      <c r="BH70" s="417"/>
      <c r="IE70" s="790" t="str">
        <f>IFERROR(IF($IU70="","",IF($IU70&lt;(((Settings!$C$19/2)*-1)*$IE$8),"Taper","Nose")),"")</f>
        <v/>
      </c>
      <c r="IF70" s="482" t="str">
        <f>IFERROR(IF((((($IW70*COS(RADIANS(180-$IY70)))*COS(RADIANS($IY70)))-(($IX70*SIN(RADIANS(180-$IY70)))*SIN(RADIANS($IY70))))+$IU70)&lt;(((Settings!$C$19+$IF$8)/2)*-1),"Gage",""),"")</f>
        <v/>
      </c>
      <c r="IG70" s="788" t="str">
        <f t="shared" si="65"/>
        <v/>
      </c>
      <c r="IH70" s="674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677" t="str" cm="1">
        <f t="array" ref="II70">IFERROR(IF($IH70&lt;1,$IH70+LARGE((IF($M$9:$M$150="",0,$M$9:$M$150)-MOD(IF($M$9:$M$150="",0,$M$9:$M$150),1)),1),$IH70),"")</f>
        <v/>
      </c>
      <c r="IJ70" s="482" t="str">
        <f t="shared" si="62"/>
        <v/>
      </c>
      <c r="IK70" s="482" t="str">
        <f t="shared" si="117"/>
        <v/>
      </c>
      <c r="IL70" s="670" t="str">
        <f t="shared" si="68"/>
        <v/>
      </c>
      <c r="IM70" s="702"/>
      <c r="IN70" s="5" t="str">
        <f t="shared" si="69"/>
        <v/>
      </c>
      <c r="IO70" s="714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670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05" t="str">
        <f t="shared" si="77"/>
        <v/>
      </c>
    </row>
    <row r="71" spans="1:259" ht="15" customHeight="1" x14ac:dyDescent="0.25">
      <c r="A71" s="82"/>
      <c r="B71" s="578" t="str">
        <f t="shared" si="79"/>
        <v/>
      </c>
      <c r="C71" s="572" t="str">
        <f t="shared" si="80"/>
        <v/>
      </c>
      <c r="D71" s="576" t="str">
        <f t="shared" si="81"/>
        <v/>
      </c>
      <c r="E71" s="580" t="str">
        <f t="shared" si="82"/>
        <v/>
      </c>
      <c r="F71" s="572" t="str">
        <f t="shared" si="83"/>
        <v/>
      </c>
      <c r="G71" s="579" t="str">
        <f t="shared" si="84"/>
        <v/>
      </c>
      <c r="H71" s="580" t="str">
        <f t="shared" si="34"/>
        <v/>
      </c>
      <c r="I71" s="482"/>
      <c r="J71" s="483" t="str">
        <v/>
      </c>
      <c r="K71" s="806" t="str">
        <f t="shared" si="66"/>
        <v/>
      </c>
      <c r="M71" s="164" t="str">
        <f t="shared" si="88"/>
        <v/>
      </c>
      <c r="N71" s="575" t="str">
        <f t="shared" si="89"/>
        <v/>
      </c>
      <c r="O71" s="572" t="str">
        <f t="shared" si="90"/>
        <v/>
      </c>
      <c r="P71" s="576" t="str">
        <f t="shared" si="91"/>
        <v/>
      </c>
      <c r="Q71" s="528" t="str">
        <f t="shared" si="92"/>
        <v/>
      </c>
      <c r="R71" s="572" t="str">
        <f t="shared" si="93"/>
        <v/>
      </c>
      <c r="S71" s="577" t="str">
        <f t="shared" si="94"/>
        <v/>
      </c>
      <c r="T71" s="578" t="str">
        <f t="shared" si="95"/>
        <v/>
      </c>
      <c r="U71" s="572" t="str">
        <f t="shared" si="96"/>
        <v/>
      </c>
      <c r="V71" s="579" t="str">
        <f t="shared" si="97"/>
        <v/>
      </c>
      <c r="W71" s="528" t="str">
        <f t="shared" si="98"/>
        <v/>
      </c>
      <c r="X71" s="572" t="str">
        <f t="shared" si="99"/>
        <v/>
      </c>
      <c r="Y71" s="573" t="str">
        <f t="shared" si="85"/>
        <v/>
      </c>
      <c r="Z71" s="575" t="str">
        <f t="shared" si="100"/>
        <v/>
      </c>
      <c r="AA71" s="572" t="str">
        <f t="shared" si="101"/>
        <v/>
      </c>
      <c r="AB71" s="572" t="str">
        <f t="shared" si="102"/>
        <v/>
      </c>
      <c r="AC71" s="579" t="str">
        <f t="shared" si="103"/>
        <v/>
      </c>
      <c r="AD71" s="580" t="str">
        <f t="shared" si="104"/>
        <v/>
      </c>
      <c r="AE71" s="572" t="str">
        <f t="shared" si="105"/>
        <v/>
      </c>
      <c r="AF71" s="576" t="str">
        <f t="shared" si="106"/>
        <v/>
      </c>
      <c r="AG71" s="545" t="str">
        <f t="shared" si="107"/>
        <v/>
      </c>
      <c r="AH71" s="546" t="str">
        <f t="shared" si="108"/>
        <v/>
      </c>
      <c r="AI71" s="528" t="str">
        <f t="shared" si="109"/>
        <v/>
      </c>
      <c r="AJ71" s="529" t="str">
        <f t="shared" si="110"/>
        <v/>
      </c>
      <c r="AK71" s="578" t="str">
        <f t="shared" si="111"/>
        <v/>
      </c>
      <c r="AL71" s="572" t="str">
        <f t="shared" si="112"/>
        <v/>
      </c>
      <c r="AM71" s="577" t="str">
        <f t="shared" si="113"/>
        <v/>
      </c>
      <c r="AN71" s="524" t="str">
        <f t="shared" si="86"/>
        <v/>
      </c>
      <c r="AO71" s="525" t="str">
        <f t="shared" si="17"/>
        <v/>
      </c>
      <c r="AP71" s="528" t="str">
        <f t="shared" si="114"/>
        <v/>
      </c>
      <c r="AQ71" s="529" t="str">
        <f t="shared" si="60"/>
        <v/>
      </c>
      <c r="AS71" s="598" t="str">
        <f t="shared" si="115"/>
        <v/>
      </c>
      <c r="AT71" s="602" t="str">
        <f t="shared" si="61"/>
        <v/>
      </c>
      <c r="AU71" s="515" t="str">
        <f t="shared" si="87"/>
        <v/>
      </c>
      <c r="AV71" s="164" t="str">
        <f t="shared" si="116"/>
        <v/>
      </c>
      <c r="AW71" s="545" t="str">
        <f>IF($M71="","",W71-INDEX(Assy.Model!$W$9:$W$150,MATCH('SN#.Run#'!$M71,Assy.Model!$M$9:$M$150,0)))</f>
        <v/>
      </c>
      <c r="AX71" s="628" t="str">
        <f>IF($M71="","",X71-INDEX(Assy.Model!$X$9:$X$150,MATCH('SN#.Run#'!$M71,Assy.Model!$M$9:$M$150,0)))</f>
        <v/>
      </c>
      <c r="AY71" s="629" t="str">
        <f>IF($M71="","",Y71-INDEX(Assy.Model!$Y$9:$Y$150,MATCH('SN#.Run#'!$M71,Assy.Model!$M$9:$M$150,0)))</f>
        <v/>
      </c>
      <c r="AZ71" s="602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10" t="str">
        <f>IF($M71="","",AN71-INDEX(Assy.Model!$AN$9:$AN$150,MATCH('SN#.Run#'!$M71,Assy.Model!$M$9:$M$150,0)))</f>
        <v/>
      </c>
      <c r="BB71" s="525" t="str">
        <f>IF($M71="","",AO71-INDEX(Assy.Model!$AO$9:$AO$150,MATCH('SN#.Run#'!$M71,Assy.Model!$M$9:$M$150,0)))</f>
        <v/>
      </c>
      <c r="BC71" s="619" t="str">
        <f>IF($M71="","",AP71-INDEX(Assy.Model!$AP$9:$AP$150,MATCH('SN#.Run#'!$M71,Assy.Model!$M$9:$M$150,0)))</f>
        <v/>
      </c>
      <c r="BD71" s="419"/>
      <c r="BE71" s="699"/>
      <c r="BF71" s="417"/>
      <c r="BG71" s="417"/>
      <c r="BH71" s="417"/>
      <c r="IE71" s="790" t="str">
        <f>IFERROR(IF($IU71="","",IF($IU71&lt;(((Settings!$C$19/2)*-1)*$IE$8),"Taper","Nose")),"")</f>
        <v/>
      </c>
      <c r="IF71" s="482" t="str">
        <f>IFERROR(IF((((($IW71*COS(RADIANS(180-$IY71)))*COS(RADIANS($IY71)))-(($IX71*SIN(RADIANS(180-$IY71)))*SIN(RADIANS($IY71))))+$IU71)&lt;(((Settings!$C$19+$IF$8)/2)*-1),"Gage",""),"")</f>
        <v/>
      </c>
      <c r="IG71" s="788" t="str">
        <f t="shared" si="65"/>
        <v/>
      </c>
      <c r="IH71" s="674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677" t="str" cm="1">
        <f t="array" ref="II71">IFERROR(IF($IH71&lt;1,$IH71+LARGE((IF($M$9:$M$150="",0,$M$9:$M$150)-MOD(IF($M$9:$M$150="",0,$M$9:$M$150),1)),1),$IH71),"")</f>
        <v/>
      </c>
      <c r="IJ71" s="482" t="str">
        <f t="shared" si="62"/>
        <v/>
      </c>
      <c r="IK71" s="482" t="str">
        <f t="shared" si="117"/>
        <v/>
      </c>
      <c r="IL71" s="670" t="str">
        <f t="shared" si="68"/>
        <v/>
      </c>
      <c r="IM71" s="702"/>
      <c r="IN71" s="5" t="str">
        <f t="shared" si="69"/>
        <v/>
      </c>
      <c r="IO71" s="714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670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05" t="str">
        <f t="shared" si="77"/>
        <v/>
      </c>
    </row>
    <row r="72" spans="1:259" ht="15" customHeight="1" x14ac:dyDescent="0.25">
      <c r="A72" s="82"/>
      <c r="B72" s="578" t="str">
        <f t="shared" si="79"/>
        <v/>
      </c>
      <c r="C72" s="572" t="str">
        <f t="shared" si="80"/>
        <v/>
      </c>
      <c r="D72" s="576" t="str">
        <f t="shared" si="81"/>
        <v/>
      </c>
      <c r="E72" s="580" t="str">
        <f t="shared" si="82"/>
        <v/>
      </c>
      <c r="F72" s="572" t="str">
        <f t="shared" si="83"/>
        <v/>
      </c>
      <c r="G72" s="579" t="str">
        <f t="shared" si="84"/>
        <v/>
      </c>
      <c r="H72" s="580" t="str">
        <f t="shared" si="34"/>
        <v/>
      </c>
      <c r="I72" s="482"/>
      <c r="J72" s="483" t="str">
        <v/>
      </c>
      <c r="K72" s="806" t="str">
        <f t="shared" si="66"/>
        <v/>
      </c>
      <c r="M72" s="164" t="str">
        <f t="shared" si="88"/>
        <v/>
      </c>
      <c r="N72" s="575" t="str">
        <f t="shared" si="89"/>
        <v/>
      </c>
      <c r="O72" s="572" t="str">
        <f t="shared" si="90"/>
        <v/>
      </c>
      <c r="P72" s="576" t="str">
        <f t="shared" si="91"/>
        <v/>
      </c>
      <c r="Q72" s="528" t="str">
        <f t="shared" si="92"/>
        <v/>
      </c>
      <c r="R72" s="572" t="str">
        <f t="shared" si="93"/>
        <v/>
      </c>
      <c r="S72" s="577" t="str">
        <f t="shared" si="94"/>
        <v/>
      </c>
      <c r="T72" s="578" t="str">
        <f t="shared" si="95"/>
        <v/>
      </c>
      <c r="U72" s="572" t="str">
        <f t="shared" si="96"/>
        <v/>
      </c>
      <c r="V72" s="579" t="str">
        <f t="shared" si="97"/>
        <v/>
      </c>
      <c r="W72" s="528" t="str">
        <f t="shared" si="98"/>
        <v/>
      </c>
      <c r="X72" s="572" t="str">
        <f t="shared" si="99"/>
        <v/>
      </c>
      <c r="Y72" s="573" t="str">
        <f t="shared" si="85"/>
        <v/>
      </c>
      <c r="Z72" s="575" t="str">
        <f t="shared" si="100"/>
        <v/>
      </c>
      <c r="AA72" s="572" t="str">
        <f t="shared" si="101"/>
        <v/>
      </c>
      <c r="AB72" s="572" t="str">
        <f t="shared" si="102"/>
        <v/>
      </c>
      <c r="AC72" s="579" t="str">
        <f t="shared" si="103"/>
        <v/>
      </c>
      <c r="AD72" s="580" t="str">
        <f t="shared" si="104"/>
        <v/>
      </c>
      <c r="AE72" s="572" t="str">
        <f t="shared" si="105"/>
        <v/>
      </c>
      <c r="AF72" s="576" t="str">
        <f t="shared" si="106"/>
        <v/>
      </c>
      <c r="AG72" s="545" t="str">
        <f t="shared" si="107"/>
        <v/>
      </c>
      <c r="AH72" s="546" t="str">
        <f t="shared" si="108"/>
        <v/>
      </c>
      <c r="AI72" s="528" t="str">
        <f t="shared" si="109"/>
        <v/>
      </c>
      <c r="AJ72" s="529" t="str">
        <f t="shared" si="110"/>
        <v/>
      </c>
      <c r="AK72" s="578" t="str">
        <f t="shared" si="111"/>
        <v/>
      </c>
      <c r="AL72" s="572" t="str">
        <f t="shared" si="112"/>
        <v/>
      </c>
      <c r="AM72" s="577" t="str">
        <f t="shared" si="113"/>
        <v/>
      </c>
      <c r="AN72" s="524" t="str">
        <f t="shared" si="86"/>
        <v/>
      </c>
      <c r="AO72" s="525" t="str">
        <f t="shared" si="17"/>
        <v/>
      </c>
      <c r="AP72" s="528" t="str">
        <f t="shared" si="114"/>
        <v/>
      </c>
      <c r="AQ72" s="529" t="str">
        <f t="shared" si="60"/>
        <v/>
      </c>
      <c r="AS72" s="598" t="str">
        <f t="shared" si="115"/>
        <v/>
      </c>
      <c r="AT72" s="602" t="str">
        <f t="shared" si="61"/>
        <v/>
      </c>
      <c r="AU72" s="515" t="str">
        <f t="shared" si="87"/>
        <v/>
      </c>
      <c r="AV72" s="164" t="str">
        <f t="shared" si="116"/>
        <v/>
      </c>
      <c r="AW72" s="545" t="str">
        <f>IF($M72="","",W72-INDEX(Assy.Model!$W$9:$W$150,MATCH('SN#.Run#'!$M72,Assy.Model!$M$9:$M$150,0)))</f>
        <v/>
      </c>
      <c r="AX72" s="628" t="str">
        <f>IF($M72="","",X72-INDEX(Assy.Model!$X$9:$X$150,MATCH('SN#.Run#'!$M72,Assy.Model!$M$9:$M$150,0)))</f>
        <v/>
      </c>
      <c r="AY72" s="629" t="str">
        <f>IF($M72="","",Y72-INDEX(Assy.Model!$Y$9:$Y$150,MATCH('SN#.Run#'!$M72,Assy.Model!$M$9:$M$150,0)))</f>
        <v/>
      </c>
      <c r="AZ72" s="602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10" t="str">
        <f>IF($M72="","",AN72-INDEX(Assy.Model!$AN$9:$AN$150,MATCH('SN#.Run#'!$M72,Assy.Model!$M$9:$M$150,0)))</f>
        <v/>
      </c>
      <c r="BB72" s="525" t="str">
        <f>IF($M72="","",AO72-INDEX(Assy.Model!$AO$9:$AO$150,MATCH('SN#.Run#'!$M72,Assy.Model!$M$9:$M$150,0)))</f>
        <v/>
      </c>
      <c r="BC72" s="619" t="str">
        <f>IF($M72="","",AP72-INDEX(Assy.Model!$AP$9:$AP$150,MATCH('SN#.Run#'!$M72,Assy.Model!$M$9:$M$150,0)))</f>
        <v/>
      </c>
      <c r="BD72" s="419"/>
      <c r="BE72" s="699"/>
      <c r="BF72" s="417"/>
      <c r="BG72" s="417"/>
      <c r="BH72" s="417"/>
      <c r="IE72" s="790" t="str">
        <f>IFERROR(IF($IU72="","",IF($IU72&lt;(((Settings!$C$19/2)*-1)*$IE$8),"Taper","Nose")),"")</f>
        <v/>
      </c>
      <c r="IF72" s="482" t="str">
        <f>IFERROR(IF((((($IW72*COS(RADIANS(180-$IY72)))*COS(RADIANS($IY72)))-(($IX72*SIN(RADIANS(180-$IY72)))*SIN(RADIANS($IY72))))+$IU72)&lt;(((Settings!$C$19+$IF$8)/2)*-1),"Gage",""),"")</f>
        <v/>
      </c>
      <c r="IG72" s="788" t="str">
        <f t="shared" si="65"/>
        <v/>
      </c>
      <c r="IH72" s="674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677" t="str" cm="1">
        <f t="array" ref="II72">IFERROR(IF($IH72&lt;1,$IH72+LARGE((IF($M$9:$M$150="",0,$M$9:$M$150)-MOD(IF($M$9:$M$150="",0,$M$9:$M$150),1)),1),$IH72),"")</f>
        <v/>
      </c>
      <c r="IJ72" s="482" t="str">
        <f t="shared" si="62"/>
        <v/>
      </c>
      <c r="IK72" s="482" t="str">
        <f t="shared" si="117"/>
        <v/>
      </c>
      <c r="IL72" s="670" t="str">
        <f t="shared" si="68"/>
        <v/>
      </c>
      <c r="IM72" s="702"/>
      <c r="IN72" s="5" t="str">
        <f t="shared" si="69"/>
        <v/>
      </c>
      <c r="IO72" s="714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670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05" t="str">
        <f t="shared" si="77"/>
        <v/>
      </c>
    </row>
    <row r="73" spans="1:259" ht="15" customHeight="1" x14ac:dyDescent="0.25">
      <c r="A73" s="82"/>
      <c r="B73" s="578" t="str">
        <f t="shared" ref="B73:B104" si="118">INDEX(O$164:O$305,MATCH($M73,$M$164:$M$305,0))</f>
        <v/>
      </c>
      <c r="C73" s="572" t="str">
        <f t="shared" ref="C73:C104" si="119">INDEX(P$164:P$305,MATCH($M73,$M$164:$M$305,0))</f>
        <v/>
      </c>
      <c r="D73" s="576" t="str">
        <f t="shared" ref="D73:D104" si="120">INDEX(Q$164:Q$305,MATCH($M73,$M$164:$M$305,0))</f>
        <v/>
      </c>
      <c r="E73" s="580" t="str">
        <f t="shared" ref="E73:E104" si="121">INDEX(R$164:R$305,MATCH($M73,$M$164:$M$305,0))</f>
        <v/>
      </c>
      <c r="F73" s="572" t="str">
        <f t="shared" ref="F73:F104" si="122">INDEX(S$164:S$305,MATCH($M73,$M$164:$M$305,0))</f>
        <v/>
      </c>
      <c r="G73" s="579" t="str">
        <f t="shared" ref="G73:G104" si="123">INDEX(T$164:T$305,MATCH($M73,$M$164:$M$305,0))</f>
        <v/>
      </c>
      <c r="H73" s="580" t="str">
        <f t="shared" si="34"/>
        <v/>
      </c>
      <c r="I73" s="482"/>
      <c r="J73" s="483" t="str">
        <v/>
      </c>
      <c r="K73" s="806" t="str">
        <f t="shared" si="66"/>
        <v/>
      </c>
      <c r="M73" s="164" t="str">
        <f t="shared" si="88"/>
        <v/>
      </c>
      <c r="N73" s="575" t="str">
        <f t="shared" si="89"/>
        <v/>
      </c>
      <c r="O73" s="572" t="str">
        <f t="shared" si="90"/>
        <v/>
      </c>
      <c r="P73" s="576" t="str">
        <f t="shared" si="91"/>
        <v/>
      </c>
      <c r="Q73" s="528" t="str">
        <f t="shared" si="92"/>
        <v/>
      </c>
      <c r="R73" s="572" t="str">
        <f t="shared" si="93"/>
        <v/>
      </c>
      <c r="S73" s="577" t="str">
        <f t="shared" si="94"/>
        <v/>
      </c>
      <c r="T73" s="578" t="str">
        <f t="shared" si="95"/>
        <v/>
      </c>
      <c r="U73" s="572" t="str">
        <f t="shared" si="96"/>
        <v/>
      </c>
      <c r="V73" s="579" t="str">
        <f t="shared" si="97"/>
        <v/>
      </c>
      <c r="W73" s="528" t="str">
        <f t="shared" si="98"/>
        <v/>
      </c>
      <c r="X73" s="572" t="str">
        <f t="shared" si="99"/>
        <v/>
      </c>
      <c r="Y73" s="573" t="str">
        <f t="shared" ref="Y73:Y104" si="124">IF(M73="","",(S73-$S$8)+$X$1)</f>
        <v/>
      </c>
      <c r="Z73" s="575" t="str">
        <f t="shared" si="100"/>
        <v/>
      </c>
      <c r="AA73" s="572" t="str">
        <f t="shared" si="101"/>
        <v/>
      </c>
      <c r="AB73" s="572" t="str">
        <f t="shared" si="102"/>
        <v/>
      </c>
      <c r="AC73" s="579" t="str">
        <f t="shared" si="103"/>
        <v/>
      </c>
      <c r="AD73" s="580" t="str">
        <f t="shared" si="104"/>
        <v/>
      </c>
      <c r="AE73" s="572" t="str">
        <f t="shared" si="105"/>
        <v/>
      </c>
      <c r="AF73" s="576" t="str">
        <f t="shared" si="106"/>
        <v/>
      </c>
      <c r="AG73" s="545" t="str">
        <f t="shared" si="107"/>
        <v/>
      </c>
      <c r="AH73" s="546" t="str">
        <f t="shared" si="108"/>
        <v/>
      </c>
      <c r="AI73" s="528" t="str">
        <f t="shared" si="109"/>
        <v/>
      </c>
      <c r="AJ73" s="529" t="str">
        <f t="shared" si="110"/>
        <v/>
      </c>
      <c r="AK73" s="578" t="str">
        <f t="shared" si="111"/>
        <v/>
      </c>
      <c r="AL73" s="572" t="str">
        <f t="shared" si="112"/>
        <v/>
      </c>
      <c r="AM73" s="577" t="str">
        <f t="shared" si="113"/>
        <v/>
      </c>
      <c r="AN73" s="524" t="str">
        <f t="shared" si="86"/>
        <v/>
      </c>
      <c r="AO73" s="525" t="str">
        <f t="shared" ref="AO73:AO113" si="125">IF(M73="","",IF(K73="Knuckle",0,DEGREES(ACOS(AK73))))</f>
        <v/>
      </c>
      <c r="AP73" s="528" t="str">
        <f t="shared" si="114"/>
        <v/>
      </c>
      <c r="AQ73" s="529" t="str">
        <f t="shared" si="60"/>
        <v/>
      </c>
      <c r="AS73" s="598" t="str">
        <f t="shared" si="115"/>
        <v/>
      </c>
      <c r="AT73" s="602" t="str">
        <f t="shared" si="61"/>
        <v/>
      </c>
      <c r="AU73" s="515" t="str">
        <f t="shared" si="87"/>
        <v/>
      </c>
      <c r="AV73" s="164" t="str">
        <f t="shared" si="116"/>
        <v/>
      </c>
      <c r="AW73" s="545" t="str">
        <f>IF($M73="","",W73-INDEX(Assy.Model!$W$9:$W$150,MATCH('SN#.Run#'!$M73,Assy.Model!$M$9:$M$150,0)))</f>
        <v/>
      </c>
      <c r="AX73" s="628" t="str">
        <f>IF($M73="","",X73-INDEX(Assy.Model!$X$9:$X$150,MATCH('SN#.Run#'!$M73,Assy.Model!$M$9:$M$150,0)))</f>
        <v/>
      </c>
      <c r="AY73" s="629" t="str">
        <f>IF($M73="","",Y73-INDEX(Assy.Model!$Y$9:$Y$150,MATCH('SN#.Run#'!$M73,Assy.Model!$M$9:$M$150,0)))</f>
        <v/>
      </c>
      <c r="AZ73" s="602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10" t="str">
        <f>IF($M73="","",AN73-INDEX(Assy.Model!$AN$9:$AN$150,MATCH('SN#.Run#'!$M73,Assy.Model!$M$9:$M$150,0)))</f>
        <v/>
      </c>
      <c r="BB73" s="525" t="str">
        <f>IF($M73="","",AO73-INDEX(Assy.Model!$AO$9:$AO$150,MATCH('SN#.Run#'!$M73,Assy.Model!$M$9:$M$150,0)))</f>
        <v/>
      </c>
      <c r="BC73" s="619" t="str">
        <f>IF($M73="","",AP73-INDEX(Assy.Model!$AP$9:$AP$150,MATCH('SN#.Run#'!$M73,Assy.Model!$M$9:$M$150,0)))</f>
        <v/>
      </c>
      <c r="BD73" s="419"/>
      <c r="BE73" s="699"/>
      <c r="BF73" s="417"/>
      <c r="BG73" s="417"/>
      <c r="BH73" s="417"/>
      <c r="IE73" s="790" t="str">
        <f>IFERROR(IF($IU73="","",IF($IU73&lt;(((Settings!$C$19/2)*-1)*$IE$8),"Taper","Nose")),"")</f>
        <v/>
      </c>
      <c r="IF73" s="482" t="str">
        <f>IFERROR(IF((((($IW73*COS(RADIANS(180-$IY73)))*COS(RADIANS($IY73)))-(($IX73*SIN(RADIANS(180-$IY73)))*SIN(RADIANS($IY73))))+$IU73)&lt;(((Settings!$C$19+$IF$8)/2)*-1),"Gage",""),"")</f>
        <v/>
      </c>
      <c r="IG73" s="788" t="str">
        <f t="shared" si="65"/>
        <v/>
      </c>
      <c r="IH73" s="674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677" t="str" cm="1">
        <f t="array" ref="II73">IFERROR(IF($IH73&lt;1,$IH73+LARGE((IF($M$9:$M$150="",0,$M$9:$M$150)-MOD(IF($M$9:$M$150="",0,$M$9:$M$150),1)),1),$IH73),"")</f>
        <v/>
      </c>
      <c r="IJ73" s="482" t="str">
        <f t="shared" si="62"/>
        <v/>
      </c>
      <c r="IK73" s="482" t="str">
        <f t="shared" si="117"/>
        <v/>
      </c>
      <c r="IL73" s="670" t="str">
        <f t="shared" si="68"/>
        <v/>
      </c>
      <c r="IM73" s="702"/>
      <c r="IN73" s="5" t="str">
        <f t="shared" si="69"/>
        <v/>
      </c>
      <c r="IO73" s="714"/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670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05" t="str">
        <f t="shared" si="77"/>
        <v/>
      </c>
    </row>
    <row r="74" spans="1:259" ht="15" customHeight="1" x14ac:dyDescent="0.25">
      <c r="A74" s="82"/>
      <c r="B74" s="578" t="str">
        <f t="shared" si="118"/>
        <v/>
      </c>
      <c r="C74" s="572" t="str">
        <f t="shared" si="119"/>
        <v/>
      </c>
      <c r="D74" s="576" t="str">
        <f t="shared" si="120"/>
        <v/>
      </c>
      <c r="E74" s="580" t="str">
        <f t="shared" si="121"/>
        <v/>
      </c>
      <c r="F74" s="572" t="str">
        <f t="shared" si="122"/>
        <v/>
      </c>
      <c r="G74" s="579" t="str">
        <f t="shared" si="123"/>
        <v/>
      </c>
      <c r="H74" s="580" t="str">
        <f t="shared" ref="H74:H137" si="128">IF(INDEX(H$164:H$305,MATCH($M74,$M$164:$M$305,0))=0,"",INDEX(H$164:H$305,MATCH($M74,$M$164:$M$305,0)))</f>
        <v/>
      </c>
      <c r="I74" s="482"/>
      <c r="J74" s="483" t="str">
        <v/>
      </c>
      <c r="K74" s="806" t="str">
        <f t="shared" si="66"/>
        <v/>
      </c>
      <c r="M74" s="164" t="str">
        <f t="shared" si="88"/>
        <v/>
      </c>
      <c r="N74" s="575" t="str">
        <f t="shared" si="89"/>
        <v/>
      </c>
      <c r="O74" s="572" t="str">
        <f t="shared" si="90"/>
        <v/>
      </c>
      <c r="P74" s="576" t="str">
        <f t="shared" si="91"/>
        <v/>
      </c>
      <c r="Q74" s="528" t="str">
        <f t="shared" si="92"/>
        <v/>
      </c>
      <c r="R74" s="572" t="str">
        <f t="shared" si="93"/>
        <v/>
      </c>
      <c r="S74" s="577" t="str">
        <f t="shared" si="94"/>
        <v/>
      </c>
      <c r="T74" s="578" t="str">
        <f t="shared" si="95"/>
        <v/>
      </c>
      <c r="U74" s="572" t="str">
        <f t="shared" si="96"/>
        <v/>
      </c>
      <c r="V74" s="579" t="str">
        <f t="shared" si="97"/>
        <v/>
      </c>
      <c r="W74" s="528" t="str">
        <f t="shared" si="98"/>
        <v/>
      </c>
      <c r="X74" s="572" t="str">
        <f t="shared" si="99"/>
        <v/>
      </c>
      <c r="Y74" s="573" t="str">
        <f t="shared" si="124"/>
        <v/>
      </c>
      <c r="Z74" s="575" t="str">
        <f t="shared" si="100"/>
        <v/>
      </c>
      <c r="AA74" s="572" t="str">
        <f t="shared" si="101"/>
        <v/>
      </c>
      <c r="AB74" s="572" t="str">
        <f t="shared" si="102"/>
        <v/>
      </c>
      <c r="AC74" s="579" t="str">
        <f t="shared" si="103"/>
        <v/>
      </c>
      <c r="AD74" s="580" t="str">
        <f t="shared" si="104"/>
        <v/>
      </c>
      <c r="AE74" s="572" t="str">
        <f t="shared" si="105"/>
        <v/>
      </c>
      <c r="AF74" s="576" t="str">
        <f t="shared" si="106"/>
        <v/>
      </c>
      <c r="AG74" s="545" t="str">
        <f t="shared" si="107"/>
        <v/>
      </c>
      <c r="AH74" s="546" t="str">
        <f t="shared" si="108"/>
        <v/>
      </c>
      <c r="AI74" s="528" t="str">
        <f t="shared" si="109"/>
        <v/>
      </c>
      <c r="AJ74" s="529" t="str">
        <f t="shared" si="110"/>
        <v/>
      </c>
      <c r="AK74" s="578" t="str">
        <f t="shared" si="111"/>
        <v/>
      </c>
      <c r="AL74" s="572" t="str">
        <f t="shared" si="112"/>
        <v/>
      </c>
      <c r="AM74" s="577" t="str">
        <f t="shared" si="113"/>
        <v/>
      </c>
      <c r="AN74" s="524" t="str">
        <f t="shared" si="86"/>
        <v/>
      </c>
      <c r="AO74" s="525" t="str">
        <f t="shared" si="125"/>
        <v/>
      </c>
      <c r="AP74" s="528" t="str">
        <f t="shared" si="114"/>
        <v/>
      </c>
      <c r="AQ74" s="529" t="str">
        <f t="shared" ref="AQ74:AQ137" si="129">IF(M74="","",DEGREES(ATAN(($AS$5*SIN(RADIANS(90)))/(($X74*2*PI())-($AS$5*COS(RADIANS(90)))))))</f>
        <v/>
      </c>
      <c r="AS74" s="598" t="str">
        <f t="shared" si="115"/>
        <v/>
      </c>
      <c r="AT74" s="602" t="str">
        <f t="shared" ref="AT74:AT137" si="130">IF($M74="","",$Y74+((($AS74-$AS$9)*$AS$6)*-1)-IF($AS74&lt;30,$AS$5,0))</f>
        <v/>
      </c>
      <c r="AU74" s="515" t="str">
        <f t="shared" si="87"/>
        <v/>
      </c>
      <c r="AV74" s="164" t="str">
        <f t="shared" si="116"/>
        <v/>
      </c>
      <c r="AW74" s="545" t="str">
        <f>IF($M74="","",W74-INDEX(Assy.Model!$W$9:$W$150,MATCH('SN#.Run#'!$M74,Assy.Model!$M$9:$M$150,0)))</f>
        <v/>
      </c>
      <c r="AX74" s="628" t="str">
        <f>IF($M74="","",X74-INDEX(Assy.Model!$X$9:$X$150,MATCH('SN#.Run#'!$M74,Assy.Model!$M$9:$M$150,0)))</f>
        <v/>
      </c>
      <c r="AY74" s="629" t="str">
        <f>IF($M74="","",Y74-INDEX(Assy.Model!$Y$9:$Y$150,MATCH('SN#.Run#'!$M74,Assy.Model!$M$9:$M$150,0)))</f>
        <v/>
      </c>
      <c r="AZ74" s="602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10" t="str">
        <f>IF($M74="","",AN74-INDEX(Assy.Model!$AN$9:$AN$150,MATCH('SN#.Run#'!$M74,Assy.Model!$M$9:$M$150,0)))</f>
        <v/>
      </c>
      <c r="BB74" s="525" t="str">
        <f>IF($M74="","",AO74-INDEX(Assy.Model!$AO$9:$AO$150,MATCH('SN#.Run#'!$M74,Assy.Model!$M$9:$M$150,0)))</f>
        <v/>
      </c>
      <c r="BC74" s="619" t="str">
        <f>IF($M74="","",AP74-INDEX(Assy.Model!$AP$9:$AP$150,MATCH('SN#.Run#'!$M74,Assy.Model!$M$9:$M$150,0)))</f>
        <v/>
      </c>
      <c r="BD74" s="419"/>
      <c r="BE74" s="699"/>
      <c r="BF74" s="417"/>
      <c r="BG74" s="417"/>
      <c r="BH74" s="417"/>
      <c r="IE74" s="790" t="str">
        <f>IFERROR(IF($IU74="","",IF($IU74&lt;(((Settings!$C$19/2)*-1)*$IE$8),"Taper","Nose")),"")</f>
        <v/>
      </c>
      <c r="IF74" s="482" t="str">
        <f>IFERROR(IF((((($IW74*COS(RADIANS(180-$IY74)))*COS(RADIANS($IY74)))-(($IX74*SIN(RADIANS(180-$IY74)))*SIN(RADIANS($IY74))))+$IU74)&lt;(((Settings!$C$19+$IF$8)/2)*-1),"Gage",""),"")</f>
        <v/>
      </c>
      <c r="IG74" s="788" t="str">
        <f t="shared" si="65"/>
        <v/>
      </c>
      <c r="IH74" s="674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677" t="str" cm="1">
        <f t="array" ref="II74">IFERROR(IF($IH74&lt;1,$IH74+LARGE((IF($M$9:$M$150="",0,$M$9:$M$150)-MOD(IF($M$9:$M$150="",0,$M$9:$M$150),1)),1),$IH74),"")</f>
        <v/>
      </c>
      <c r="IJ74" s="482" t="str">
        <f t="shared" ref="IJ74:IJ137" si="131">IF(ISNUMBER($II74),INDEX($K$9:$K$150,MATCH($II74,$M$9:$M$150,0)),$K74)</f>
        <v/>
      </c>
      <c r="IK74" s="482" t="str">
        <f t="shared" si="117"/>
        <v/>
      </c>
      <c r="IL74" s="670" t="str">
        <f t="shared" si="68"/>
        <v/>
      </c>
      <c r="IM74" s="702"/>
      <c r="IN74" s="5" t="str">
        <f t="shared" si="69"/>
        <v/>
      </c>
      <c r="IO74" s="714"/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670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05" t="str">
        <f t="shared" si="77"/>
        <v/>
      </c>
    </row>
    <row r="75" spans="1:259" ht="15" customHeight="1" x14ac:dyDescent="0.25">
      <c r="A75" s="82"/>
      <c r="B75" s="578" t="str">
        <f t="shared" si="118"/>
        <v/>
      </c>
      <c r="C75" s="572" t="str">
        <f t="shared" si="119"/>
        <v/>
      </c>
      <c r="D75" s="576" t="str">
        <f t="shared" si="120"/>
        <v/>
      </c>
      <c r="E75" s="580" t="str">
        <f t="shared" si="121"/>
        <v/>
      </c>
      <c r="F75" s="572" t="str">
        <f t="shared" si="122"/>
        <v/>
      </c>
      <c r="G75" s="579" t="str">
        <f t="shared" si="123"/>
        <v/>
      </c>
      <c r="H75" s="580" t="str">
        <f t="shared" si="128"/>
        <v/>
      </c>
      <c r="I75" s="482"/>
      <c r="J75" s="483" t="str">
        <v/>
      </c>
      <c r="K75" s="806" t="str">
        <f t="shared" si="66"/>
        <v/>
      </c>
      <c r="M75" s="164" t="str">
        <f t="shared" si="88"/>
        <v/>
      </c>
      <c r="N75" s="575" t="str">
        <f t="shared" si="89"/>
        <v/>
      </c>
      <c r="O75" s="572" t="str">
        <f t="shared" si="90"/>
        <v/>
      </c>
      <c r="P75" s="576" t="str">
        <f t="shared" si="91"/>
        <v/>
      </c>
      <c r="Q75" s="528" t="str">
        <f t="shared" si="92"/>
        <v/>
      </c>
      <c r="R75" s="572" t="str">
        <f t="shared" si="93"/>
        <v/>
      </c>
      <c r="S75" s="577" t="str">
        <f t="shared" si="94"/>
        <v/>
      </c>
      <c r="T75" s="578" t="str">
        <f t="shared" si="95"/>
        <v/>
      </c>
      <c r="U75" s="572" t="str">
        <f t="shared" si="96"/>
        <v/>
      </c>
      <c r="V75" s="579" t="str">
        <f t="shared" si="97"/>
        <v/>
      </c>
      <c r="W75" s="528" t="str">
        <f t="shared" si="98"/>
        <v/>
      </c>
      <c r="X75" s="572" t="str">
        <f t="shared" si="99"/>
        <v/>
      </c>
      <c r="Y75" s="573" t="str">
        <f t="shared" si="124"/>
        <v/>
      </c>
      <c r="Z75" s="575" t="str">
        <f t="shared" si="100"/>
        <v/>
      </c>
      <c r="AA75" s="572" t="str">
        <f t="shared" si="101"/>
        <v/>
      </c>
      <c r="AB75" s="572" t="str">
        <f t="shared" si="102"/>
        <v/>
      </c>
      <c r="AC75" s="579" t="str">
        <f t="shared" si="103"/>
        <v/>
      </c>
      <c r="AD75" s="580" t="str">
        <f t="shared" si="104"/>
        <v/>
      </c>
      <c r="AE75" s="572" t="str">
        <f t="shared" si="105"/>
        <v/>
      </c>
      <c r="AF75" s="576" t="str">
        <f t="shared" si="106"/>
        <v/>
      </c>
      <c r="AG75" s="545" t="str">
        <f t="shared" si="107"/>
        <v/>
      </c>
      <c r="AH75" s="546" t="str">
        <f t="shared" si="108"/>
        <v/>
      </c>
      <c r="AI75" s="528" t="str">
        <f t="shared" si="109"/>
        <v/>
      </c>
      <c r="AJ75" s="529" t="str">
        <f t="shared" si="110"/>
        <v/>
      </c>
      <c r="AK75" s="578" t="str">
        <f t="shared" si="111"/>
        <v/>
      </c>
      <c r="AL75" s="572" t="str">
        <f t="shared" si="112"/>
        <v/>
      </c>
      <c r="AM75" s="577" t="str">
        <f t="shared" si="113"/>
        <v/>
      </c>
      <c r="AN75" s="524" t="str">
        <f t="shared" si="86"/>
        <v/>
      </c>
      <c r="AO75" s="525" t="str">
        <f t="shared" si="125"/>
        <v/>
      </c>
      <c r="AP75" s="528" t="str">
        <f t="shared" si="114"/>
        <v/>
      </c>
      <c r="AQ75" s="529" t="str">
        <f t="shared" si="129"/>
        <v/>
      </c>
      <c r="AS75" s="598" t="str">
        <f t="shared" si="115"/>
        <v/>
      </c>
      <c r="AT75" s="602" t="str">
        <f t="shared" si="130"/>
        <v/>
      </c>
      <c r="AU75" s="515" t="str">
        <f t="shared" si="87"/>
        <v/>
      </c>
      <c r="AV75" s="164" t="str">
        <f t="shared" si="116"/>
        <v/>
      </c>
      <c r="AW75" s="545" t="str">
        <f>IF($M75="","",W75-INDEX(Assy.Model!$W$9:$W$150,MATCH('SN#.Run#'!$M75,Assy.Model!$M$9:$M$150,0)))</f>
        <v/>
      </c>
      <c r="AX75" s="628" t="str">
        <f>IF($M75="","",X75-INDEX(Assy.Model!$X$9:$X$150,MATCH('SN#.Run#'!$M75,Assy.Model!$M$9:$M$150,0)))</f>
        <v/>
      </c>
      <c r="AY75" s="629" t="str">
        <f>IF($M75="","",Y75-INDEX(Assy.Model!$Y$9:$Y$150,MATCH('SN#.Run#'!$M75,Assy.Model!$M$9:$M$150,0)))</f>
        <v/>
      </c>
      <c r="AZ75" s="602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10" t="str">
        <f>IF($M75="","",AN75-INDEX(Assy.Model!$AN$9:$AN$150,MATCH('SN#.Run#'!$M75,Assy.Model!$M$9:$M$150,0)))</f>
        <v/>
      </c>
      <c r="BB75" s="525" t="str">
        <f>IF($M75="","",AO75-INDEX(Assy.Model!$AO$9:$AO$150,MATCH('SN#.Run#'!$M75,Assy.Model!$M$9:$M$150,0)))</f>
        <v/>
      </c>
      <c r="BC75" s="619" t="str">
        <f>IF($M75="","",AP75-INDEX(Assy.Model!$AP$9:$AP$150,MATCH('SN#.Run#'!$M75,Assy.Model!$M$9:$M$150,0)))</f>
        <v/>
      </c>
      <c r="BD75" s="419"/>
      <c r="BE75" s="699"/>
      <c r="BF75" s="417"/>
      <c r="BG75" s="417"/>
      <c r="BH75" s="417"/>
      <c r="IE75" s="790" t="str">
        <f>IFERROR(IF($IU75="","",IF($IU75&lt;(((Settings!$C$19/2)*-1)*$IE$8),"Taper","Nose")),"")</f>
        <v/>
      </c>
      <c r="IF75" s="482" t="str">
        <f>IFERROR(IF((((($IW75*COS(RADIANS(180-$IY75)))*COS(RADIANS($IY75)))-(($IX75*SIN(RADIANS(180-$IY75)))*SIN(RADIANS($IY75))))+$IU75)&lt;(((Settings!$C$19+$IF$8)/2)*-1),"Gage",""),"")</f>
        <v/>
      </c>
      <c r="IG75" s="788" t="str">
        <f t="shared" ref="IG75:IG138" si="132">$M75</f>
        <v/>
      </c>
      <c r="IH75" s="674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677" t="str" cm="1">
        <f t="array" ref="II75">IFERROR(IF($IH75&lt;1,$IH75+LARGE((IF($M$9:$M$150="",0,$M$9:$M$150)-MOD(IF($M$9:$M$150="",0,$M$9:$M$150),1)),1),$IH75),"")</f>
        <v/>
      </c>
      <c r="IJ75" s="482" t="str">
        <f t="shared" si="131"/>
        <v/>
      </c>
      <c r="IK75" s="482" t="str">
        <f t="shared" si="117"/>
        <v/>
      </c>
      <c r="IL75" s="670" t="str">
        <f t="shared" si="68"/>
        <v/>
      </c>
      <c r="IM75" s="702"/>
      <c r="IN75" s="5" t="str">
        <f t="shared" si="69"/>
        <v/>
      </c>
      <c r="IO75" s="714"/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670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05" t="str">
        <f t="shared" si="77"/>
        <v/>
      </c>
    </row>
    <row r="76" spans="1:259" ht="15" customHeight="1" x14ac:dyDescent="0.25">
      <c r="A76" s="82"/>
      <c r="B76" s="578" t="str">
        <f t="shared" si="118"/>
        <v/>
      </c>
      <c r="C76" s="572" t="str">
        <f t="shared" si="119"/>
        <v/>
      </c>
      <c r="D76" s="576" t="str">
        <f t="shared" si="120"/>
        <v/>
      </c>
      <c r="E76" s="580" t="str">
        <f t="shared" si="121"/>
        <v/>
      </c>
      <c r="F76" s="572" t="str">
        <f t="shared" si="122"/>
        <v/>
      </c>
      <c r="G76" s="579" t="str">
        <f t="shared" si="123"/>
        <v/>
      </c>
      <c r="H76" s="580" t="str">
        <f t="shared" si="128"/>
        <v/>
      </c>
      <c r="I76" s="482"/>
      <c r="J76" s="483" t="str">
        <v/>
      </c>
      <c r="K76" s="806" t="str">
        <f t="shared" ref="K76:K139" si="133">IF(INDEX(N$164:N$305,MATCH($M76,$M$164:$M$305,0))=0,"",INDEX(N$164:N$305,MATCH($M76,$M$164:$M$305,0)))</f>
        <v/>
      </c>
      <c r="M76" s="164" t="str">
        <f t="shared" si="88"/>
        <v/>
      </c>
      <c r="N76" s="575" t="str">
        <f t="shared" si="89"/>
        <v/>
      </c>
      <c r="O76" s="572" t="str">
        <f t="shared" si="90"/>
        <v/>
      </c>
      <c r="P76" s="576" t="str">
        <f t="shared" si="91"/>
        <v/>
      </c>
      <c r="Q76" s="528" t="str">
        <f t="shared" si="92"/>
        <v/>
      </c>
      <c r="R76" s="572" t="str">
        <f t="shared" si="93"/>
        <v/>
      </c>
      <c r="S76" s="577" t="str">
        <f t="shared" si="94"/>
        <v/>
      </c>
      <c r="T76" s="578" t="str">
        <f t="shared" si="95"/>
        <v/>
      </c>
      <c r="U76" s="572" t="str">
        <f t="shared" si="96"/>
        <v/>
      </c>
      <c r="V76" s="579" t="str">
        <f t="shared" si="97"/>
        <v/>
      </c>
      <c r="W76" s="528" t="str">
        <f t="shared" si="98"/>
        <v/>
      </c>
      <c r="X76" s="572" t="str">
        <f t="shared" si="99"/>
        <v/>
      </c>
      <c r="Y76" s="573" t="str">
        <f t="shared" si="124"/>
        <v/>
      </c>
      <c r="Z76" s="575" t="str">
        <f t="shared" si="100"/>
        <v/>
      </c>
      <c r="AA76" s="572" t="str">
        <f t="shared" si="101"/>
        <v/>
      </c>
      <c r="AB76" s="572" t="str">
        <f t="shared" si="102"/>
        <v/>
      </c>
      <c r="AC76" s="579" t="str">
        <f t="shared" si="103"/>
        <v/>
      </c>
      <c r="AD76" s="580" t="str">
        <f t="shared" si="104"/>
        <v/>
      </c>
      <c r="AE76" s="572" t="str">
        <f t="shared" si="105"/>
        <v/>
      </c>
      <c r="AF76" s="576" t="str">
        <f t="shared" si="106"/>
        <v/>
      </c>
      <c r="AG76" s="545" t="str">
        <f t="shared" si="107"/>
        <v/>
      </c>
      <c r="AH76" s="546" t="str">
        <f t="shared" si="108"/>
        <v/>
      </c>
      <c r="AI76" s="528" t="str">
        <f t="shared" si="109"/>
        <v/>
      </c>
      <c r="AJ76" s="529" t="str">
        <f t="shared" si="110"/>
        <v/>
      </c>
      <c r="AK76" s="578" t="str">
        <f t="shared" si="111"/>
        <v/>
      </c>
      <c r="AL76" s="572" t="str">
        <f t="shared" si="112"/>
        <v/>
      </c>
      <c r="AM76" s="577" t="str">
        <f t="shared" si="113"/>
        <v/>
      </c>
      <c r="AN76" s="524" t="str">
        <f t="shared" si="86"/>
        <v/>
      </c>
      <c r="AO76" s="525" t="str">
        <f t="shared" si="125"/>
        <v/>
      </c>
      <c r="AP76" s="528" t="str">
        <f t="shared" si="114"/>
        <v/>
      </c>
      <c r="AQ76" s="529" t="str">
        <f t="shared" si="129"/>
        <v/>
      </c>
      <c r="AS76" s="598" t="str">
        <f t="shared" si="115"/>
        <v/>
      </c>
      <c r="AT76" s="602" t="str">
        <f t="shared" si="130"/>
        <v/>
      </c>
      <c r="AU76" s="515" t="str">
        <f t="shared" si="87"/>
        <v/>
      </c>
      <c r="AV76" s="164" t="str">
        <f t="shared" si="116"/>
        <v/>
      </c>
      <c r="AW76" s="545" t="str">
        <f>IF($M76="","",W76-INDEX(Assy.Model!$W$9:$W$150,MATCH('SN#.Run#'!$M76,Assy.Model!$M$9:$M$150,0)))</f>
        <v/>
      </c>
      <c r="AX76" s="628" t="str">
        <f>IF($M76="","",X76-INDEX(Assy.Model!$X$9:$X$150,MATCH('SN#.Run#'!$M76,Assy.Model!$M$9:$M$150,0)))</f>
        <v/>
      </c>
      <c r="AY76" s="629" t="str">
        <f>IF($M76="","",Y76-INDEX(Assy.Model!$Y$9:$Y$150,MATCH('SN#.Run#'!$M76,Assy.Model!$M$9:$M$150,0)))</f>
        <v/>
      </c>
      <c r="AZ76" s="602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10" t="str">
        <f>IF($M76="","",AN76-INDEX(Assy.Model!$AN$9:$AN$150,MATCH('SN#.Run#'!$M76,Assy.Model!$M$9:$M$150,0)))</f>
        <v/>
      </c>
      <c r="BB76" s="525" t="str">
        <f>IF($M76="","",AO76-INDEX(Assy.Model!$AO$9:$AO$150,MATCH('SN#.Run#'!$M76,Assy.Model!$M$9:$M$150,0)))</f>
        <v/>
      </c>
      <c r="BC76" s="619" t="str">
        <f>IF($M76="","",AP76-INDEX(Assy.Model!$AP$9:$AP$150,MATCH('SN#.Run#'!$M76,Assy.Model!$M$9:$M$150,0)))</f>
        <v/>
      </c>
      <c r="BD76" s="419"/>
      <c r="BE76" s="699"/>
      <c r="BF76" s="417"/>
      <c r="BG76" s="417"/>
      <c r="BH76" s="417"/>
      <c r="IE76" s="790" t="str">
        <f>IFERROR(IF($IU76="","",IF($IU76&lt;(((Settings!$C$19/2)*-1)*$IE$8),"Taper","Nose")),"")</f>
        <v/>
      </c>
      <c r="IF76" s="482" t="str">
        <f>IFERROR(IF((((($IW76*COS(RADIANS(180-$IY76)))*COS(RADIANS($IY76)))-(($IX76*SIN(RADIANS(180-$IY76)))*SIN(RADIANS($IY76))))+$IU76)&lt;(((Settings!$C$19+$IF$8)/2)*-1),"Gage",""),"")</f>
        <v/>
      </c>
      <c r="IG76" s="788" t="str">
        <f t="shared" si="132"/>
        <v/>
      </c>
      <c r="IH76" s="674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677" t="str" cm="1">
        <f t="array" ref="II76">IFERROR(IF($IH76&lt;1,$IH76+LARGE((IF($M$9:$M$150="",0,$M$9:$M$150)-MOD(IF($M$9:$M$150="",0,$M$9:$M$150),1)),1),$IH76),"")</f>
        <v/>
      </c>
      <c r="IJ76" s="482" t="str">
        <f t="shared" si="131"/>
        <v/>
      </c>
      <c r="IK76" s="482" t="str">
        <f t="shared" si="117"/>
        <v/>
      </c>
      <c r="IL76" s="670" t="str">
        <f t="shared" si="68"/>
        <v/>
      </c>
      <c r="IM76" s="702"/>
      <c r="IN76" s="5" t="str">
        <f t="shared" si="69"/>
        <v/>
      </c>
      <c r="IO76" s="714"/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670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05" t="str">
        <f t="shared" si="77"/>
        <v/>
      </c>
    </row>
    <row r="77" spans="1:259" ht="15" customHeight="1" x14ac:dyDescent="0.25">
      <c r="A77" s="82"/>
      <c r="B77" s="578" t="str">
        <f t="shared" si="118"/>
        <v/>
      </c>
      <c r="C77" s="572" t="str">
        <f t="shared" si="119"/>
        <v/>
      </c>
      <c r="D77" s="576" t="str">
        <f t="shared" si="120"/>
        <v/>
      </c>
      <c r="E77" s="580" t="str">
        <f t="shared" si="121"/>
        <v/>
      </c>
      <c r="F77" s="572" t="str">
        <f t="shared" si="122"/>
        <v/>
      </c>
      <c r="G77" s="579" t="str">
        <f t="shared" si="123"/>
        <v/>
      </c>
      <c r="H77" s="580" t="str">
        <f t="shared" si="128"/>
        <v/>
      </c>
      <c r="I77" s="482"/>
      <c r="J77" s="483" t="str">
        <v/>
      </c>
      <c r="K77" s="806" t="str">
        <f t="shared" si="133"/>
        <v/>
      </c>
      <c r="M77" s="164" t="str">
        <f t="shared" si="88"/>
        <v/>
      </c>
      <c r="N77" s="575" t="str">
        <f t="shared" si="89"/>
        <v/>
      </c>
      <c r="O77" s="572" t="str">
        <f t="shared" si="90"/>
        <v/>
      </c>
      <c r="P77" s="576" t="str">
        <f t="shared" si="91"/>
        <v/>
      </c>
      <c r="Q77" s="528" t="str">
        <f t="shared" si="92"/>
        <v/>
      </c>
      <c r="R77" s="572" t="str">
        <f t="shared" si="93"/>
        <v/>
      </c>
      <c r="S77" s="577" t="str">
        <f t="shared" si="94"/>
        <v/>
      </c>
      <c r="T77" s="578" t="str">
        <f t="shared" si="95"/>
        <v/>
      </c>
      <c r="U77" s="572" t="str">
        <f t="shared" si="96"/>
        <v/>
      </c>
      <c r="V77" s="579" t="str">
        <f t="shared" si="97"/>
        <v/>
      </c>
      <c r="W77" s="528" t="str">
        <f t="shared" si="98"/>
        <v/>
      </c>
      <c r="X77" s="572" t="str">
        <f t="shared" si="99"/>
        <v/>
      </c>
      <c r="Y77" s="573" t="str">
        <f t="shared" si="124"/>
        <v/>
      </c>
      <c r="Z77" s="575" t="str">
        <f t="shared" si="100"/>
        <v/>
      </c>
      <c r="AA77" s="572" t="str">
        <f t="shared" si="101"/>
        <v/>
      </c>
      <c r="AB77" s="572" t="str">
        <f t="shared" si="102"/>
        <v/>
      </c>
      <c r="AC77" s="579" t="str">
        <f t="shared" si="103"/>
        <v/>
      </c>
      <c r="AD77" s="580" t="str">
        <f t="shared" si="104"/>
        <v/>
      </c>
      <c r="AE77" s="572" t="str">
        <f t="shared" si="105"/>
        <v/>
      </c>
      <c r="AF77" s="576" t="str">
        <f t="shared" si="106"/>
        <v/>
      </c>
      <c r="AG77" s="545" t="str">
        <f t="shared" si="107"/>
        <v/>
      </c>
      <c r="AH77" s="546" t="str">
        <f t="shared" si="108"/>
        <v/>
      </c>
      <c r="AI77" s="528" t="str">
        <f t="shared" si="109"/>
        <v/>
      </c>
      <c r="AJ77" s="529" t="str">
        <f t="shared" si="110"/>
        <v/>
      </c>
      <c r="AK77" s="578" t="str">
        <f t="shared" si="111"/>
        <v/>
      </c>
      <c r="AL77" s="572" t="str">
        <f t="shared" si="112"/>
        <v/>
      </c>
      <c r="AM77" s="577" t="str">
        <f t="shared" si="113"/>
        <v/>
      </c>
      <c r="AN77" s="524" t="str">
        <f t="shared" si="86"/>
        <v/>
      </c>
      <c r="AO77" s="525" t="str">
        <f t="shared" si="125"/>
        <v/>
      </c>
      <c r="AP77" s="528" t="str">
        <f t="shared" si="114"/>
        <v/>
      </c>
      <c r="AQ77" s="529" t="str">
        <f t="shared" si="129"/>
        <v/>
      </c>
      <c r="AS77" s="598" t="str">
        <f t="shared" si="115"/>
        <v/>
      </c>
      <c r="AT77" s="602" t="str">
        <f t="shared" si="130"/>
        <v/>
      </c>
      <c r="AU77" s="515" t="str">
        <f t="shared" si="87"/>
        <v/>
      </c>
      <c r="AV77" s="164" t="str">
        <f t="shared" si="116"/>
        <v/>
      </c>
      <c r="AW77" s="545" t="str">
        <f>IF($M77="","",W77-INDEX(Assy.Model!$W$9:$W$150,MATCH('SN#.Run#'!$M77,Assy.Model!$M$9:$M$150,0)))</f>
        <v/>
      </c>
      <c r="AX77" s="628" t="str">
        <f>IF($M77="","",X77-INDEX(Assy.Model!$X$9:$X$150,MATCH('SN#.Run#'!$M77,Assy.Model!$M$9:$M$150,0)))</f>
        <v/>
      </c>
      <c r="AY77" s="629" t="str">
        <f>IF($M77="","",Y77-INDEX(Assy.Model!$Y$9:$Y$150,MATCH('SN#.Run#'!$M77,Assy.Model!$M$9:$M$150,0)))</f>
        <v/>
      </c>
      <c r="AZ77" s="602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10" t="str">
        <f>IF($M77="","",AN77-INDEX(Assy.Model!$AN$9:$AN$150,MATCH('SN#.Run#'!$M77,Assy.Model!$M$9:$M$150,0)))</f>
        <v/>
      </c>
      <c r="BB77" s="525" t="str">
        <f>IF($M77="","",AO77-INDEX(Assy.Model!$AO$9:$AO$150,MATCH('SN#.Run#'!$M77,Assy.Model!$M$9:$M$150,0)))</f>
        <v/>
      </c>
      <c r="BC77" s="619" t="str">
        <f>IF($M77="","",AP77-INDEX(Assy.Model!$AP$9:$AP$150,MATCH('SN#.Run#'!$M77,Assy.Model!$M$9:$M$150,0)))</f>
        <v/>
      </c>
      <c r="BD77" s="419"/>
      <c r="BE77" s="699"/>
      <c r="BF77" s="417"/>
      <c r="BG77" s="417"/>
      <c r="BH77" s="417"/>
      <c r="IE77" s="790" t="str">
        <f>IFERROR(IF($IU77="","",IF($IU77&lt;(((Settings!$C$19/2)*-1)*$IE$8),"Taper","Nose")),"")</f>
        <v/>
      </c>
      <c r="IF77" s="482" t="str">
        <f>IFERROR(IF((((($IW77*COS(RADIANS(180-$IY77)))*COS(RADIANS($IY77)))-(($IX77*SIN(RADIANS(180-$IY77)))*SIN(RADIANS($IY77))))+$IU77)&lt;(((Settings!$C$19+$IF$8)/2)*-1),"Gage",""),"")</f>
        <v/>
      </c>
      <c r="IG77" s="788" t="str">
        <f t="shared" si="132"/>
        <v/>
      </c>
      <c r="IH77" s="674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677" t="str" cm="1">
        <f t="array" ref="II77">IFERROR(IF($IH77&lt;1,$IH77+LARGE((IF($M$9:$M$150="",0,$M$9:$M$150)-MOD(IF($M$9:$M$150="",0,$M$9:$M$150),1)),1),$IH77),"")</f>
        <v/>
      </c>
      <c r="IJ77" s="482" t="str">
        <f t="shared" si="131"/>
        <v/>
      </c>
      <c r="IK77" s="482" t="str">
        <f t="shared" si="117"/>
        <v/>
      </c>
      <c r="IL77" s="670" t="str">
        <f t="shared" si="68"/>
        <v/>
      </c>
      <c r="IM77" s="702"/>
      <c r="IN77" s="5" t="str">
        <f t="shared" si="69"/>
        <v/>
      </c>
      <c r="IO77" s="714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670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05" t="str">
        <f t="shared" si="77"/>
        <v/>
      </c>
    </row>
    <row r="78" spans="1:259" ht="15" customHeight="1" x14ac:dyDescent="0.25">
      <c r="A78" s="82"/>
      <c r="B78" s="578" t="str">
        <f t="shared" si="118"/>
        <v/>
      </c>
      <c r="C78" s="572" t="str">
        <f t="shared" si="119"/>
        <v/>
      </c>
      <c r="D78" s="576" t="str">
        <f t="shared" si="120"/>
        <v/>
      </c>
      <c r="E78" s="580" t="str">
        <f t="shared" si="121"/>
        <v/>
      </c>
      <c r="F78" s="572" t="str">
        <f t="shared" si="122"/>
        <v/>
      </c>
      <c r="G78" s="579" t="str">
        <f t="shared" si="123"/>
        <v/>
      </c>
      <c r="H78" s="580" t="str">
        <f t="shared" si="128"/>
        <v/>
      </c>
      <c r="I78" s="482"/>
      <c r="J78" s="483" t="str">
        <v/>
      </c>
      <c r="K78" s="806" t="str">
        <f t="shared" si="133"/>
        <v/>
      </c>
      <c r="M78" s="164" t="str">
        <f t="shared" si="88"/>
        <v/>
      </c>
      <c r="N78" s="575" t="str">
        <f t="shared" si="89"/>
        <v/>
      </c>
      <c r="O78" s="572" t="str">
        <f t="shared" si="90"/>
        <v/>
      </c>
      <c r="P78" s="576" t="str">
        <f t="shared" si="91"/>
        <v/>
      </c>
      <c r="Q78" s="528" t="str">
        <f t="shared" si="92"/>
        <v/>
      </c>
      <c r="R78" s="572" t="str">
        <f t="shared" si="93"/>
        <v/>
      </c>
      <c r="S78" s="577" t="str">
        <f t="shared" si="94"/>
        <v/>
      </c>
      <c r="T78" s="578" t="str">
        <f t="shared" si="95"/>
        <v/>
      </c>
      <c r="U78" s="572" t="str">
        <f t="shared" si="96"/>
        <v/>
      </c>
      <c r="V78" s="579" t="str">
        <f t="shared" si="97"/>
        <v/>
      </c>
      <c r="W78" s="528" t="str">
        <f t="shared" si="98"/>
        <v/>
      </c>
      <c r="X78" s="572" t="str">
        <f t="shared" si="99"/>
        <v/>
      </c>
      <c r="Y78" s="573" t="str">
        <f t="shared" si="124"/>
        <v/>
      </c>
      <c r="Z78" s="575" t="str">
        <f t="shared" si="100"/>
        <v/>
      </c>
      <c r="AA78" s="572" t="str">
        <f t="shared" si="101"/>
        <v/>
      </c>
      <c r="AB78" s="572" t="str">
        <f t="shared" si="102"/>
        <v/>
      </c>
      <c r="AC78" s="579" t="str">
        <f t="shared" si="103"/>
        <v/>
      </c>
      <c r="AD78" s="580" t="str">
        <f t="shared" si="104"/>
        <v/>
      </c>
      <c r="AE78" s="572" t="str">
        <f t="shared" si="105"/>
        <v/>
      </c>
      <c r="AF78" s="576" t="str">
        <f t="shared" si="106"/>
        <v/>
      </c>
      <c r="AG78" s="545" t="str">
        <f t="shared" si="107"/>
        <v/>
      </c>
      <c r="AH78" s="546" t="str">
        <f t="shared" si="108"/>
        <v/>
      </c>
      <c r="AI78" s="528" t="str">
        <f t="shared" si="109"/>
        <v/>
      </c>
      <c r="AJ78" s="529" t="str">
        <f t="shared" si="110"/>
        <v/>
      </c>
      <c r="AK78" s="578" t="str">
        <f t="shared" si="111"/>
        <v/>
      </c>
      <c r="AL78" s="572" t="str">
        <f t="shared" si="112"/>
        <v/>
      </c>
      <c r="AM78" s="577" t="str">
        <f t="shared" si="113"/>
        <v/>
      </c>
      <c r="AN78" s="524" t="str">
        <f t="shared" si="86"/>
        <v/>
      </c>
      <c r="AO78" s="525" t="str">
        <f t="shared" si="125"/>
        <v/>
      </c>
      <c r="AP78" s="528" t="str">
        <f t="shared" si="114"/>
        <v/>
      </c>
      <c r="AQ78" s="529" t="str">
        <f t="shared" si="129"/>
        <v/>
      </c>
      <c r="AS78" s="598" t="str">
        <f t="shared" si="115"/>
        <v/>
      </c>
      <c r="AT78" s="602" t="str">
        <f t="shared" si="130"/>
        <v/>
      </c>
      <c r="AU78" s="515" t="str">
        <f t="shared" si="87"/>
        <v/>
      </c>
      <c r="AV78" s="164" t="str">
        <f t="shared" si="116"/>
        <v/>
      </c>
      <c r="AW78" s="545" t="str">
        <f>IF($M78="","",W78-INDEX(Assy.Model!$W$9:$W$150,MATCH('SN#.Run#'!$M78,Assy.Model!$M$9:$M$150,0)))</f>
        <v/>
      </c>
      <c r="AX78" s="628" t="str">
        <f>IF($M78="","",X78-INDEX(Assy.Model!$X$9:$X$150,MATCH('SN#.Run#'!$M78,Assy.Model!$M$9:$M$150,0)))</f>
        <v/>
      </c>
      <c r="AY78" s="629" t="str">
        <f>IF($M78="","",Y78-INDEX(Assy.Model!$Y$9:$Y$150,MATCH('SN#.Run#'!$M78,Assy.Model!$M$9:$M$150,0)))</f>
        <v/>
      </c>
      <c r="AZ78" s="602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10" t="str">
        <f>IF($M78="","",AN78-INDEX(Assy.Model!$AN$9:$AN$150,MATCH('SN#.Run#'!$M78,Assy.Model!$M$9:$M$150,0)))</f>
        <v/>
      </c>
      <c r="BB78" s="525" t="str">
        <f>IF($M78="","",AO78-INDEX(Assy.Model!$AO$9:$AO$150,MATCH('SN#.Run#'!$M78,Assy.Model!$M$9:$M$150,0)))</f>
        <v/>
      </c>
      <c r="BC78" s="619" t="str">
        <f>IF($M78="","",AP78-INDEX(Assy.Model!$AP$9:$AP$150,MATCH('SN#.Run#'!$M78,Assy.Model!$M$9:$M$150,0)))</f>
        <v/>
      </c>
      <c r="BD78" s="419"/>
      <c r="BE78" s="699"/>
      <c r="BF78" s="417"/>
      <c r="BG78" s="417"/>
      <c r="BH78" s="417"/>
      <c r="IE78" s="790" t="str">
        <f>IFERROR(IF($IU78="","",IF($IU78&lt;(((Settings!$C$19/2)*-1)*$IE$8),"Taper","Nose")),"")</f>
        <v/>
      </c>
      <c r="IF78" s="482" t="str">
        <f>IFERROR(IF((((($IW78*COS(RADIANS(180-$IY78)))*COS(RADIANS($IY78)))-(($IX78*SIN(RADIANS(180-$IY78)))*SIN(RADIANS($IY78))))+$IU78)&lt;(((Settings!$C$19+$IF$8)/2)*-1),"Gage",""),"")</f>
        <v/>
      </c>
      <c r="IG78" s="788" t="str">
        <f t="shared" si="132"/>
        <v/>
      </c>
      <c r="IH78" s="674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677" t="str" cm="1">
        <f t="array" ref="II78">IFERROR(IF($IH78&lt;1,$IH78+LARGE((IF($M$9:$M$150="",0,$M$9:$M$150)-MOD(IF($M$9:$M$150="",0,$M$9:$M$150),1)),1),$IH78),"")</f>
        <v/>
      </c>
      <c r="IJ78" s="482" t="str">
        <f t="shared" si="131"/>
        <v/>
      </c>
      <c r="IK78" s="482" t="str">
        <f t="shared" si="117"/>
        <v/>
      </c>
      <c r="IL78" s="670" t="str">
        <f t="shared" si="68"/>
        <v/>
      </c>
      <c r="IM78" s="702"/>
      <c r="IN78" s="5" t="str">
        <f t="shared" si="69"/>
        <v/>
      </c>
      <c r="IO78" s="714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670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05" t="str">
        <f t="shared" si="77"/>
        <v/>
      </c>
    </row>
    <row r="79" spans="1:259" ht="15" customHeight="1" x14ac:dyDescent="0.25">
      <c r="A79" s="82"/>
      <c r="B79" s="578" t="str">
        <f t="shared" si="118"/>
        <v/>
      </c>
      <c r="C79" s="572" t="str">
        <f t="shared" si="119"/>
        <v/>
      </c>
      <c r="D79" s="576" t="str">
        <f t="shared" si="120"/>
        <v/>
      </c>
      <c r="E79" s="580" t="str">
        <f t="shared" si="121"/>
        <v/>
      </c>
      <c r="F79" s="572" t="str">
        <f t="shared" si="122"/>
        <v/>
      </c>
      <c r="G79" s="579" t="str">
        <f t="shared" si="123"/>
        <v/>
      </c>
      <c r="H79" s="580" t="str">
        <f t="shared" si="128"/>
        <v/>
      </c>
      <c r="I79" s="482"/>
      <c r="J79" s="483" t="str">
        <v/>
      </c>
      <c r="K79" s="806" t="str">
        <f t="shared" si="133"/>
        <v/>
      </c>
      <c r="M79" s="164" t="str">
        <f t="shared" si="88"/>
        <v/>
      </c>
      <c r="N79" s="575" t="str">
        <f t="shared" si="89"/>
        <v/>
      </c>
      <c r="O79" s="572" t="str">
        <f t="shared" si="90"/>
        <v/>
      </c>
      <c r="P79" s="576" t="str">
        <f t="shared" si="91"/>
        <v/>
      </c>
      <c r="Q79" s="528" t="str">
        <f t="shared" si="92"/>
        <v/>
      </c>
      <c r="R79" s="572" t="str">
        <f t="shared" si="93"/>
        <v/>
      </c>
      <c r="S79" s="577" t="str">
        <f t="shared" si="94"/>
        <v/>
      </c>
      <c r="T79" s="578" t="str">
        <f t="shared" si="95"/>
        <v/>
      </c>
      <c r="U79" s="572" t="str">
        <f t="shared" si="96"/>
        <v/>
      </c>
      <c r="V79" s="579" t="str">
        <f t="shared" si="97"/>
        <v/>
      </c>
      <c r="W79" s="528" t="str">
        <f t="shared" si="98"/>
        <v/>
      </c>
      <c r="X79" s="572" t="str">
        <f t="shared" si="99"/>
        <v/>
      </c>
      <c r="Y79" s="573" t="str">
        <f t="shared" si="124"/>
        <v/>
      </c>
      <c r="Z79" s="575" t="str">
        <f t="shared" si="100"/>
        <v/>
      </c>
      <c r="AA79" s="572" t="str">
        <f t="shared" si="101"/>
        <v/>
      </c>
      <c r="AB79" s="572" t="str">
        <f t="shared" si="102"/>
        <v/>
      </c>
      <c r="AC79" s="579" t="str">
        <f t="shared" si="103"/>
        <v/>
      </c>
      <c r="AD79" s="580" t="str">
        <f t="shared" si="104"/>
        <v/>
      </c>
      <c r="AE79" s="572" t="str">
        <f t="shared" si="105"/>
        <v/>
      </c>
      <c r="AF79" s="576" t="str">
        <f t="shared" si="106"/>
        <v/>
      </c>
      <c r="AG79" s="545" t="str">
        <f t="shared" si="107"/>
        <v/>
      </c>
      <c r="AH79" s="546" t="str">
        <f t="shared" si="108"/>
        <v/>
      </c>
      <c r="AI79" s="528" t="str">
        <f t="shared" si="109"/>
        <v/>
      </c>
      <c r="AJ79" s="529" t="str">
        <f t="shared" si="110"/>
        <v/>
      </c>
      <c r="AK79" s="578" t="str">
        <f t="shared" si="111"/>
        <v/>
      </c>
      <c r="AL79" s="572" t="str">
        <f t="shared" si="112"/>
        <v/>
      </c>
      <c r="AM79" s="577" t="str">
        <f t="shared" si="113"/>
        <v/>
      </c>
      <c r="AN79" s="524" t="str">
        <f t="shared" si="86"/>
        <v/>
      </c>
      <c r="AO79" s="525" t="str">
        <f t="shared" si="125"/>
        <v/>
      </c>
      <c r="AP79" s="528" t="str">
        <f t="shared" si="114"/>
        <v/>
      </c>
      <c r="AQ79" s="529" t="str">
        <f t="shared" si="129"/>
        <v/>
      </c>
      <c r="AS79" s="598" t="str">
        <f t="shared" si="115"/>
        <v/>
      </c>
      <c r="AT79" s="602" t="str">
        <f t="shared" si="130"/>
        <v/>
      </c>
      <c r="AU79" s="515" t="str">
        <f t="shared" si="87"/>
        <v/>
      </c>
      <c r="AV79" s="164" t="str">
        <f t="shared" si="116"/>
        <v/>
      </c>
      <c r="AW79" s="545" t="str">
        <f>IF($M79="","",W79-INDEX(Assy.Model!$W$9:$W$150,MATCH('SN#.Run#'!$M79,Assy.Model!$M$9:$M$150,0)))</f>
        <v/>
      </c>
      <c r="AX79" s="628" t="str">
        <f>IF($M79="","",X79-INDEX(Assy.Model!$X$9:$X$150,MATCH('SN#.Run#'!$M79,Assy.Model!$M$9:$M$150,0)))</f>
        <v/>
      </c>
      <c r="AY79" s="629" t="str">
        <f>IF($M79="","",Y79-INDEX(Assy.Model!$Y$9:$Y$150,MATCH('SN#.Run#'!$M79,Assy.Model!$M$9:$M$150,0)))</f>
        <v/>
      </c>
      <c r="AZ79" s="602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10" t="str">
        <f>IF($M79="","",AN79-INDEX(Assy.Model!$AN$9:$AN$150,MATCH('SN#.Run#'!$M79,Assy.Model!$M$9:$M$150,0)))</f>
        <v/>
      </c>
      <c r="BB79" s="525" t="str">
        <f>IF($M79="","",AO79-INDEX(Assy.Model!$AO$9:$AO$150,MATCH('SN#.Run#'!$M79,Assy.Model!$M$9:$M$150,0)))</f>
        <v/>
      </c>
      <c r="BC79" s="619" t="str">
        <f>IF($M79="","",AP79-INDEX(Assy.Model!$AP$9:$AP$150,MATCH('SN#.Run#'!$M79,Assy.Model!$M$9:$M$150,0)))</f>
        <v/>
      </c>
      <c r="BD79" s="419"/>
      <c r="BE79" s="699"/>
      <c r="BF79" s="417"/>
      <c r="BG79" s="417"/>
      <c r="BH79" s="417"/>
      <c r="IE79" s="790" t="str">
        <f>IFERROR(IF($IU79="","",IF($IU79&lt;(((Settings!$C$19/2)*-1)*$IE$8),"Taper","Nose")),"")</f>
        <v/>
      </c>
      <c r="IF79" s="482" t="str">
        <f>IFERROR(IF((((($IW79*COS(RADIANS(180-$IY79)))*COS(RADIANS($IY79)))-(($IX79*SIN(RADIANS(180-$IY79)))*SIN(RADIANS($IY79))))+$IU79)&lt;(((Settings!$C$19+$IF$8)/2)*-1),"Gage",""),"")</f>
        <v/>
      </c>
      <c r="IG79" s="788" t="str">
        <f t="shared" si="132"/>
        <v/>
      </c>
      <c r="IH79" s="674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677" t="str" cm="1">
        <f t="array" ref="II79">IFERROR(IF($IH79&lt;1,$IH79+LARGE((IF($M$9:$M$150="",0,$M$9:$M$150)-MOD(IF($M$9:$M$150="",0,$M$9:$M$150),1)),1),$IH79),"")</f>
        <v/>
      </c>
      <c r="IJ79" s="482" t="str">
        <f t="shared" si="131"/>
        <v/>
      </c>
      <c r="IK79" s="482" t="str">
        <f t="shared" si="117"/>
        <v/>
      </c>
      <c r="IL79" s="670" t="str">
        <f t="shared" si="68"/>
        <v/>
      </c>
      <c r="IM79" s="702"/>
      <c r="IN79" s="5" t="str">
        <f t="shared" si="69"/>
        <v/>
      </c>
      <c r="IO79" s="714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670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05" t="str">
        <f t="shared" si="77"/>
        <v/>
      </c>
    </row>
    <row r="80" spans="1:259" ht="15" customHeight="1" x14ac:dyDescent="0.25">
      <c r="A80" s="82"/>
      <c r="B80" s="578" t="str">
        <f t="shared" si="118"/>
        <v/>
      </c>
      <c r="C80" s="572" t="str">
        <f t="shared" si="119"/>
        <v/>
      </c>
      <c r="D80" s="576" t="str">
        <f t="shared" si="120"/>
        <v/>
      </c>
      <c r="E80" s="580" t="str">
        <f t="shared" si="121"/>
        <v/>
      </c>
      <c r="F80" s="572" t="str">
        <f t="shared" si="122"/>
        <v/>
      </c>
      <c r="G80" s="579" t="str">
        <f t="shared" si="123"/>
        <v/>
      </c>
      <c r="H80" s="580" t="str">
        <f t="shared" si="128"/>
        <v/>
      </c>
      <c r="I80" s="482"/>
      <c r="J80" s="483" t="str">
        <v/>
      </c>
      <c r="K80" s="806" t="str">
        <f t="shared" si="133"/>
        <v/>
      </c>
      <c r="M80" s="164" t="str">
        <f t="shared" si="88"/>
        <v/>
      </c>
      <c r="N80" s="575" t="str">
        <f t="shared" si="89"/>
        <v/>
      </c>
      <c r="O80" s="572" t="str">
        <f t="shared" si="90"/>
        <v/>
      </c>
      <c r="P80" s="576" t="str">
        <f t="shared" si="91"/>
        <v/>
      </c>
      <c r="Q80" s="528" t="str">
        <f t="shared" si="92"/>
        <v/>
      </c>
      <c r="R80" s="572" t="str">
        <f t="shared" si="93"/>
        <v/>
      </c>
      <c r="S80" s="577" t="str">
        <f t="shared" si="94"/>
        <v/>
      </c>
      <c r="T80" s="578" t="str">
        <f t="shared" si="95"/>
        <v/>
      </c>
      <c r="U80" s="572" t="str">
        <f t="shared" si="96"/>
        <v/>
      </c>
      <c r="V80" s="579" t="str">
        <f t="shared" si="97"/>
        <v/>
      </c>
      <c r="W80" s="528" t="str">
        <f t="shared" si="98"/>
        <v/>
      </c>
      <c r="X80" s="572" t="str">
        <f t="shared" si="99"/>
        <v/>
      </c>
      <c r="Y80" s="573" t="str">
        <f t="shared" si="124"/>
        <v/>
      </c>
      <c r="Z80" s="575" t="str">
        <f t="shared" si="100"/>
        <v/>
      </c>
      <c r="AA80" s="572" t="str">
        <f t="shared" si="101"/>
        <v/>
      </c>
      <c r="AB80" s="572" t="str">
        <f t="shared" si="102"/>
        <v/>
      </c>
      <c r="AC80" s="579" t="str">
        <f t="shared" si="103"/>
        <v/>
      </c>
      <c r="AD80" s="580" t="str">
        <f t="shared" si="104"/>
        <v/>
      </c>
      <c r="AE80" s="572" t="str">
        <f t="shared" si="105"/>
        <v/>
      </c>
      <c r="AF80" s="576" t="str">
        <f t="shared" si="106"/>
        <v/>
      </c>
      <c r="AG80" s="545" t="str">
        <f t="shared" si="107"/>
        <v/>
      </c>
      <c r="AH80" s="546" t="str">
        <f t="shared" si="108"/>
        <v/>
      </c>
      <c r="AI80" s="528" t="str">
        <f t="shared" si="109"/>
        <v/>
      </c>
      <c r="AJ80" s="529" t="str">
        <f t="shared" si="110"/>
        <v/>
      </c>
      <c r="AK80" s="578" t="str">
        <f t="shared" si="111"/>
        <v/>
      </c>
      <c r="AL80" s="572" t="str">
        <f t="shared" si="112"/>
        <v/>
      </c>
      <c r="AM80" s="577" t="str">
        <f t="shared" si="113"/>
        <v/>
      </c>
      <c r="AN80" s="524" t="str">
        <f t="shared" si="86"/>
        <v/>
      </c>
      <c r="AO80" s="525" t="str">
        <f t="shared" si="125"/>
        <v/>
      </c>
      <c r="AP80" s="528" t="str">
        <f t="shared" si="114"/>
        <v/>
      </c>
      <c r="AQ80" s="529" t="str">
        <f t="shared" si="129"/>
        <v/>
      </c>
      <c r="AS80" s="598" t="str">
        <f t="shared" si="115"/>
        <v/>
      </c>
      <c r="AT80" s="602" t="str">
        <f t="shared" si="130"/>
        <v/>
      </c>
      <c r="AU80" s="515" t="str">
        <f t="shared" si="87"/>
        <v/>
      </c>
      <c r="AV80" s="164" t="str">
        <f t="shared" si="116"/>
        <v/>
      </c>
      <c r="AW80" s="545" t="str">
        <f>IF($M80="","",W80-INDEX(Assy.Model!$W$9:$W$150,MATCH('SN#.Run#'!$M80,Assy.Model!$M$9:$M$150,0)))</f>
        <v/>
      </c>
      <c r="AX80" s="628" t="str">
        <f>IF($M80="","",X80-INDEX(Assy.Model!$X$9:$X$150,MATCH('SN#.Run#'!$M80,Assy.Model!$M$9:$M$150,0)))</f>
        <v/>
      </c>
      <c r="AY80" s="629" t="str">
        <f>IF($M80="","",Y80-INDEX(Assy.Model!$Y$9:$Y$150,MATCH('SN#.Run#'!$M80,Assy.Model!$M$9:$M$150,0)))</f>
        <v/>
      </c>
      <c r="AZ80" s="602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10" t="str">
        <f>IF($M80="","",AN80-INDEX(Assy.Model!$AN$9:$AN$150,MATCH('SN#.Run#'!$M80,Assy.Model!$M$9:$M$150,0)))</f>
        <v/>
      </c>
      <c r="BB80" s="525" t="str">
        <f>IF($M80="","",AO80-INDEX(Assy.Model!$AO$9:$AO$150,MATCH('SN#.Run#'!$M80,Assy.Model!$M$9:$M$150,0)))</f>
        <v/>
      </c>
      <c r="BC80" s="619" t="str">
        <f>IF($M80="","",AP80-INDEX(Assy.Model!$AP$9:$AP$150,MATCH('SN#.Run#'!$M80,Assy.Model!$M$9:$M$150,0)))</f>
        <v/>
      </c>
      <c r="BD80" s="419"/>
      <c r="BE80" s="699"/>
      <c r="BF80" s="417"/>
      <c r="BG80" s="417"/>
      <c r="BH80" s="417"/>
      <c r="IE80" s="790" t="str">
        <f>IFERROR(IF($IU80="","",IF($IU80&lt;(((Settings!$C$19/2)*-1)*$IE$8),"Taper","Nose")),"")</f>
        <v/>
      </c>
      <c r="IF80" s="482" t="str">
        <f>IFERROR(IF((((($IW80*COS(RADIANS(180-$IY80)))*COS(RADIANS($IY80)))-(($IX80*SIN(RADIANS(180-$IY80)))*SIN(RADIANS($IY80))))+$IU80)&lt;(((Settings!$C$19+$IF$8)/2)*-1),"Gage",""),"")</f>
        <v/>
      </c>
      <c r="IG80" s="788" t="str">
        <f t="shared" si="132"/>
        <v/>
      </c>
      <c r="IH80" s="674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677" t="str" cm="1">
        <f t="array" ref="II80">IFERROR(IF($IH80&lt;1,$IH80+LARGE((IF($M$9:$M$150="",0,$M$9:$M$150)-MOD(IF($M$9:$M$150="",0,$M$9:$M$150),1)),1),$IH80),"")</f>
        <v/>
      </c>
      <c r="IJ80" s="482" t="str">
        <f t="shared" si="131"/>
        <v/>
      </c>
      <c r="IK80" s="482" t="str">
        <f t="shared" si="117"/>
        <v/>
      </c>
      <c r="IL80" s="670" t="str">
        <f t="shared" si="68"/>
        <v/>
      </c>
      <c r="IM80" s="702"/>
      <c r="IN80" s="5" t="str">
        <f t="shared" si="69"/>
        <v/>
      </c>
      <c r="IO80" s="714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670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05" t="str">
        <f t="shared" si="77"/>
        <v/>
      </c>
    </row>
    <row r="81" spans="1:259" ht="15" customHeight="1" x14ac:dyDescent="0.25">
      <c r="A81" s="82"/>
      <c r="B81" s="578" t="str">
        <f t="shared" si="118"/>
        <v/>
      </c>
      <c r="C81" s="572" t="str">
        <f t="shared" si="119"/>
        <v/>
      </c>
      <c r="D81" s="576" t="str">
        <f t="shared" si="120"/>
        <v/>
      </c>
      <c r="E81" s="580" t="str">
        <f t="shared" si="121"/>
        <v/>
      </c>
      <c r="F81" s="572" t="str">
        <f t="shared" si="122"/>
        <v/>
      </c>
      <c r="G81" s="579" t="str">
        <f t="shared" si="123"/>
        <v/>
      </c>
      <c r="H81" s="580" t="str">
        <f t="shared" si="128"/>
        <v/>
      </c>
      <c r="I81" s="482"/>
      <c r="J81" s="483" t="str">
        <v/>
      </c>
      <c r="K81" s="806" t="str">
        <f t="shared" si="133"/>
        <v/>
      </c>
      <c r="M81" s="164" t="str">
        <f t="shared" si="88"/>
        <v/>
      </c>
      <c r="N81" s="575" t="str">
        <f t="shared" si="89"/>
        <v/>
      </c>
      <c r="O81" s="572" t="str">
        <f t="shared" si="90"/>
        <v/>
      </c>
      <c r="P81" s="576" t="str">
        <f t="shared" si="91"/>
        <v/>
      </c>
      <c r="Q81" s="528" t="str">
        <f t="shared" si="92"/>
        <v/>
      </c>
      <c r="R81" s="572" t="str">
        <f t="shared" si="93"/>
        <v/>
      </c>
      <c r="S81" s="577" t="str">
        <f t="shared" si="94"/>
        <v/>
      </c>
      <c r="T81" s="578" t="str">
        <f t="shared" si="95"/>
        <v/>
      </c>
      <c r="U81" s="572" t="str">
        <f t="shared" si="96"/>
        <v/>
      </c>
      <c r="V81" s="579" t="str">
        <f t="shared" si="97"/>
        <v/>
      </c>
      <c r="W81" s="528" t="str">
        <f t="shared" si="98"/>
        <v/>
      </c>
      <c r="X81" s="572" t="str">
        <f t="shared" si="99"/>
        <v/>
      </c>
      <c r="Y81" s="573" t="str">
        <f t="shared" si="124"/>
        <v/>
      </c>
      <c r="Z81" s="575" t="str">
        <f t="shared" si="100"/>
        <v/>
      </c>
      <c r="AA81" s="572" t="str">
        <f t="shared" si="101"/>
        <v/>
      </c>
      <c r="AB81" s="572" t="str">
        <f t="shared" si="102"/>
        <v/>
      </c>
      <c r="AC81" s="579" t="str">
        <f t="shared" si="103"/>
        <v/>
      </c>
      <c r="AD81" s="580" t="str">
        <f t="shared" si="104"/>
        <v/>
      </c>
      <c r="AE81" s="572" t="str">
        <f t="shared" si="105"/>
        <v/>
      </c>
      <c r="AF81" s="576" t="str">
        <f t="shared" si="106"/>
        <v/>
      </c>
      <c r="AG81" s="545" t="str">
        <f t="shared" si="107"/>
        <v/>
      </c>
      <c r="AH81" s="546" t="str">
        <f t="shared" si="108"/>
        <v/>
      </c>
      <c r="AI81" s="528" t="str">
        <f t="shared" si="109"/>
        <v/>
      </c>
      <c r="AJ81" s="529" t="str">
        <f t="shared" si="110"/>
        <v/>
      </c>
      <c r="AK81" s="578" t="str">
        <f t="shared" si="111"/>
        <v/>
      </c>
      <c r="AL81" s="572" t="str">
        <f t="shared" si="112"/>
        <v/>
      </c>
      <c r="AM81" s="577" t="str">
        <f t="shared" si="113"/>
        <v/>
      </c>
      <c r="AN81" s="524" t="str">
        <f t="shared" si="86"/>
        <v/>
      </c>
      <c r="AO81" s="525" t="str">
        <f t="shared" si="125"/>
        <v/>
      </c>
      <c r="AP81" s="528" t="str">
        <f t="shared" si="114"/>
        <v/>
      </c>
      <c r="AQ81" s="529" t="str">
        <f t="shared" si="129"/>
        <v/>
      </c>
      <c r="AS81" s="598" t="str">
        <f t="shared" si="115"/>
        <v/>
      </c>
      <c r="AT81" s="602" t="str">
        <f t="shared" si="130"/>
        <v/>
      </c>
      <c r="AU81" s="515" t="str">
        <f t="shared" si="87"/>
        <v/>
      </c>
      <c r="AV81" s="164" t="str">
        <f t="shared" si="116"/>
        <v/>
      </c>
      <c r="AW81" s="545" t="str">
        <f>IF($M81="","",W81-INDEX(Assy.Model!$W$9:$W$150,MATCH('SN#.Run#'!$M81,Assy.Model!$M$9:$M$150,0)))</f>
        <v/>
      </c>
      <c r="AX81" s="628" t="str">
        <f>IF($M81="","",X81-INDEX(Assy.Model!$X$9:$X$150,MATCH('SN#.Run#'!$M81,Assy.Model!$M$9:$M$150,0)))</f>
        <v/>
      </c>
      <c r="AY81" s="629" t="str">
        <f>IF($M81="","",Y81-INDEX(Assy.Model!$Y$9:$Y$150,MATCH('SN#.Run#'!$M81,Assy.Model!$M$9:$M$150,0)))</f>
        <v/>
      </c>
      <c r="AZ81" s="602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10" t="str">
        <f>IF($M81="","",AN81-INDEX(Assy.Model!$AN$9:$AN$150,MATCH('SN#.Run#'!$M81,Assy.Model!$M$9:$M$150,0)))</f>
        <v/>
      </c>
      <c r="BB81" s="525" t="str">
        <f>IF($M81="","",AO81-INDEX(Assy.Model!$AO$9:$AO$150,MATCH('SN#.Run#'!$M81,Assy.Model!$M$9:$M$150,0)))</f>
        <v/>
      </c>
      <c r="BC81" s="619" t="str">
        <f>IF($M81="","",AP81-INDEX(Assy.Model!$AP$9:$AP$150,MATCH('SN#.Run#'!$M81,Assy.Model!$M$9:$M$150,0)))</f>
        <v/>
      </c>
      <c r="BD81" s="419"/>
      <c r="BE81" s="699"/>
      <c r="BF81" s="417"/>
      <c r="BG81" s="417"/>
      <c r="BH81" s="417"/>
      <c r="IE81" s="790" t="str">
        <f>IFERROR(IF($IU81="","",IF($IU81&lt;(((Settings!$C$19/2)*-1)*$IE$8),"Taper","Nose")),"")</f>
        <v/>
      </c>
      <c r="IF81" s="482" t="str">
        <f>IFERROR(IF((((($IW81*COS(RADIANS(180-$IY81)))*COS(RADIANS($IY81)))-(($IX81*SIN(RADIANS(180-$IY81)))*SIN(RADIANS($IY81))))+$IU81)&lt;(((Settings!$C$19+$IF$8)/2)*-1),"Gage",""),"")</f>
        <v/>
      </c>
      <c r="IG81" s="788" t="str">
        <f t="shared" si="132"/>
        <v/>
      </c>
      <c r="IH81" s="674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677" t="str" cm="1">
        <f t="array" ref="II81">IFERROR(IF($IH81&lt;1,$IH81+LARGE((IF($M$9:$M$150="",0,$M$9:$M$150)-MOD(IF($M$9:$M$150="",0,$M$9:$M$150),1)),1),$IH81),"")</f>
        <v/>
      </c>
      <c r="IJ81" s="482" t="str">
        <f t="shared" si="131"/>
        <v/>
      </c>
      <c r="IK81" s="482" t="str">
        <f t="shared" si="117"/>
        <v/>
      </c>
      <c r="IL81" s="670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02"/>
      <c r="IN81" s="5" t="str">
        <f t="shared" ref="IN81:IN144" si="135">IF(ISNUMBER($II81),(($IO81*12)/60)/$AS$3,"")</f>
        <v/>
      </c>
      <c r="IO81" s="714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670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05" t="str">
        <f t="shared" ref="IY81:IY144" si="143">IF(ISNUMBER($II81),(-1*$AN81),"")</f>
        <v/>
      </c>
    </row>
    <row r="82" spans="1:259" ht="15" customHeight="1" x14ac:dyDescent="0.25">
      <c r="A82" s="82"/>
      <c r="B82" s="578" t="str">
        <f t="shared" si="118"/>
        <v/>
      </c>
      <c r="C82" s="572" t="str">
        <f t="shared" si="119"/>
        <v/>
      </c>
      <c r="D82" s="576" t="str">
        <f t="shared" si="120"/>
        <v/>
      </c>
      <c r="E82" s="580" t="str">
        <f t="shared" si="121"/>
        <v/>
      </c>
      <c r="F82" s="572" t="str">
        <f t="shared" si="122"/>
        <v/>
      </c>
      <c r="G82" s="579" t="str">
        <f t="shared" si="123"/>
        <v/>
      </c>
      <c r="H82" s="580" t="str">
        <f t="shared" si="128"/>
        <v/>
      </c>
      <c r="I82" s="482"/>
      <c r="J82" s="483" t="str">
        <v/>
      </c>
      <c r="K82" s="806" t="str">
        <f t="shared" si="133"/>
        <v/>
      </c>
      <c r="M82" s="164" t="str">
        <f t="shared" si="88"/>
        <v/>
      </c>
      <c r="N82" s="575" t="str">
        <f t="shared" si="89"/>
        <v/>
      </c>
      <c r="O82" s="572" t="str">
        <f t="shared" si="90"/>
        <v/>
      </c>
      <c r="P82" s="576" t="str">
        <f t="shared" si="91"/>
        <v/>
      </c>
      <c r="Q82" s="528" t="str">
        <f t="shared" si="92"/>
        <v/>
      </c>
      <c r="R82" s="572" t="str">
        <f t="shared" si="93"/>
        <v/>
      </c>
      <c r="S82" s="577" t="str">
        <f t="shared" si="94"/>
        <v/>
      </c>
      <c r="T82" s="578" t="str">
        <f t="shared" si="95"/>
        <v/>
      </c>
      <c r="U82" s="572" t="str">
        <f t="shared" si="96"/>
        <v/>
      </c>
      <c r="V82" s="579" t="str">
        <f t="shared" si="97"/>
        <v/>
      </c>
      <c r="W82" s="528" t="str">
        <f t="shared" si="98"/>
        <v/>
      </c>
      <c r="X82" s="572" t="str">
        <f t="shared" si="99"/>
        <v/>
      </c>
      <c r="Y82" s="573" t="str">
        <f t="shared" si="124"/>
        <v/>
      </c>
      <c r="Z82" s="575" t="str">
        <f t="shared" si="100"/>
        <v/>
      </c>
      <c r="AA82" s="572" t="str">
        <f t="shared" si="101"/>
        <v/>
      </c>
      <c r="AB82" s="572" t="str">
        <f t="shared" si="102"/>
        <v/>
      </c>
      <c r="AC82" s="579" t="str">
        <f t="shared" si="103"/>
        <v/>
      </c>
      <c r="AD82" s="580" t="str">
        <f t="shared" si="104"/>
        <v/>
      </c>
      <c r="AE82" s="572" t="str">
        <f t="shared" si="105"/>
        <v/>
      </c>
      <c r="AF82" s="576" t="str">
        <f t="shared" si="106"/>
        <v/>
      </c>
      <c r="AG82" s="545" t="str">
        <f t="shared" si="107"/>
        <v/>
      </c>
      <c r="AH82" s="546" t="str">
        <f t="shared" si="108"/>
        <v/>
      </c>
      <c r="AI82" s="528" t="str">
        <f t="shared" si="109"/>
        <v/>
      </c>
      <c r="AJ82" s="529" t="str">
        <f t="shared" si="110"/>
        <v/>
      </c>
      <c r="AK82" s="578" t="str">
        <f t="shared" si="111"/>
        <v/>
      </c>
      <c r="AL82" s="572" t="str">
        <f t="shared" si="112"/>
        <v/>
      </c>
      <c r="AM82" s="577" t="str">
        <f t="shared" si="113"/>
        <v/>
      </c>
      <c r="AN82" s="524" t="str">
        <f t="shared" si="86"/>
        <v/>
      </c>
      <c r="AO82" s="525" t="str">
        <f t="shared" si="125"/>
        <v/>
      </c>
      <c r="AP82" s="528" t="str">
        <f t="shared" si="114"/>
        <v/>
      </c>
      <c r="AQ82" s="529" t="str">
        <f t="shared" si="129"/>
        <v/>
      </c>
      <c r="AS82" s="598" t="str">
        <f t="shared" si="115"/>
        <v/>
      </c>
      <c r="AT82" s="602" t="str">
        <f t="shared" si="130"/>
        <v/>
      </c>
      <c r="AU82" s="515" t="str">
        <f t="shared" si="87"/>
        <v/>
      </c>
      <c r="AV82" s="164" t="str">
        <f t="shared" si="116"/>
        <v/>
      </c>
      <c r="AW82" s="545" t="str">
        <f>IF($M82="","",W82-INDEX(Assy.Model!$W$9:$W$150,MATCH('SN#.Run#'!$M82,Assy.Model!$M$9:$M$150,0)))</f>
        <v/>
      </c>
      <c r="AX82" s="628" t="str">
        <f>IF($M82="","",X82-INDEX(Assy.Model!$X$9:$X$150,MATCH('SN#.Run#'!$M82,Assy.Model!$M$9:$M$150,0)))</f>
        <v/>
      </c>
      <c r="AY82" s="629" t="str">
        <f>IF($M82="","",Y82-INDEX(Assy.Model!$Y$9:$Y$150,MATCH('SN#.Run#'!$M82,Assy.Model!$M$9:$M$150,0)))</f>
        <v/>
      </c>
      <c r="AZ82" s="602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10" t="str">
        <f>IF($M82="","",AN82-INDEX(Assy.Model!$AN$9:$AN$150,MATCH('SN#.Run#'!$M82,Assy.Model!$M$9:$M$150,0)))</f>
        <v/>
      </c>
      <c r="BB82" s="525" t="str">
        <f>IF($M82="","",AO82-INDEX(Assy.Model!$AO$9:$AO$150,MATCH('SN#.Run#'!$M82,Assy.Model!$M$9:$M$150,0)))</f>
        <v/>
      </c>
      <c r="BC82" s="619" t="str">
        <f>IF($M82="","",AP82-INDEX(Assy.Model!$AP$9:$AP$150,MATCH('SN#.Run#'!$M82,Assy.Model!$M$9:$M$150,0)))</f>
        <v/>
      </c>
      <c r="BD82" s="419"/>
      <c r="BE82" s="699"/>
      <c r="BF82" s="417"/>
      <c r="BG82" s="417"/>
      <c r="BH82" s="417"/>
      <c r="IE82" s="790" t="str">
        <f>IFERROR(IF($IU82="","",IF($IU82&lt;(((Settings!$C$19/2)*-1)*$IE$8),"Taper","Nose")),"")</f>
        <v/>
      </c>
      <c r="IF82" s="482" t="str">
        <f>IFERROR(IF((((($IW82*COS(RADIANS(180-$IY82)))*COS(RADIANS($IY82)))-(($IX82*SIN(RADIANS(180-$IY82)))*SIN(RADIANS($IY82))))+$IU82)&lt;(((Settings!$C$19+$IF$8)/2)*-1),"Gage",""),"")</f>
        <v/>
      </c>
      <c r="IG82" s="788" t="str">
        <f t="shared" si="132"/>
        <v/>
      </c>
      <c r="IH82" s="674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677" t="str" cm="1">
        <f t="array" ref="II82">IFERROR(IF($IH82&lt;1,$IH82+LARGE((IF($M$9:$M$150="",0,$M$9:$M$150)-MOD(IF($M$9:$M$150="",0,$M$9:$M$150),1)),1),$IH82),"")</f>
        <v/>
      </c>
      <c r="IJ82" s="482" t="str">
        <f t="shared" si="131"/>
        <v/>
      </c>
      <c r="IK82" s="482" t="str">
        <f t="shared" si="117"/>
        <v/>
      </c>
      <c r="IL82" s="670" t="str">
        <f t="shared" si="134"/>
        <v/>
      </c>
      <c r="IM82" s="702"/>
      <c r="IN82" s="5" t="str">
        <f t="shared" si="135"/>
        <v/>
      </c>
      <c r="IO82" s="714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670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05" t="str">
        <f t="shared" si="143"/>
        <v/>
      </c>
    </row>
    <row r="83" spans="1:259" ht="15" customHeight="1" x14ac:dyDescent="0.25">
      <c r="A83" s="82"/>
      <c r="B83" s="578" t="str">
        <f t="shared" si="118"/>
        <v/>
      </c>
      <c r="C83" s="572" t="str">
        <f t="shared" si="119"/>
        <v/>
      </c>
      <c r="D83" s="576" t="str">
        <f t="shared" si="120"/>
        <v/>
      </c>
      <c r="E83" s="580" t="str">
        <f t="shared" si="121"/>
        <v/>
      </c>
      <c r="F83" s="572" t="str">
        <f t="shared" si="122"/>
        <v/>
      </c>
      <c r="G83" s="579" t="str">
        <f t="shared" si="123"/>
        <v/>
      </c>
      <c r="H83" s="580" t="str">
        <f t="shared" si="128"/>
        <v/>
      </c>
      <c r="I83" s="482"/>
      <c r="J83" s="483" t="str">
        <v/>
      </c>
      <c r="K83" s="806" t="str">
        <f t="shared" si="133"/>
        <v/>
      </c>
      <c r="M83" s="164" t="str">
        <f t="shared" si="88"/>
        <v/>
      </c>
      <c r="N83" s="575" t="str">
        <f t="shared" si="89"/>
        <v/>
      </c>
      <c r="O83" s="572" t="str">
        <f t="shared" si="90"/>
        <v/>
      </c>
      <c r="P83" s="576" t="str">
        <f t="shared" si="91"/>
        <v/>
      </c>
      <c r="Q83" s="528" t="str">
        <f t="shared" si="92"/>
        <v/>
      </c>
      <c r="R83" s="572" t="str">
        <f t="shared" si="93"/>
        <v/>
      </c>
      <c r="S83" s="577" t="str">
        <f t="shared" si="94"/>
        <v/>
      </c>
      <c r="T83" s="578" t="str">
        <f t="shared" si="95"/>
        <v/>
      </c>
      <c r="U83" s="572" t="str">
        <f t="shared" si="96"/>
        <v/>
      </c>
      <c r="V83" s="579" t="str">
        <f t="shared" si="97"/>
        <v/>
      </c>
      <c r="W83" s="528" t="str">
        <f t="shared" si="98"/>
        <v/>
      </c>
      <c r="X83" s="572" t="str">
        <f t="shared" si="99"/>
        <v/>
      </c>
      <c r="Y83" s="573" t="str">
        <f t="shared" si="124"/>
        <v/>
      </c>
      <c r="Z83" s="575" t="str">
        <f t="shared" si="100"/>
        <v/>
      </c>
      <c r="AA83" s="572" t="str">
        <f t="shared" si="101"/>
        <v/>
      </c>
      <c r="AB83" s="572" t="str">
        <f t="shared" si="102"/>
        <v/>
      </c>
      <c r="AC83" s="579" t="str">
        <f t="shared" si="103"/>
        <v/>
      </c>
      <c r="AD83" s="580" t="str">
        <f t="shared" si="104"/>
        <v/>
      </c>
      <c r="AE83" s="572" t="str">
        <f t="shared" si="105"/>
        <v/>
      </c>
      <c r="AF83" s="576" t="str">
        <f t="shared" si="106"/>
        <v/>
      </c>
      <c r="AG83" s="545" t="str">
        <f t="shared" si="107"/>
        <v/>
      </c>
      <c r="AH83" s="546" t="str">
        <f t="shared" si="108"/>
        <v/>
      </c>
      <c r="AI83" s="528" t="str">
        <f t="shared" si="109"/>
        <v/>
      </c>
      <c r="AJ83" s="529" t="str">
        <f t="shared" si="110"/>
        <v/>
      </c>
      <c r="AK83" s="578" t="str">
        <f t="shared" si="111"/>
        <v/>
      </c>
      <c r="AL83" s="572" t="str">
        <f t="shared" si="112"/>
        <v/>
      </c>
      <c r="AM83" s="577" t="str">
        <f t="shared" si="113"/>
        <v/>
      </c>
      <c r="AN83" s="524" t="str">
        <f t="shared" si="86"/>
        <v/>
      </c>
      <c r="AO83" s="525" t="str">
        <f t="shared" si="125"/>
        <v/>
      </c>
      <c r="AP83" s="528" t="str">
        <f t="shared" si="114"/>
        <v/>
      </c>
      <c r="AQ83" s="529" t="str">
        <f t="shared" si="129"/>
        <v/>
      </c>
      <c r="AS83" s="598" t="str">
        <f t="shared" si="115"/>
        <v/>
      </c>
      <c r="AT83" s="602" t="str">
        <f t="shared" si="130"/>
        <v/>
      </c>
      <c r="AU83" s="515" t="str">
        <f t="shared" si="87"/>
        <v/>
      </c>
      <c r="AV83" s="164" t="str">
        <f t="shared" si="116"/>
        <v/>
      </c>
      <c r="AW83" s="545" t="str">
        <f>IF($M83="","",W83-INDEX(Assy.Model!$W$9:$W$150,MATCH('SN#.Run#'!$M83,Assy.Model!$M$9:$M$150,0)))</f>
        <v/>
      </c>
      <c r="AX83" s="628" t="str">
        <f>IF($M83="","",X83-INDEX(Assy.Model!$X$9:$X$150,MATCH('SN#.Run#'!$M83,Assy.Model!$M$9:$M$150,0)))</f>
        <v/>
      </c>
      <c r="AY83" s="629" t="str">
        <f>IF($M83="","",Y83-INDEX(Assy.Model!$Y$9:$Y$150,MATCH('SN#.Run#'!$M83,Assy.Model!$M$9:$M$150,0)))</f>
        <v/>
      </c>
      <c r="AZ83" s="602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10" t="str">
        <f>IF($M83="","",AN83-INDEX(Assy.Model!$AN$9:$AN$150,MATCH('SN#.Run#'!$M83,Assy.Model!$M$9:$M$150,0)))</f>
        <v/>
      </c>
      <c r="BB83" s="525" t="str">
        <f>IF($M83="","",AO83-INDEX(Assy.Model!$AO$9:$AO$150,MATCH('SN#.Run#'!$M83,Assy.Model!$M$9:$M$150,0)))</f>
        <v/>
      </c>
      <c r="BC83" s="619" t="str">
        <f>IF($M83="","",AP83-INDEX(Assy.Model!$AP$9:$AP$150,MATCH('SN#.Run#'!$M83,Assy.Model!$M$9:$M$150,0)))</f>
        <v/>
      </c>
      <c r="BD83" s="419"/>
      <c r="BE83" s="699"/>
      <c r="BF83" s="417"/>
      <c r="BG83" s="417"/>
      <c r="BH83" s="417"/>
      <c r="IE83" s="790" t="str">
        <f>IFERROR(IF($IU83="","",IF($IU83&lt;(((Settings!$C$19/2)*-1)*$IE$8),"Taper","Nose")),"")</f>
        <v/>
      </c>
      <c r="IF83" s="482" t="str">
        <f>IFERROR(IF((((($IW83*COS(RADIANS(180-$IY83)))*COS(RADIANS($IY83)))-(($IX83*SIN(RADIANS(180-$IY83)))*SIN(RADIANS($IY83))))+$IU83)&lt;(((Settings!$C$19+$IF$8)/2)*-1),"Gage",""),"")</f>
        <v/>
      </c>
      <c r="IG83" s="788" t="str">
        <f t="shared" si="132"/>
        <v/>
      </c>
      <c r="IH83" s="674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677" t="str" cm="1">
        <f t="array" ref="II83">IFERROR(IF($IH83&lt;1,$IH83+LARGE((IF($M$9:$M$150="",0,$M$9:$M$150)-MOD(IF($M$9:$M$150="",0,$M$9:$M$150),1)),1),$IH83),"")</f>
        <v/>
      </c>
      <c r="IJ83" s="482" t="str">
        <f t="shared" si="131"/>
        <v/>
      </c>
      <c r="IK83" s="482" t="str">
        <f t="shared" si="117"/>
        <v/>
      </c>
      <c r="IL83" s="670" t="str">
        <f t="shared" si="134"/>
        <v/>
      </c>
      <c r="IM83" s="702"/>
      <c r="IN83" s="5" t="str">
        <f t="shared" si="135"/>
        <v/>
      </c>
      <c r="IO83" s="714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670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05" t="str">
        <f t="shared" si="143"/>
        <v/>
      </c>
    </row>
    <row r="84" spans="1:259" ht="15" customHeight="1" x14ac:dyDescent="0.25">
      <c r="A84" s="82"/>
      <c r="B84" s="578" t="str">
        <f t="shared" si="118"/>
        <v/>
      </c>
      <c r="C84" s="572" t="str">
        <f t="shared" si="119"/>
        <v/>
      </c>
      <c r="D84" s="576" t="str">
        <f t="shared" si="120"/>
        <v/>
      </c>
      <c r="E84" s="580" t="str">
        <f t="shared" si="121"/>
        <v/>
      </c>
      <c r="F84" s="572" t="str">
        <f t="shared" si="122"/>
        <v/>
      </c>
      <c r="G84" s="579" t="str">
        <f t="shared" si="123"/>
        <v/>
      </c>
      <c r="H84" s="580" t="str">
        <f t="shared" si="128"/>
        <v/>
      </c>
      <c r="I84" s="482"/>
      <c r="J84" s="483" t="str">
        <v/>
      </c>
      <c r="K84" s="806" t="str">
        <f t="shared" si="133"/>
        <v/>
      </c>
      <c r="M84" s="164" t="str">
        <f t="shared" si="88"/>
        <v/>
      </c>
      <c r="N84" s="575" t="str">
        <f t="shared" si="89"/>
        <v/>
      </c>
      <c r="O84" s="572" t="str">
        <f t="shared" si="90"/>
        <v/>
      </c>
      <c r="P84" s="576" t="str">
        <f t="shared" si="91"/>
        <v/>
      </c>
      <c r="Q84" s="528" t="str">
        <f t="shared" si="92"/>
        <v/>
      </c>
      <c r="R84" s="572" t="str">
        <f t="shared" si="93"/>
        <v/>
      </c>
      <c r="S84" s="577" t="str">
        <f t="shared" si="94"/>
        <v/>
      </c>
      <c r="T84" s="578" t="str">
        <f t="shared" si="95"/>
        <v/>
      </c>
      <c r="U84" s="572" t="str">
        <f t="shared" si="96"/>
        <v/>
      </c>
      <c r="V84" s="579" t="str">
        <f t="shared" si="97"/>
        <v/>
      </c>
      <c r="W84" s="528" t="str">
        <f t="shared" si="98"/>
        <v/>
      </c>
      <c r="X84" s="572" t="str">
        <f t="shared" si="99"/>
        <v/>
      </c>
      <c r="Y84" s="573" t="str">
        <f t="shared" si="124"/>
        <v/>
      </c>
      <c r="Z84" s="575" t="str">
        <f t="shared" si="100"/>
        <v/>
      </c>
      <c r="AA84" s="572" t="str">
        <f t="shared" si="101"/>
        <v/>
      </c>
      <c r="AB84" s="572" t="str">
        <f t="shared" si="102"/>
        <v/>
      </c>
      <c r="AC84" s="579" t="str">
        <f t="shared" si="103"/>
        <v/>
      </c>
      <c r="AD84" s="580" t="str">
        <f t="shared" si="104"/>
        <v/>
      </c>
      <c r="AE84" s="572" t="str">
        <f t="shared" si="105"/>
        <v/>
      </c>
      <c r="AF84" s="576" t="str">
        <f t="shared" si="106"/>
        <v/>
      </c>
      <c r="AG84" s="545" t="str">
        <f t="shared" si="107"/>
        <v/>
      </c>
      <c r="AH84" s="546" t="str">
        <f t="shared" si="108"/>
        <v/>
      </c>
      <c r="AI84" s="528" t="str">
        <f t="shared" si="109"/>
        <v/>
      </c>
      <c r="AJ84" s="529" t="str">
        <f t="shared" si="110"/>
        <v/>
      </c>
      <c r="AK84" s="578" t="str">
        <f t="shared" si="111"/>
        <v/>
      </c>
      <c r="AL84" s="572" t="str">
        <f t="shared" si="112"/>
        <v/>
      </c>
      <c r="AM84" s="577" t="str">
        <f t="shared" si="113"/>
        <v/>
      </c>
      <c r="AN84" s="524" t="str">
        <f t="shared" si="86"/>
        <v/>
      </c>
      <c r="AO84" s="525" t="str">
        <f t="shared" si="125"/>
        <v/>
      </c>
      <c r="AP84" s="528" t="str">
        <f t="shared" si="114"/>
        <v/>
      </c>
      <c r="AQ84" s="529" t="str">
        <f t="shared" si="129"/>
        <v/>
      </c>
      <c r="AS84" s="598" t="str">
        <f t="shared" si="115"/>
        <v/>
      </c>
      <c r="AT84" s="602" t="str">
        <f t="shared" si="130"/>
        <v/>
      </c>
      <c r="AU84" s="515" t="str">
        <f t="shared" si="87"/>
        <v/>
      </c>
      <c r="AV84" s="164" t="str">
        <f t="shared" si="116"/>
        <v/>
      </c>
      <c r="AW84" s="545" t="str">
        <f>IF($M84="","",W84-INDEX(Assy.Model!$W$9:$W$150,MATCH('SN#.Run#'!$M84,Assy.Model!$M$9:$M$150,0)))</f>
        <v/>
      </c>
      <c r="AX84" s="628" t="str">
        <f>IF($M84="","",X84-INDEX(Assy.Model!$X$9:$X$150,MATCH('SN#.Run#'!$M84,Assy.Model!$M$9:$M$150,0)))</f>
        <v/>
      </c>
      <c r="AY84" s="629" t="str">
        <f>IF($M84="","",Y84-INDEX(Assy.Model!$Y$9:$Y$150,MATCH('SN#.Run#'!$M84,Assy.Model!$M$9:$M$150,0)))</f>
        <v/>
      </c>
      <c r="AZ84" s="602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10" t="str">
        <f>IF($M84="","",AN84-INDEX(Assy.Model!$AN$9:$AN$150,MATCH('SN#.Run#'!$M84,Assy.Model!$M$9:$M$150,0)))</f>
        <v/>
      </c>
      <c r="BB84" s="525" t="str">
        <f>IF($M84="","",AO84-INDEX(Assy.Model!$AO$9:$AO$150,MATCH('SN#.Run#'!$M84,Assy.Model!$M$9:$M$150,0)))</f>
        <v/>
      </c>
      <c r="BC84" s="619" t="str">
        <f>IF($M84="","",AP84-INDEX(Assy.Model!$AP$9:$AP$150,MATCH('SN#.Run#'!$M84,Assy.Model!$M$9:$M$150,0)))</f>
        <v/>
      </c>
      <c r="BD84" s="419"/>
      <c r="BE84" s="699"/>
      <c r="BF84" s="417"/>
      <c r="BG84" s="417"/>
      <c r="BH84" s="417"/>
      <c r="BI84" s="1"/>
      <c r="IE84" s="790" t="str">
        <f>IFERROR(IF($IU84="","",IF($IU84&lt;(((Settings!$C$19/2)*-1)*$IE$8),"Taper","Nose")),"")</f>
        <v/>
      </c>
      <c r="IF84" s="482" t="str">
        <f>IFERROR(IF((((($IW84*COS(RADIANS(180-$IY84)))*COS(RADIANS($IY84)))-(($IX84*SIN(RADIANS(180-$IY84)))*SIN(RADIANS($IY84))))+$IU84)&lt;(((Settings!$C$19+$IF$8)/2)*-1),"Gage",""),"")</f>
        <v/>
      </c>
      <c r="IG84" s="788" t="str">
        <f t="shared" si="132"/>
        <v/>
      </c>
      <c r="IH84" s="674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677" t="str" cm="1">
        <f t="array" ref="II84">IFERROR(IF($IH84&lt;1,$IH84+LARGE((IF($M$9:$M$150="",0,$M$9:$M$150)-MOD(IF($M$9:$M$150="",0,$M$9:$M$150),1)),1),$IH84),"")</f>
        <v/>
      </c>
      <c r="IJ84" s="482" t="str">
        <f t="shared" si="131"/>
        <v/>
      </c>
      <c r="IK84" s="482" t="str">
        <f t="shared" si="117"/>
        <v/>
      </c>
      <c r="IL84" s="670" t="str">
        <f t="shared" si="134"/>
        <v/>
      </c>
      <c r="IM84" s="702"/>
      <c r="IN84" s="5" t="str">
        <f t="shared" si="135"/>
        <v/>
      </c>
      <c r="IO84" s="714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670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05" t="str">
        <f t="shared" si="143"/>
        <v/>
      </c>
    </row>
    <row r="85" spans="1:259" ht="15" customHeight="1" x14ac:dyDescent="0.25">
      <c r="A85" s="82"/>
      <c r="B85" s="578" t="str">
        <f t="shared" si="118"/>
        <v/>
      </c>
      <c r="C85" s="572" t="str">
        <f t="shared" si="119"/>
        <v/>
      </c>
      <c r="D85" s="576" t="str">
        <f t="shared" si="120"/>
        <v/>
      </c>
      <c r="E85" s="580" t="str">
        <f t="shared" si="121"/>
        <v/>
      </c>
      <c r="F85" s="572" t="str">
        <f t="shared" si="122"/>
        <v/>
      </c>
      <c r="G85" s="579" t="str">
        <f t="shared" si="123"/>
        <v/>
      </c>
      <c r="H85" s="580" t="str">
        <f t="shared" si="128"/>
        <v/>
      </c>
      <c r="I85" s="482"/>
      <c r="J85" s="483" t="str">
        <v/>
      </c>
      <c r="K85" s="806" t="str">
        <f t="shared" si="133"/>
        <v/>
      </c>
      <c r="M85" s="164" t="str">
        <f t="shared" si="88"/>
        <v/>
      </c>
      <c r="N85" s="575" t="str">
        <f t="shared" si="89"/>
        <v/>
      </c>
      <c r="O85" s="572" t="str">
        <f t="shared" si="90"/>
        <v/>
      </c>
      <c r="P85" s="576" t="str">
        <f t="shared" si="91"/>
        <v/>
      </c>
      <c r="Q85" s="528" t="str">
        <f t="shared" si="92"/>
        <v/>
      </c>
      <c r="R85" s="572" t="str">
        <f t="shared" si="93"/>
        <v/>
      </c>
      <c r="S85" s="577" t="str">
        <f t="shared" si="94"/>
        <v/>
      </c>
      <c r="T85" s="578" t="str">
        <f t="shared" si="95"/>
        <v/>
      </c>
      <c r="U85" s="572" t="str">
        <f t="shared" si="96"/>
        <v/>
      </c>
      <c r="V85" s="579" t="str">
        <f t="shared" si="97"/>
        <v/>
      </c>
      <c r="W85" s="528" t="str">
        <f t="shared" si="98"/>
        <v/>
      </c>
      <c r="X85" s="572" t="str">
        <f t="shared" si="99"/>
        <v/>
      </c>
      <c r="Y85" s="573" t="str">
        <f t="shared" si="124"/>
        <v/>
      </c>
      <c r="Z85" s="575" t="str">
        <f t="shared" si="100"/>
        <v/>
      </c>
      <c r="AA85" s="572" t="str">
        <f t="shared" si="101"/>
        <v/>
      </c>
      <c r="AB85" s="572" t="str">
        <f t="shared" si="102"/>
        <v/>
      </c>
      <c r="AC85" s="579" t="str">
        <f t="shared" si="103"/>
        <v/>
      </c>
      <c r="AD85" s="580" t="str">
        <f t="shared" si="104"/>
        <v/>
      </c>
      <c r="AE85" s="572" t="str">
        <f t="shared" si="105"/>
        <v/>
      </c>
      <c r="AF85" s="576" t="str">
        <f t="shared" si="106"/>
        <v/>
      </c>
      <c r="AG85" s="545" t="str">
        <f t="shared" si="107"/>
        <v/>
      </c>
      <c r="AH85" s="546" t="str">
        <f t="shared" si="108"/>
        <v/>
      </c>
      <c r="AI85" s="528" t="str">
        <f t="shared" si="109"/>
        <v/>
      </c>
      <c r="AJ85" s="529" t="str">
        <f t="shared" si="110"/>
        <v/>
      </c>
      <c r="AK85" s="578" t="str">
        <f t="shared" si="111"/>
        <v/>
      </c>
      <c r="AL85" s="572" t="str">
        <f t="shared" si="112"/>
        <v/>
      </c>
      <c r="AM85" s="577" t="str">
        <f t="shared" si="113"/>
        <v/>
      </c>
      <c r="AN85" s="524" t="str">
        <f t="shared" si="86"/>
        <v/>
      </c>
      <c r="AO85" s="525" t="str">
        <f t="shared" si="125"/>
        <v/>
      </c>
      <c r="AP85" s="528" t="str">
        <f t="shared" si="114"/>
        <v/>
      </c>
      <c r="AQ85" s="529" t="str">
        <f t="shared" si="129"/>
        <v/>
      </c>
      <c r="AS85" s="598" t="str">
        <f t="shared" si="115"/>
        <v/>
      </c>
      <c r="AT85" s="602" t="str">
        <f t="shared" si="130"/>
        <v/>
      </c>
      <c r="AU85" s="515" t="str">
        <f t="shared" si="87"/>
        <v/>
      </c>
      <c r="AV85" s="164" t="str">
        <f t="shared" si="116"/>
        <v/>
      </c>
      <c r="AW85" s="545" t="str">
        <f>IF($M85="","",W85-INDEX(Assy.Model!$W$9:$W$150,MATCH('SN#.Run#'!$M85,Assy.Model!$M$9:$M$150,0)))</f>
        <v/>
      </c>
      <c r="AX85" s="628" t="str">
        <f>IF($M85="","",X85-INDEX(Assy.Model!$X$9:$X$150,MATCH('SN#.Run#'!$M85,Assy.Model!$M$9:$M$150,0)))</f>
        <v/>
      </c>
      <c r="AY85" s="629" t="str">
        <f>IF($M85="","",Y85-INDEX(Assy.Model!$Y$9:$Y$150,MATCH('SN#.Run#'!$M85,Assy.Model!$M$9:$M$150,0)))</f>
        <v/>
      </c>
      <c r="AZ85" s="602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10" t="str">
        <f>IF($M85="","",AN85-INDEX(Assy.Model!$AN$9:$AN$150,MATCH('SN#.Run#'!$M85,Assy.Model!$M$9:$M$150,0)))</f>
        <v/>
      </c>
      <c r="BB85" s="525" t="str">
        <f>IF($M85="","",AO85-INDEX(Assy.Model!$AO$9:$AO$150,MATCH('SN#.Run#'!$M85,Assy.Model!$M$9:$M$150,0)))</f>
        <v/>
      </c>
      <c r="BC85" s="619" t="str">
        <f>IF($M85="","",AP85-INDEX(Assy.Model!$AP$9:$AP$150,MATCH('SN#.Run#'!$M85,Assy.Model!$M$9:$M$150,0)))</f>
        <v/>
      </c>
      <c r="BD85" s="419"/>
      <c r="BE85" s="699"/>
      <c r="BF85" s="417"/>
      <c r="BG85" s="417"/>
      <c r="BH85" s="417"/>
      <c r="IE85" s="790" t="str">
        <f>IFERROR(IF($IU85="","",IF($IU85&lt;(((Settings!$C$19/2)*-1)*$IE$8),"Taper","Nose")),"")</f>
        <v/>
      </c>
      <c r="IF85" s="482" t="str">
        <f>IFERROR(IF((((($IW85*COS(RADIANS(180-$IY85)))*COS(RADIANS($IY85)))-(($IX85*SIN(RADIANS(180-$IY85)))*SIN(RADIANS($IY85))))+$IU85)&lt;(((Settings!$C$19+$IF$8)/2)*-1),"Gage",""),"")</f>
        <v/>
      </c>
      <c r="IG85" s="788" t="str">
        <f t="shared" si="132"/>
        <v/>
      </c>
      <c r="IH85" s="674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677" t="str" cm="1">
        <f t="array" ref="II85">IFERROR(IF($IH85&lt;1,$IH85+LARGE((IF($M$9:$M$150="",0,$M$9:$M$150)-MOD(IF($M$9:$M$150="",0,$M$9:$M$150),1)),1),$IH85),"")</f>
        <v/>
      </c>
      <c r="IJ85" s="482" t="str">
        <f t="shared" si="131"/>
        <v/>
      </c>
      <c r="IK85" s="482" t="str">
        <f t="shared" si="117"/>
        <v/>
      </c>
      <c r="IL85" s="670" t="str">
        <f t="shared" si="134"/>
        <v/>
      </c>
      <c r="IM85" s="702"/>
      <c r="IN85" s="5" t="str">
        <f t="shared" si="135"/>
        <v/>
      </c>
      <c r="IO85" s="714"/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670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05" t="str">
        <f t="shared" si="143"/>
        <v/>
      </c>
    </row>
    <row r="86" spans="1:259" ht="15" customHeight="1" x14ac:dyDescent="0.25">
      <c r="A86" s="82"/>
      <c r="B86" s="578" t="str">
        <f t="shared" si="118"/>
        <v/>
      </c>
      <c r="C86" s="572" t="str">
        <f t="shared" si="119"/>
        <v/>
      </c>
      <c r="D86" s="576" t="str">
        <f t="shared" si="120"/>
        <v/>
      </c>
      <c r="E86" s="580" t="str">
        <f t="shared" si="121"/>
        <v/>
      </c>
      <c r="F86" s="572" t="str">
        <f t="shared" si="122"/>
        <v/>
      </c>
      <c r="G86" s="579" t="str">
        <f t="shared" si="123"/>
        <v/>
      </c>
      <c r="H86" s="580" t="str">
        <f t="shared" si="128"/>
        <v/>
      </c>
      <c r="I86" s="482"/>
      <c r="J86" s="483" t="str">
        <v/>
      </c>
      <c r="K86" s="806" t="str">
        <f t="shared" si="133"/>
        <v/>
      </c>
      <c r="M86" s="164" t="str">
        <f t="shared" si="88"/>
        <v/>
      </c>
      <c r="N86" s="575" t="str">
        <f t="shared" si="89"/>
        <v/>
      </c>
      <c r="O86" s="572" t="str">
        <f t="shared" si="90"/>
        <v/>
      </c>
      <c r="P86" s="576" t="str">
        <f t="shared" si="91"/>
        <v/>
      </c>
      <c r="Q86" s="528" t="str">
        <f t="shared" si="92"/>
        <v/>
      </c>
      <c r="R86" s="572" t="str">
        <f t="shared" si="93"/>
        <v/>
      </c>
      <c r="S86" s="577" t="str">
        <f t="shared" si="94"/>
        <v/>
      </c>
      <c r="T86" s="578" t="str">
        <f t="shared" si="95"/>
        <v/>
      </c>
      <c r="U86" s="572" t="str">
        <f t="shared" si="96"/>
        <v/>
      </c>
      <c r="V86" s="579" t="str">
        <f t="shared" si="97"/>
        <v/>
      </c>
      <c r="W86" s="528" t="str">
        <f t="shared" si="98"/>
        <v/>
      </c>
      <c r="X86" s="572" t="str">
        <f t="shared" si="99"/>
        <v/>
      </c>
      <c r="Y86" s="573" t="str">
        <f t="shared" si="124"/>
        <v/>
      </c>
      <c r="Z86" s="575" t="str">
        <f t="shared" si="100"/>
        <v/>
      </c>
      <c r="AA86" s="572" t="str">
        <f t="shared" si="101"/>
        <v/>
      </c>
      <c r="AB86" s="572" t="str">
        <f t="shared" si="102"/>
        <v/>
      </c>
      <c r="AC86" s="579" t="str">
        <f t="shared" si="103"/>
        <v/>
      </c>
      <c r="AD86" s="580" t="str">
        <f t="shared" si="104"/>
        <v/>
      </c>
      <c r="AE86" s="572" t="str">
        <f t="shared" si="105"/>
        <v/>
      </c>
      <c r="AF86" s="576" t="str">
        <f t="shared" si="106"/>
        <v/>
      </c>
      <c r="AG86" s="545" t="str">
        <f t="shared" si="107"/>
        <v/>
      </c>
      <c r="AH86" s="546" t="str">
        <f t="shared" si="108"/>
        <v/>
      </c>
      <c r="AI86" s="528" t="str">
        <f t="shared" si="109"/>
        <v/>
      </c>
      <c r="AJ86" s="529" t="str">
        <f t="shared" si="110"/>
        <v/>
      </c>
      <c r="AK86" s="578" t="str">
        <f t="shared" si="111"/>
        <v/>
      </c>
      <c r="AL86" s="572" t="str">
        <f t="shared" si="112"/>
        <v/>
      </c>
      <c r="AM86" s="577" t="str">
        <f t="shared" si="113"/>
        <v/>
      </c>
      <c r="AN86" s="524" t="str">
        <f t="shared" si="86"/>
        <v/>
      </c>
      <c r="AO86" s="525" t="str">
        <f t="shared" si="125"/>
        <v/>
      </c>
      <c r="AP86" s="528" t="str">
        <f t="shared" si="114"/>
        <v/>
      </c>
      <c r="AQ86" s="529" t="str">
        <f t="shared" si="129"/>
        <v/>
      </c>
      <c r="AS86" s="598" t="str">
        <f t="shared" si="115"/>
        <v/>
      </c>
      <c r="AT86" s="602" t="str">
        <f t="shared" si="130"/>
        <v/>
      </c>
      <c r="AU86" s="515" t="str">
        <f t="shared" si="87"/>
        <v/>
      </c>
      <c r="AV86" s="164" t="str">
        <f t="shared" si="116"/>
        <v/>
      </c>
      <c r="AW86" s="545" t="str">
        <f>IF($M86="","",W86-INDEX(Assy.Model!$W$9:$W$150,MATCH('SN#.Run#'!$M86,Assy.Model!$M$9:$M$150,0)))</f>
        <v/>
      </c>
      <c r="AX86" s="628" t="str">
        <f>IF($M86="","",X86-INDEX(Assy.Model!$X$9:$X$150,MATCH('SN#.Run#'!$M86,Assy.Model!$M$9:$M$150,0)))</f>
        <v/>
      </c>
      <c r="AY86" s="629" t="str">
        <f>IF($M86="","",Y86-INDEX(Assy.Model!$Y$9:$Y$150,MATCH('SN#.Run#'!$M86,Assy.Model!$M$9:$M$150,0)))</f>
        <v/>
      </c>
      <c r="AZ86" s="602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10" t="str">
        <f>IF($M86="","",AN86-INDEX(Assy.Model!$AN$9:$AN$150,MATCH('SN#.Run#'!$M86,Assy.Model!$M$9:$M$150,0)))</f>
        <v/>
      </c>
      <c r="BB86" s="525" t="str">
        <f>IF($M86="","",AO86-INDEX(Assy.Model!$AO$9:$AO$150,MATCH('SN#.Run#'!$M86,Assy.Model!$M$9:$M$150,0)))</f>
        <v/>
      </c>
      <c r="BC86" s="619" t="str">
        <f>IF($M86="","",AP86-INDEX(Assy.Model!$AP$9:$AP$150,MATCH('SN#.Run#'!$M86,Assy.Model!$M$9:$M$150,0)))</f>
        <v/>
      </c>
      <c r="BD86" s="419"/>
      <c r="BE86" s="699"/>
      <c r="BF86" s="417"/>
      <c r="BG86" s="417"/>
      <c r="BH86" s="417"/>
      <c r="IE86" s="790" t="str">
        <f>IFERROR(IF($IU86="","",IF($IU86&lt;(((Settings!$C$19/2)*-1)*$IE$8),"Taper","Nose")),"")</f>
        <v/>
      </c>
      <c r="IF86" s="482" t="str">
        <f>IFERROR(IF((((($IW86*COS(RADIANS(180-$IY86)))*COS(RADIANS($IY86)))-(($IX86*SIN(RADIANS(180-$IY86)))*SIN(RADIANS($IY86))))+$IU86)&lt;(((Settings!$C$19+$IF$8)/2)*-1),"Gage",""),"")</f>
        <v/>
      </c>
      <c r="IG86" s="788" t="str">
        <f t="shared" si="132"/>
        <v/>
      </c>
      <c r="IH86" s="674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677" t="str" cm="1">
        <f t="array" ref="II86">IFERROR(IF($IH86&lt;1,$IH86+LARGE((IF($M$9:$M$150="",0,$M$9:$M$150)-MOD(IF($M$9:$M$150="",0,$M$9:$M$150),1)),1),$IH86),"")</f>
        <v/>
      </c>
      <c r="IJ86" s="482" t="str">
        <f t="shared" si="131"/>
        <v/>
      </c>
      <c r="IK86" s="482" t="str">
        <f t="shared" si="117"/>
        <v/>
      </c>
      <c r="IL86" s="670" t="str">
        <f t="shared" si="134"/>
        <v/>
      </c>
      <c r="IM86" s="702"/>
      <c r="IN86" s="5" t="str">
        <f t="shared" si="135"/>
        <v/>
      </c>
      <c r="IO86" s="714"/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670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05" t="str">
        <f t="shared" si="143"/>
        <v/>
      </c>
    </row>
    <row r="87" spans="1:259" ht="15" customHeight="1" x14ac:dyDescent="0.25">
      <c r="A87" s="82"/>
      <c r="B87" s="578" t="str">
        <f t="shared" si="118"/>
        <v/>
      </c>
      <c r="C87" s="572" t="str">
        <f t="shared" si="119"/>
        <v/>
      </c>
      <c r="D87" s="576" t="str">
        <f t="shared" si="120"/>
        <v/>
      </c>
      <c r="E87" s="580" t="str">
        <f t="shared" si="121"/>
        <v/>
      </c>
      <c r="F87" s="572" t="str">
        <f t="shared" si="122"/>
        <v/>
      </c>
      <c r="G87" s="579" t="str">
        <f t="shared" si="123"/>
        <v/>
      </c>
      <c r="H87" s="580" t="str">
        <f t="shared" si="128"/>
        <v/>
      </c>
      <c r="I87" s="482"/>
      <c r="J87" s="483" t="str">
        <v/>
      </c>
      <c r="K87" s="806" t="str">
        <f t="shared" si="133"/>
        <v/>
      </c>
      <c r="M87" s="164" t="str">
        <f t="shared" si="88"/>
        <v/>
      </c>
      <c r="N87" s="575" t="str">
        <f t="shared" si="89"/>
        <v/>
      </c>
      <c r="O87" s="572" t="str">
        <f t="shared" si="90"/>
        <v/>
      </c>
      <c r="P87" s="576" t="str">
        <f t="shared" si="91"/>
        <v/>
      </c>
      <c r="Q87" s="528" t="str">
        <f t="shared" si="92"/>
        <v/>
      </c>
      <c r="R87" s="572" t="str">
        <f t="shared" si="93"/>
        <v/>
      </c>
      <c r="S87" s="577" t="str">
        <f t="shared" si="94"/>
        <v/>
      </c>
      <c r="T87" s="578" t="str">
        <f t="shared" si="95"/>
        <v/>
      </c>
      <c r="U87" s="572" t="str">
        <f t="shared" si="96"/>
        <v/>
      </c>
      <c r="V87" s="579" t="str">
        <f t="shared" si="97"/>
        <v/>
      </c>
      <c r="W87" s="528" t="str">
        <f t="shared" si="98"/>
        <v/>
      </c>
      <c r="X87" s="572" t="str">
        <f t="shared" si="99"/>
        <v/>
      </c>
      <c r="Y87" s="573" t="str">
        <f t="shared" si="124"/>
        <v/>
      </c>
      <c r="Z87" s="575" t="str">
        <f t="shared" si="100"/>
        <v/>
      </c>
      <c r="AA87" s="572" t="str">
        <f t="shared" si="101"/>
        <v/>
      </c>
      <c r="AB87" s="572" t="str">
        <f t="shared" si="102"/>
        <v/>
      </c>
      <c r="AC87" s="579" t="str">
        <f t="shared" si="103"/>
        <v/>
      </c>
      <c r="AD87" s="580" t="str">
        <f t="shared" si="104"/>
        <v/>
      </c>
      <c r="AE87" s="572" t="str">
        <f t="shared" si="105"/>
        <v/>
      </c>
      <c r="AF87" s="576" t="str">
        <f t="shared" si="106"/>
        <v/>
      </c>
      <c r="AG87" s="545" t="str">
        <f t="shared" si="107"/>
        <v/>
      </c>
      <c r="AH87" s="546" t="str">
        <f t="shared" si="108"/>
        <v/>
      </c>
      <c r="AI87" s="528" t="str">
        <f t="shared" si="109"/>
        <v/>
      </c>
      <c r="AJ87" s="529" t="str">
        <f t="shared" si="110"/>
        <v/>
      </c>
      <c r="AK87" s="578" t="str">
        <f t="shared" si="111"/>
        <v/>
      </c>
      <c r="AL87" s="572" t="str">
        <f t="shared" si="112"/>
        <v/>
      </c>
      <c r="AM87" s="577" t="str">
        <f t="shared" si="113"/>
        <v/>
      </c>
      <c r="AN87" s="524" t="str">
        <f t="shared" si="86"/>
        <v/>
      </c>
      <c r="AO87" s="525" t="str">
        <f t="shared" si="125"/>
        <v/>
      </c>
      <c r="AP87" s="528" t="str">
        <f t="shared" si="114"/>
        <v/>
      </c>
      <c r="AQ87" s="529" t="str">
        <f t="shared" si="129"/>
        <v/>
      </c>
      <c r="AS87" s="598" t="str">
        <f t="shared" si="115"/>
        <v/>
      </c>
      <c r="AT87" s="602" t="str">
        <f t="shared" si="130"/>
        <v/>
      </c>
      <c r="AU87" s="515" t="str">
        <f t="shared" si="87"/>
        <v/>
      </c>
      <c r="AV87" s="164" t="str">
        <f t="shared" si="116"/>
        <v/>
      </c>
      <c r="AW87" s="545" t="str">
        <f>IF($M87="","",W87-INDEX(Assy.Model!$W$9:$W$150,MATCH('SN#.Run#'!$M87,Assy.Model!$M$9:$M$150,0)))</f>
        <v/>
      </c>
      <c r="AX87" s="628" t="str">
        <f>IF($M87="","",X87-INDEX(Assy.Model!$X$9:$X$150,MATCH('SN#.Run#'!$M87,Assy.Model!$M$9:$M$150,0)))</f>
        <v/>
      </c>
      <c r="AY87" s="629" t="str">
        <f>IF($M87="","",Y87-INDEX(Assy.Model!$Y$9:$Y$150,MATCH('SN#.Run#'!$M87,Assy.Model!$M$9:$M$150,0)))</f>
        <v/>
      </c>
      <c r="AZ87" s="602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10" t="str">
        <f>IF($M87="","",AN87-INDEX(Assy.Model!$AN$9:$AN$150,MATCH('SN#.Run#'!$M87,Assy.Model!$M$9:$M$150,0)))</f>
        <v/>
      </c>
      <c r="BB87" s="525" t="str">
        <f>IF($M87="","",AO87-INDEX(Assy.Model!$AO$9:$AO$150,MATCH('SN#.Run#'!$M87,Assy.Model!$M$9:$M$150,0)))</f>
        <v/>
      </c>
      <c r="BC87" s="619" t="str">
        <f>IF($M87="","",AP87-INDEX(Assy.Model!$AP$9:$AP$150,MATCH('SN#.Run#'!$M87,Assy.Model!$M$9:$M$150,0)))</f>
        <v/>
      </c>
      <c r="BD87" s="419"/>
      <c r="BE87" s="699"/>
      <c r="BF87" s="417"/>
      <c r="BG87" s="417"/>
      <c r="BH87" s="417"/>
      <c r="IE87" s="790" t="str">
        <f>IFERROR(IF($IU87="","",IF($IU87&lt;(((Settings!$C$19/2)*-1)*$IE$8),"Taper","Nose")),"")</f>
        <v/>
      </c>
      <c r="IF87" s="482" t="str">
        <f>IFERROR(IF((((($IW87*COS(RADIANS(180-$IY87)))*COS(RADIANS($IY87)))-(($IX87*SIN(RADIANS(180-$IY87)))*SIN(RADIANS($IY87))))+$IU87)&lt;(((Settings!$C$19+$IF$8)/2)*-1),"Gage",""),"")</f>
        <v/>
      </c>
      <c r="IG87" s="788" t="str">
        <f t="shared" si="132"/>
        <v/>
      </c>
      <c r="IH87" s="674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677" t="str" cm="1">
        <f t="array" ref="II87">IFERROR(IF($IH87&lt;1,$IH87+LARGE((IF($M$9:$M$150="",0,$M$9:$M$150)-MOD(IF($M$9:$M$150="",0,$M$9:$M$150),1)),1),$IH87),"")</f>
        <v/>
      </c>
      <c r="IJ87" s="482" t="str">
        <f t="shared" si="131"/>
        <v/>
      </c>
      <c r="IK87" s="482" t="str">
        <f t="shared" si="117"/>
        <v/>
      </c>
      <c r="IL87" s="670" t="str">
        <f t="shared" si="134"/>
        <v/>
      </c>
      <c r="IM87" s="702"/>
      <c r="IN87" s="5" t="str">
        <f t="shared" si="135"/>
        <v/>
      </c>
      <c r="IO87" s="714"/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670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05" t="str">
        <f t="shared" si="143"/>
        <v/>
      </c>
    </row>
    <row r="88" spans="1:259" ht="15" customHeight="1" x14ac:dyDescent="0.25">
      <c r="A88" s="82"/>
      <c r="B88" s="578" t="str">
        <f t="shared" si="118"/>
        <v/>
      </c>
      <c r="C88" s="572" t="str">
        <f t="shared" si="119"/>
        <v/>
      </c>
      <c r="D88" s="576" t="str">
        <f t="shared" si="120"/>
        <v/>
      </c>
      <c r="E88" s="580" t="str">
        <f t="shared" si="121"/>
        <v/>
      </c>
      <c r="F88" s="572" t="str">
        <f t="shared" si="122"/>
        <v/>
      </c>
      <c r="G88" s="579" t="str">
        <f t="shared" si="123"/>
        <v/>
      </c>
      <c r="H88" s="580" t="str">
        <f t="shared" si="128"/>
        <v/>
      </c>
      <c r="I88" s="482"/>
      <c r="J88" s="483" t="str">
        <v/>
      </c>
      <c r="K88" s="806" t="str">
        <f t="shared" si="133"/>
        <v/>
      </c>
      <c r="M88" s="164" t="str">
        <f t="shared" si="88"/>
        <v/>
      </c>
      <c r="N88" s="575" t="str">
        <f t="shared" si="89"/>
        <v/>
      </c>
      <c r="O88" s="572" t="str">
        <f t="shared" si="90"/>
        <v/>
      </c>
      <c r="P88" s="576" t="str">
        <f t="shared" si="91"/>
        <v/>
      </c>
      <c r="Q88" s="528" t="str">
        <f t="shared" si="92"/>
        <v/>
      </c>
      <c r="R88" s="572" t="str">
        <f t="shared" si="93"/>
        <v/>
      </c>
      <c r="S88" s="577" t="str">
        <f t="shared" si="94"/>
        <v/>
      </c>
      <c r="T88" s="578" t="str">
        <f t="shared" si="95"/>
        <v/>
      </c>
      <c r="U88" s="572" t="str">
        <f t="shared" si="96"/>
        <v/>
      </c>
      <c r="V88" s="579" t="str">
        <f t="shared" si="97"/>
        <v/>
      </c>
      <c r="W88" s="528" t="str">
        <f t="shared" si="98"/>
        <v/>
      </c>
      <c r="X88" s="572" t="str">
        <f t="shared" si="99"/>
        <v/>
      </c>
      <c r="Y88" s="573" t="str">
        <f t="shared" si="124"/>
        <v/>
      </c>
      <c r="Z88" s="575" t="str">
        <f t="shared" si="100"/>
        <v/>
      </c>
      <c r="AA88" s="572" t="str">
        <f t="shared" si="101"/>
        <v/>
      </c>
      <c r="AB88" s="572" t="str">
        <f t="shared" si="102"/>
        <v/>
      </c>
      <c r="AC88" s="579" t="str">
        <f t="shared" si="103"/>
        <v/>
      </c>
      <c r="AD88" s="580" t="str">
        <f t="shared" si="104"/>
        <v/>
      </c>
      <c r="AE88" s="572" t="str">
        <f t="shared" si="105"/>
        <v/>
      </c>
      <c r="AF88" s="576" t="str">
        <f t="shared" si="106"/>
        <v/>
      </c>
      <c r="AG88" s="545" t="str">
        <f t="shared" si="107"/>
        <v/>
      </c>
      <c r="AH88" s="546" t="str">
        <f t="shared" si="108"/>
        <v/>
      </c>
      <c r="AI88" s="528" t="str">
        <f t="shared" si="109"/>
        <v/>
      </c>
      <c r="AJ88" s="529" t="str">
        <f t="shared" si="110"/>
        <v/>
      </c>
      <c r="AK88" s="578" t="str">
        <f t="shared" si="111"/>
        <v/>
      </c>
      <c r="AL88" s="572" t="str">
        <f t="shared" si="112"/>
        <v/>
      </c>
      <c r="AM88" s="577" t="str">
        <f t="shared" si="113"/>
        <v/>
      </c>
      <c r="AN88" s="524" t="str">
        <f t="shared" si="86"/>
        <v/>
      </c>
      <c r="AO88" s="525" t="str">
        <f t="shared" si="125"/>
        <v/>
      </c>
      <c r="AP88" s="528" t="str">
        <f t="shared" si="114"/>
        <v/>
      </c>
      <c r="AQ88" s="529" t="str">
        <f t="shared" si="129"/>
        <v/>
      </c>
      <c r="AS88" s="598" t="str">
        <f t="shared" si="115"/>
        <v/>
      </c>
      <c r="AT88" s="602" t="str">
        <f t="shared" si="130"/>
        <v/>
      </c>
      <c r="AU88" s="515" t="str">
        <f t="shared" si="87"/>
        <v/>
      </c>
      <c r="AV88" s="164" t="str">
        <f t="shared" si="116"/>
        <v/>
      </c>
      <c r="AW88" s="545" t="str">
        <f>IF($M88="","",W88-INDEX(Assy.Model!$W$9:$W$150,MATCH('SN#.Run#'!$M88,Assy.Model!$M$9:$M$150,0)))</f>
        <v/>
      </c>
      <c r="AX88" s="628" t="str">
        <f>IF($M88="","",X88-INDEX(Assy.Model!$X$9:$X$150,MATCH('SN#.Run#'!$M88,Assy.Model!$M$9:$M$150,0)))</f>
        <v/>
      </c>
      <c r="AY88" s="629" t="str">
        <f>IF($M88="","",Y88-INDEX(Assy.Model!$Y$9:$Y$150,MATCH('SN#.Run#'!$M88,Assy.Model!$M$9:$M$150,0)))</f>
        <v/>
      </c>
      <c r="AZ88" s="602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10" t="str">
        <f>IF($M88="","",AN88-INDEX(Assy.Model!$AN$9:$AN$150,MATCH('SN#.Run#'!$M88,Assy.Model!$M$9:$M$150,0)))</f>
        <v/>
      </c>
      <c r="BB88" s="525" t="str">
        <f>IF($M88="","",AO88-INDEX(Assy.Model!$AO$9:$AO$150,MATCH('SN#.Run#'!$M88,Assy.Model!$M$9:$M$150,0)))</f>
        <v/>
      </c>
      <c r="BC88" s="619" t="str">
        <f>IF($M88="","",AP88-INDEX(Assy.Model!$AP$9:$AP$150,MATCH('SN#.Run#'!$M88,Assy.Model!$M$9:$M$150,0)))</f>
        <v/>
      </c>
      <c r="BD88" s="419"/>
      <c r="BE88" s="699"/>
      <c r="BF88" s="417"/>
      <c r="BG88" s="417"/>
      <c r="BH88" s="417"/>
      <c r="IE88" s="790" t="str">
        <f>IFERROR(IF($IU88="","",IF($IU88&lt;(((Settings!$C$19/2)*-1)*$IE$8),"Taper","Nose")),"")</f>
        <v/>
      </c>
      <c r="IF88" s="482" t="str">
        <f>IFERROR(IF((((($IW88*COS(RADIANS(180-$IY88)))*COS(RADIANS($IY88)))-(($IX88*SIN(RADIANS(180-$IY88)))*SIN(RADIANS($IY88))))+$IU88)&lt;(((Settings!$C$19+$IF$8)/2)*-1),"Gage",""),"")</f>
        <v/>
      </c>
      <c r="IG88" s="788" t="str">
        <f t="shared" si="132"/>
        <v/>
      </c>
      <c r="IH88" s="674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677" t="str" cm="1">
        <f t="array" ref="II88">IFERROR(IF($IH88&lt;1,$IH88+LARGE((IF($M$9:$M$150="",0,$M$9:$M$150)-MOD(IF($M$9:$M$150="",0,$M$9:$M$150),1)),1),$IH88),"")</f>
        <v/>
      </c>
      <c r="IJ88" s="482" t="str">
        <f t="shared" si="131"/>
        <v/>
      </c>
      <c r="IK88" s="482" t="str">
        <f t="shared" si="117"/>
        <v/>
      </c>
      <c r="IL88" s="670" t="str">
        <f t="shared" si="134"/>
        <v/>
      </c>
      <c r="IM88" s="702"/>
      <c r="IN88" s="5" t="str">
        <f t="shared" si="135"/>
        <v/>
      </c>
      <c r="IO88" s="714"/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670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05" t="str">
        <f t="shared" si="143"/>
        <v/>
      </c>
    </row>
    <row r="89" spans="1:259" ht="15" customHeight="1" x14ac:dyDescent="0.25">
      <c r="A89" s="82"/>
      <c r="B89" s="578" t="str">
        <f t="shared" si="118"/>
        <v/>
      </c>
      <c r="C89" s="572" t="str">
        <f t="shared" si="119"/>
        <v/>
      </c>
      <c r="D89" s="576" t="str">
        <f t="shared" si="120"/>
        <v/>
      </c>
      <c r="E89" s="580" t="str">
        <f t="shared" si="121"/>
        <v/>
      </c>
      <c r="F89" s="572" t="str">
        <f t="shared" si="122"/>
        <v/>
      </c>
      <c r="G89" s="579" t="str">
        <f t="shared" si="123"/>
        <v/>
      </c>
      <c r="H89" s="580" t="str">
        <f t="shared" si="128"/>
        <v/>
      </c>
      <c r="I89" s="482"/>
      <c r="J89" s="483" t="str">
        <v/>
      </c>
      <c r="K89" s="806" t="str">
        <f t="shared" si="133"/>
        <v/>
      </c>
      <c r="M89" s="164" t="str">
        <f t="shared" si="88"/>
        <v/>
      </c>
      <c r="N89" s="575" t="str">
        <f t="shared" si="89"/>
        <v/>
      </c>
      <c r="O89" s="572" t="str">
        <f t="shared" si="90"/>
        <v/>
      </c>
      <c r="P89" s="576" t="str">
        <f t="shared" si="91"/>
        <v/>
      </c>
      <c r="Q89" s="528" t="str">
        <f t="shared" si="92"/>
        <v/>
      </c>
      <c r="R89" s="572" t="str">
        <f t="shared" si="93"/>
        <v/>
      </c>
      <c r="S89" s="577" t="str">
        <f t="shared" si="94"/>
        <v/>
      </c>
      <c r="T89" s="578" t="str">
        <f t="shared" si="95"/>
        <v/>
      </c>
      <c r="U89" s="572" t="str">
        <f t="shared" si="96"/>
        <v/>
      </c>
      <c r="V89" s="579" t="str">
        <f t="shared" si="97"/>
        <v/>
      </c>
      <c r="W89" s="528" t="str">
        <f t="shared" si="98"/>
        <v/>
      </c>
      <c r="X89" s="572" t="str">
        <f t="shared" si="99"/>
        <v/>
      </c>
      <c r="Y89" s="573" t="str">
        <f t="shared" si="124"/>
        <v/>
      </c>
      <c r="Z89" s="575" t="str">
        <f t="shared" si="100"/>
        <v/>
      </c>
      <c r="AA89" s="572" t="str">
        <f t="shared" si="101"/>
        <v/>
      </c>
      <c r="AB89" s="572" t="str">
        <f t="shared" si="102"/>
        <v/>
      </c>
      <c r="AC89" s="579" t="str">
        <f t="shared" si="103"/>
        <v/>
      </c>
      <c r="AD89" s="580" t="str">
        <f t="shared" si="104"/>
        <v/>
      </c>
      <c r="AE89" s="572" t="str">
        <f t="shared" si="105"/>
        <v/>
      </c>
      <c r="AF89" s="576" t="str">
        <f t="shared" si="106"/>
        <v/>
      </c>
      <c r="AG89" s="545" t="str">
        <f t="shared" si="107"/>
        <v/>
      </c>
      <c r="AH89" s="546" t="str">
        <f t="shared" si="108"/>
        <v/>
      </c>
      <c r="AI89" s="528" t="str">
        <f t="shared" si="109"/>
        <v/>
      </c>
      <c r="AJ89" s="529" t="str">
        <f t="shared" si="110"/>
        <v/>
      </c>
      <c r="AK89" s="578" t="str">
        <f t="shared" si="111"/>
        <v/>
      </c>
      <c r="AL89" s="572" t="str">
        <f t="shared" si="112"/>
        <v/>
      </c>
      <c r="AM89" s="577" t="str">
        <f t="shared" si="113"/>
        <v/>
      </c>
      <c r="AN89" s="524" t="str">
        <f t="shared" si="86"/>
        <v/>
      </c>
      <c r="AO89" s="525" t="str">
        <f t="shared" si="125"/>
        <v/>
      </c>
      <c r="AP89" s="528" t="str">
        <f t="shared" si="114"/>
        <v/>
      </c>
      <c r="AQ89" s="529" t="str">
        <f t="shared" si="129"/>
        <v/>
      </c>
      <c r="AS89" s="598" t="str">
        <f t="shared" si="115"/>
        <v/>
      </c>
      <c r="AT89" s="602" t="str">
        <f t="shared" si="130"/>
        <v/>
      </c>
      <c r="AU89" s="515" t="str">
        <f t="shared" si="87"/>
        <v/>
      </c>
      <c r="AV89" s="164" t="str">
        <f t="shared" si="116"/>
        <v/>
      </c>
      <c r="AW89" s="545" t="str">
        <f>IF($M89="","",W89-INDEX(Assy.Model!$W$9:$W$150,MATCH('SN#.Run#'!$M89,Assy.Model!$M$9:$M$150,0)))</f>
        <v/>
      </c>
      <c r="AX89" s="628" t="str">
        <f>IF($M89="","",X89-INDEX(Assy.Model!$X$9:$X$150,MATCH('SN#.Run#'!$M89,Assy.Model!$M$9:$M$150,0)))</f>
        <v/>
      </c>
      <c r="AY89" s="629" t="str">
        <f>IF($M89="","",Y89-INDEX(Assy.Model!$Y$9:$Y$150,MATCH('SN#.Run#'!$M89,Assy.Model!$M$9:$M$150,0)))</f>
        <v/>
      </c>
      <c r="AZ89" s="602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10" t="str">
        <f>IF($M89="","",AN89-INDEX(Assy.Model!$AN$9:$AN$150,MATCH('SN#.Run#'!$M89,Assy.Model!$M$9:$M$150,0)))</f>
        <v/>
      </c>
      <c r="BB89" s="525" t="str">
        <f>IF($M89="","",AO89-INDEX(Assy.Model!$AO$9:$AO$150,MATCH('SN#.Run#'!$M89,Assy.Model!$M$9:$M$150,0)))</f>
        <v/>
      </c>
      <c r="BC89" s="619" t="str">
        <f>IF($M89="","",AP89-INDEX(Assy.Model!$AP$9:$AP$150,MATCH('SN#.Run#'!$M89,Assy.Model!$M$9:$M$150,0)))</f>
        <v/>
      </c>
      <c r="BD89" s="419"/>
      <c r="BE89" s="699"/>
      <c r="BF89" s="417"/>
      <c r="BG89" s="417"/>
      <c r="BH89" s="417"/>
      <c r="IE89" s="790" t="str">
        <f>IFERROR(IF($IU89="","",IF($IU89&lt;(((Settings!$C$19/2)*-1)*$IE$8),"Taper","Nose")),"")</f>
        <v/>
      </c>
      <c r="IF89" s="482" t="str">
        <f>IFERROR(IF((((($IW89*COS(RADIANS(180-$IY89)))*COS(RADIANS($IY89)))-(($IX89*SIN(RADIANS(180-$IY89)))*SIN(RADIANS($IY89))))+$IU89)&lt;(((Settings!$C$19+$IF$8)/2)*-1),"Gage",""),"")</f>
        <v/>
      </c>
      <c r="IG89" s="788" t="str">
        <f t="shared" si="132"/>
        <v/>
      </c>
      <c r="IH89" s="674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677" t="str" cm="1">
        <f t="array" ref="II89">IFERROR(IF($IH89&lt;1,$IH89+LARGE((IF($M$9:$M$150="",0,$M$9:$M$150)-MOD(IF($M$9:$M$150="",0,$M$9:$M$150),1)),1),$IH89),"")</f>
        <v/>
      </c>
      <c r="IJ89" s="482" t="str">
        <f t="shared" si="131"/>
        <v/>
      </c>
      <c r="IK89" s="482" t="str">
        <f t="shared" si="117"/>
        <v/>
      </c>
      <c r="IL89" s="670" t="str">
        <f t="shared" si="134"/>
        <v/>
      </c>
      <c r="IM89" s="702"/>
      <c r="IN89" s="5" t="str">
        <f t="shared" si="135"/>
        <v/>
      </c>
      <c r="IO89" s="714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670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05" t="str">
        <f t="shared" si="143"/>
        <v/>
      </c>
    </row>
    <row r="90" spans="1:259" ht="15" customHeight="1" x14ac:dyDescent="0.25">
      <c r="A90" s="82"/>
      <c r="B90" s="578" t="str">
        <f t="shared" si="118"/>
        <v/>
      </c>
      <c r="C90" s="572" t="str">
        <f t="shared" si="119"/>
        <v/>
      </c>
      <c r="D90" s="576" t="str">
        <f t="shared" si="120"/>
        <v/>
      </c>
      <c r="E90" s="580" t="str">
        <f t="shared" si="121"/>
        <v/>
      </c>
      <c r="F90" s="572" t="str">
        <f t="shared" si="122"/>
        <v/>
      </c>
      <c r="G90" s="579" t="str">
        <f t="shared" si="123"/>
        <v/>
      </c>
      <c r="H90" s="580" t="str">
        <f t="shared" si="128"/>
        <v/>
      </c>
      <c r="I90" s="482"/>
      <c r="J90" s="483" t="str">
        <v/>
      </c>
      <c r="K90" s="806" t="str">
        <f t="shared" si="133"/>
        <v/>
      </c>
      <c r="M90" s="164" t="str">
        <f t="shared" si="88"/>
        <v/>
      </c>
      <c r="N90" s="575" t="str">
        <f t="shared" si="89"/>
        <v/>
      </c>
      <c r="O90" s="572" t="str">
        <f t="shared" si="90"/>
        <v/>
      </c>
      <c r="P90" s="576" t="str">
        <f t="shared" si="91"/>
        <v/>
      </c>
      <c r="Q90" s="528" t="str">
        <f t="shared" si="92"/>
        <v/>
      </c>
      <c r="R90" s="572" t="str">
        <f t="shared" si="93"/>
        <v/>
      </c>
      <c r="S90" s="577" t="str">
        <f t="shared" si="94"/>
        <v/>
      </c>
      <c r="T90" s="578" t="str">
        <f t="shared" si="95"/>
        <v/>
      </c>
      <c r="U90" s="572" t="str">
        <f t="shared" si="96"/>
        <v/>
      </c>
      <c r="V90" s="579" t="str">
        <f t="shared" si="97"/>
        <v/>
      </c>
      <c r="W90" s="528" t="str">
        <f t="shared" si="98"/>
        <v/>
      </c>
      <c r="X90" s="572" t="str">
        <f t="shared" si="99"/>
        <v/>
      </c>
      <c r="Y90" s="573" t="str">
        <f t="shared" si="124"/>
        <v/>
      </c>
      <c r="Z90" s="575" t="str">
        <f t="shared" si="100"/>
        <v/>
      </c>
      <c r="AA90" s="572" t="str">
        <f t="shared" si="101"/>
        <v/>
      </c>
      <c r="AB90" s="572" t="str">
        <f t="shared" si="102"/>
        <v/>
      </c>
      <c r="AC90" s="579" t="str">
        <f t="shared" si="103"/>
        <v/>
      </c>
      <c r="AD90" s="580" t="str">
        <f t="shared" si="104"/>
        <v/>
      </c>
      <c r="AE90" s="572" t="str">
        <f t="shared" si="105"/>
        <v/>
      </c>
      <c r="AF90" s="576" t="str">
        <f t="shared" si="106"/>
        <v/>
      </c>
      <c r="AG90" s="545" t="str">
        <f t="shared" si="107"/>
        <v/>
      </c>
      <c r="AH90" s="546" t="str">
        <f t="shared" si="108"/>
        <v/>
      </c>
      <c r="AI90" s="528" t="str">
        <f t="shared" si="109"/>
        <v/>
      </c>
      <c r="AJ90" s="529" t="str">
        <f t="shared" si="110"/>
        <v/>
      </c>
      <c r="AK90" s="578" t="str">
        <f t="shared" si="111"/>
        <v/>
      </c>
      <c r="AL90" s="572" t="str">
        <f t="shared" si="112"/>
        <v/>
      </c>
      <c r="AM90" s="577" t="str">
        <f t="shared" si="113"/>
        <v/>
      </c>
      <c r="AN90" s="524" t="str">
        <f t="shared" si="86"/>
        <v/>
      </c>
      <c r="AO90" s="525" t="str">
        <f t="shared" si="125"/>
        <v/>
      </c>
      <c r="AP90" s="528" t="str">
        <f t="shared" si="114"/>
        <v/>
      </c>
      <c r="AQ90" s="529" t="str">
        <f t="shared" si="129"/>
        <v/>
      </c>
      <c r="AS90" s="598" t="str">
        <f t="shared" si="115"/>
        <v/>
      </c>
      <c r="AT90" s="602" t="str">
        <f t="shared" si="130"/>
        <v/>
      </c>
      <c r="AU90" s="515" t="str">
        <f t="shared" si="87"/>
        <v/>
      </c>
      <c r="AV90" s="164" t="str">
        <f t="shared" si="116"/>
        <v/>
      </c>
      <c r="AW90" s="545" t="str">
        <f>IF($M90="","",W90-INDEX(Assy.Model!$W$9:$W$150,MATCH('SN#.Run#'!$M90,Assy.Model!$M$9:$M$150,0)))</f>
        <v/>
      </c>
      <c r="AX90" s="628" t="str">
        <f>IF($M90="","",X90-INDEX(Assy.Model!$X$9:$X$150,MATCH('SN#.Run#'!$M90,Assy.Model!$M$9:$M$150,0)))</f>
        <v/>
      </c>
      <c r="AY90" s="629" t="str">
        <f>IF($M90="","",Y90-INDEX(Assy.Model!$Y$9:$Y$150,MATCH('SN#.Run#'!$M90,Assy.Model!$M$9:$M$150,0)))</f>
        <v/>
      </c>
      <c r="AZ90" s="602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10" t="str">
        <f>IF($M90="","",AN90-INDEX(Assy.Model!$AN$9:$AN$150,MATCH('SN#.Run#'!$M90,Assy.Model!$M$9:$M$150,0)))</f>
        <v/>
      </c>
      <c r="BB90" s="525" t="str">
        <f>IF($M90="","",AO90-INDEX(Assy.Model!$AO$9:$AO$150,MATCH('SN#.Run#'!$M90,Assy.Model!$M$9:$M$150,0)))</f>
        <v/>
      </c>
      <c r="BC90" s="619" t="str">
        <f>IF($M90="","",AP90-INDEX(Assy.Model!$AP$9:$AP$150,MATCH('SN#.Run#'!$M90,Assy.Model!$M$9:$M$150,0)))</f>
        <v/>
      </c>
      <c r="BD90" s="419"/>
      <c r="BE90" s="699"/>
      <c r="BF90" s="417"/>
      <c r="BG90" s="417"/>
      <c r="BH90" s="417"/>
      <c r="IE90" s="790" t="str">
        <f>IFERROR(IF($IU90="","",IF($IU90&lt;(((Settings!$C$19/2)*-1)*$IE$8),"Taper","Nose")),"")</f>
        <v/>
      </c>
      <c r="IF90" s="482" t="str">
        <f>IFERROR(IF((((($IW90*COS(RADIANS(180-$IY90)))*COS(RADIANS($IY90)))-(($IX90*SIN(RADIANS(180-$IY90)))*SIN(RADIANS($IY90))))+$IU90)&lt;(((Settings!$C$19+$IF$8)/2)*-1),"Gage",""),"")</f>
        <v/>
      </c>
      <c r="IG90" s="788" t="str">
        <f t="shared" si="132"/>
        <v/>
      </c>
      <c r="IH90" s="674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677" t="str" cm="1">
        <f t="array" ref="II90">IFERROR(IF($IH90&lt;1,$IH90+LARGE((IF($M$9:$M$150="",0,$M$9:$M$150)-MOD(IF($M$9:$M$150="",0,$M$9:$M$150),1)),1),$IH90),"")</f>
        <v/>
      </c>
      <c r="IJ90" s="482" t="str">
        <f t="shared" si="131"/>
        <v/>
      </c>
      <c r="IK90" s="482" t="str">
        <f t="shared" si="117"/>
        <v/>
      </c>
      <c r="IL90" s="670" t="str">
        <f t="shared" si="134"/>
        <v/>
      </c>
      <c r="IM90" s="702"/>
      <c r="IN90" s="5" t="str">
        <f t="shared" si="135"/>
        <v/>
      </c>
      <c r="IO90" s="714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670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05" t="str">
        <f t="shared" si="143"/>
        <v/>
      </c>
    </row>
    <row r="91" spans="1:259" ht="15" customHeight="1" x14ac:dyDescent="0.25">
      <c r="A91" s="82"/>
      <c r="B91" s="578" t="str">
        <f t="shared" si="118"/>
        <v/>
      </c>
      <c r="C91" s="572" t="str">
        <f t="shared" si="119"/>
        <v/>
      </c>
      <c r="D91" s="576" t="str">
        <f t="shared" si="120"/>
        <v/>
      </c>
      <c r="E91" s="580" t="str">
        <f t="shared" si="121"/>
        <v/>
      </c>
      <c r="F91" s="572" t="str">
        <f t="shared" si="122"/>
        <v/>
      </c>
      <c r="G91" s="579" t="str">
        <f t="shared" si="123"/>
        <v/>
      </c>
      <c r="H91" s="580" t="str">
        <f t="shared" si="128"/>
        <v/>
      </c>
      <c r="I91" s="482"/>
      <c r="J91" s="483" t="str">
        <v/>
      </c>
      <c r="K91" s="806" t="str">
        <f t="shared" si="133"/>
        <v/>
      </c>
      <c r="M91" s="164" t="str">
        <f t="shared" si="88"/>
        <v/>
      </c>
      <c r="N91" s="575" t="str">
        <f t="shared" si="89"/>
        <v/>
      </c>
      <c r="O91" s="572" t="str">
        <f t="shared" si="90"/>
        <v/>
      </c>
      <c r="P91" s="576" t="str">
        <f t="shared" si="91"/>
        <v/>
      </c>
      <c r="Q91" s="528" t="str">
        <f t="shared" si="92"/>
        <v/>
      </c>
      <c r="R91" s="572" t="str">
        <f t="shared" si="93"/>
        <v/>
      </c>
      <c r="S91" s="577" t="str">
        <f t="shared" si="94"/>
        <v/>
      </c>
      <c r="T91" s="578" t="str">
        <f t="shared" si="95"/>
        <v/>
      </c>
      <c r="U91" s="572" t="str">
        <f t="shared" si="96"/>
        <v/>
      </c>
      <c r="V91" s="579" t="str">
        <f t="shared" si="97"/>
        <v/>
      </c>
      <c r="W91" s="528" t="str">
        <f t="shared" si="98"/>
        <v/>
      </c>
      <c r="X91" s="572" t="str">
        <f t="shared" si="99"/>
        <v/>
      </c>
      <c r="Y91" s="573" t="str">
        <f t="shared" si="124"/>
        <v/>
      </c>
      <c r="Z91" s="575" t="str">
        <f t="shared" si="100"/>
        <v/>
      </c>
      <c r="AA91" s="572" t="str">
        <f t="shared" si="101"/>
        <v/>
      </c>
      <c r="AB91" s="572" t="str">
        <f t="shared" si="102"/>
        <v/>
      </c>
      <c r="AC91" s="579" t="str">
        <f t="shared" si="103"/>
        <v/>
      </c>
      <c r="AD91" s="580" t="str">
        <f t="shared" si="104"/>
        <v/>
      </c>
      <c r="AE91" s="572" t="str">
        <f t="shared" si="105"/>
        <v/>
      </c>
      <c r="AF91" s="576" t="str">
        <f t="shared" si="106"/>
        <v/>
      </c>
      <c r="AG91" s="545" t="str">
        <f t="shared" si="107"/>
        <v/>
      </c>
      <c r="AH91" s="546" t="str">
        <f t="shared" si="108"/>
        <v/>
      </c>
      <c r="AI91" s="528" t="str">
        <f t="shared" si="109"/>
        <v/>
      </c>
      <c r="AJ91" s="529" t="str">
        <f t="shared" si="110"/>
        <v/>
      </c>
      <c r="AK91" s="578" t="str">
        <f t="shared" si="111"/>
        <v/>
      </c>
      <c r="AL91" s="572" t="str">
        <f t="shared" si="112"/>
        <v/>
      </c>
      <c r="AM91" s="577" t="str">
        <f t="shared" si="113"/>
        <v/>
      </c>
      <c r="AN91" s="524" t="str">
        <f t="shared" si="86"/>
        <v/>
      </c>
      <c r="AO91" s="525" t="str">
        <f t="shared" si="125"/>
        <v/>
      </c>
      <c r="AP91" s="528" t="str">
        <f t="shared" si="114"/>
        <v/>
      </c>
      <c r="AQ91" s="529" t="str">
        <f t="shared" si="129"/>
        <v/>
      </c>
      <c r="AS91" s="598" t="str">
        <f t="shared" si="115"/>
        <v/>
      </c>
      <c r="AT91" s="602" t="str">
        <f t="shared" si="130"/>
        <v/>
      </c>
      <c r="AU91" s="515" t="str">
        <f t="shared" si="87"/>
        <v/>
      </c>
      <c r="AV91" s="164" t="str">
        <f t="shared" si="116"/>
        <v/>
      </c>
      <c r="AW91" s="545" t="str">
        <f>IF($M91="","",W91-INDEX(Assy.Model!$W$9:$W$150,MATCH('SN#.Run#'!$M91,Assy.Model!$M$9:$M$150,0)))</f>
        <v/>
      </c>
      <c r="AX91" s="628" t="str">
        <f>IF($M91="","",X91-INDEX(Assy.Model!$X$9:$X$150,MATCH('SN#.Run#'!$M91,Assy.Model!$M$9:$M$150,0)))</f>
        <v/>
      </c>
      <c r="AY91" s="629" t="str">
        <f>IF($M91="","",Y91-INDEX(Assy.Model!$Y$9:$Y$150,MATCH('SN#.Run#'!$M91,Assy.Model!$M$9:$M$150,0)))</f>
        <v/>
      </c>
      <c r="AZ91" s="602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10" t="str">
        <f>IF($M91="","",AN91-INDEX(Assy.Model!$AN$9:$AN$150,MATCH('SN#.Run#'!$M91,Assy.Model!$M$9:$M$150,0)))</f>
        <v/>
      </c>
      <c r="BB91" s="525" t="str">
        <f>IF($M91="","",AO91-INDEX(Assy.Model!$AO$9:$AO$150,MATCH('SN#.Run#'!$M91,Assy.Model!$M$9:$M$150,0)))</f>
        <v/>
      </c>
      <c r="BC91" s="619" t="str">
        <f>IF($M91="","",AP91-INDEX(Assy.Model!$AP$9:$AP$150,MATCH('SN#.Run#'!$M91,Assy.Model!$M$9:$M$150,0)))</f>
        <v/>
      </c>
      <c r="BD91" s="419"/>
      <c r="BE91" s="699"/>
      <c r="BF91" s="417"/>
      <c r="BG91" s="417"/>
      <c r="BH91" s="417"/>
      <c r="IE91" s="790" t="str">
        <f>IFERROR(IF($IU91="","",IF($IU91&lt;(((Settings!$C$19/2)*-1)*$IE$8),"Taper","Nose")),"")</f>
        <v/>
      </c>
      <c r="IF91" s="482" t="str">
        <f>IFERROR(IF((((($IW91*COS(RADIANS(180-$IY91)))*COS(RADIANS($IY91)))-(($IX91*SIN(RADIANS(180-$IY91)))*SIN(RADIANS($IY91))))+$IU91)&lt;(((Settings!$C$19+$IF$8)/2)*-1),"Gage",""),"")</f>
        <v/>
      </c>
      <c r="IG91" s="788" t="str">
        <f t="shared" si="132"/>
        <v/>
      </c>
      <c r="IH91" s="674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677" t="str" cm="1">
        <f t="array" ref="II91">IFERROR(IF($IH91&lt;1,$IH91+LARGE((IF($M$9:$M$150="",0,$M$9:$M$150)-MOD(IF($M$9:$M$150="",0,$M$9:$M$150),1)),1),$IH91),"")</f>
        <v/>
      </c>
      <c r="IJ91" s="482" t="str">
        <f t="shared" si="131"/>
        <v/>
      </c>
      <c r="IK91" s="482" t="str">
        <f t="shared" si="117"/>
        <v/>
      </c>
      <c r="IL91" s="670" t="str">
        <f t="shared" si="134"/>
        <v/>
      </c>
      <c r="IM91" s="702"/>
      <c r="IN91" s="5" t="str">
        <f t="shared" si="135"/>
        <v/>
      </c>
      <c r="IO91" s="714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670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05" t="str">
        <f t="shared" si="143"/>
        <v/>
      </c>
    </row>
    <row r="92" spans="1:259" ht="15" customHeight="1" x14ac:dyDescent="0.25">
      <c r="A92" s="82"/>
      <c r="B92" s="578" t="str">
        <f t="shared" si="118"/>
        <v/>
      </c>
      <c r="C92" s="572" t="str">
        <f t="shared" si="119"/>
        <v/>
      </c>
      <c r="D92" s="576" t="str">
        <f t="shared" si="120"/>
        <v/>
      </c>
      <c r="E92" s="580" t="str">
        <f t="shared" si="121"/>
        <v/>
      </c>
      <c r="F92" s="572" t="str">
        <f t="shared" si="122"/>
        <v/>
      </c>
      <c r="G92" s="579" t="str">
        <f t="shared" si="123"/>
        <v/>
      </c>
      <c r="H92" s="580" t="str">
        <f t="shared" si="128"/>
        <v/>
      </c>
      <c r="I92" s="482"/>
      <c r="J92" s="483" t="str">
        <v/>
      </c>
      <c r="K92" s="806" t="str">
        <f t="shared" si="133"/>
        <v/>
      </c>
      <c r="M92" s="164" t="str">
        <f t="shared" si="88"/>
        <v/>
      </c>
      <c r="N92" s="575" t="str">
        <f t="shared" si="89"/>
        <v/>
      </c>
      <c r="O92" s="572" t="str">
        <f t="shared" si="90"/>
        <v/>
      </c>
      <c r="P92" s="576" t="str">
        <f t="shared" si="91"/>
        <v/>
      </c>
      <c r="Q92" s="528" t="str">
        <f t="shared" si="92"/>
        <v/>
      </c>
      <c r="R92" s="572" t="str">
        <f t="shared" si="93"/>
        <v/>
      </c>
      <c r="S92" s="577" t="str">
        <f t="shared" si="94"/>
        <v/>
      </c>
      <c r="T92" s="578" t="str">
        <f t="shared" si="95"/>
        <v/>
      </c>
      <c r="U92" s="572" t="str">
        <f t="shared" si="96"/>
        <v/>
      </c>
      <c r="V92" s="579" t="str">
        <f t="shared" si="97"/>
        <v/>
      </c>
      <c r="W92" s="528" t="str">
        <f t="shared" si="98"/>
        <v/>
      </c>
      <c r="X92" s="572" t="str">
        <f t="shared" si="99"/>
        <v/>
      </c>
      <c r="Y92" s="573" t="str">
        <f t="shared" si="124"/>
        <v/>
      </c>
      <c r="Z92" s="575" t="str">
        <f t="shared" si="100"/>
        <v/>
      </c>
      <c r="AA92" s="572" t="str">
        <f t="shared" si="101"/>
        <v/>
      </c>
      <c r="AB92" s="572" t="str">
        <f t="shared" si="102"/>
        <v/>
      </c>
      <c r="AC92" s="579" t="str">
        <f t="shared" si="103"/>
        <v/>
      </c>
      <c r="AD92" s="580" t="str">
        <f t="shared" si="104"/>
        <v/>
      </c>
      <c r="AE92" s="572" t="str">
        <f t="shared" si="105"/>
        <v/>
      </c>
      <c r="AF92" s="576" t="str">
        <f t="shared" si="106"/>
        <v/>
      </c>
      <c r="AG92" s="545" t="str">
        <f t="shared" si="107"/>
        <v/>
      </c>
      <c r="AH92" s="546" t="str">
        <f t="shared" si="108"/>
        <v/>
      </c>
      <c r="AI92" s="528" t="str">
        <f t="shared" si="109"/>
        <v/>
      </c>
      <c r="AJ92" s="529" t="str">
        <f t="shared" si="110"/>
        <v/>
      </c>
      <c r="AK92" s="578" t="str">
        <f t="shared" si="111"/>
        <v/>
      </c>
      <c r="AL92" s="572" t="str">
        <f t="shared" si="112"/>
        <v/>
      </c>
      <c r="AM92" s="577" t="str">
        <f t="shared" si="113"/>
        <v/>
      </c>
      <c r="AN92" s="524" t="str">
        <f t="shared" si="86"/>
        <v/>
      </c>
      <c r="AO92" s="525" t="str">
        <f t="shared" si="125"/>
        <v/>
      </c>
      <c r="AP92" s="528" t="str">
        <f t="shared" si="114"/>
        <v/>
      </c>
      <c r="AQ92" s="529" t="str">
        <f t="shared" si="129"/>
        <v/>
      </c>
      <c r="AS92" s="598" t="str">
        <f t="shared" si="115"/>
        <v/>
      </c>
      <c r="AT92" s="602" t="str">
        <f t="shared" si="130"/>
        <v/>
      </c>
      <c r="AU92" s="515" t="str">
        <f t="shared" si="87"/>
        <v/>
      </c>
      <c r="AV92" s="164" t="str">
        <f t="shared" si="116"/>
        <v/>
      </c>
      <c r="AW92" s="545" t="str">
        <f>IF($M92="","",W92-INDEX(Assy.Model!$W$9:$W$150,MATCH('SN#.Run#'!$M92,Assy.Model!$M$9:$M$150,0)))</f>
        <v/>
      </c>
      <c r="AX92" s="628" t="str">
        <f>IF($M92="","",X92-INDEX(Assy.Model!$X$9:$X$150,MATCH('SN#.Run#'!$M92,Assy.Model!$M$9:$M$150,0)))</f>
        <v/>
      </c>
      <c r="AY92" s="629" t="str">
        <f>IF($M92="","",Y92-INDEX(Assy.Model!$Y$9:$Y$150,MATCH('SN#.Run#'!$M92,Assy.Model!$M$9:$M$150,0)))</f>
        <v/>
      </c>
      <c r="AZ92" s="602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10" t="str">
        <f>IF($M92="","",AN92-INDEX(Assy.Model!$AN$9:$AN$150,MATCH('SN#.Run#'!$M92,Assy.Model!$M$9:$M$150,0)))</f>
        <v/>
      </c>
      <c r="BB92" s="525" t="str">
        <f>IF($M92="","",AO92-INDEX(Assy.Model!$AO$9:$AO$150,MATCH('SN#.Run#'!$M92,Assy.Model!$M$9:$M$150,0)))</f>
        <v/>
      </c>
      <c r="BC92" s="619" t="str">
        <f>IF($M92="","",AP92-INDEX(Assy.Model!$AP$9:$AP$150,MATCH('SN#.Run#'!$M92,Assy.Model!$M$9:$M$150,0)))</f>
        <v/>
      </c>
      <c r="BD92" s="419"/>
      <c r="BE92" s="699"/>
      <c r="BF92" s="417"/>
      <c r="BG92" s="417"/>
      <c r="BH92" s="417"/>
      <c r="IE92" s="790" t="str">
        <f>IFERROR(IF($IU92="","",IF($IU92&lt;(((Settings!$C$19/2)*-1)*$IE$8),"Taper","Nose")),"")</f>
        <v/>
      </c>
      <c r="IF92" s="482" t="str">
        <f>IFERROR(IF((((($IW92*COS(RADIANS(180-$IY92)))*COS(RADIANS($IY92)))-(($IX92*SIN(RADIANS(180-$IY92)))*SIN(RADIANS($IY92))))+$IU92)&lt;(((Settings!$C$19+$IF$8)/2)*-1),"Gage",""),"")</f>
        <v/>
      </c>
      <c r="IG92" s="788" t="str">
        <f t="shared" si="132"/>
        <v/>
      </c>
      <c r="IH92" s="674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677" t="str" cm="1">
        <f t="array" ref="II92">IFERROR(IF($IH92&lt;1,$IH92+LARGE((IF($M$9:$M$150="",0,$M$9:$M$150)-MOD(IF($M$9:$M$150="",0,$M$9:$M$150),1)),1),$IH92),"")</f>
        <v/>
      </c>
      <c r="IJ92" s="482" t="str">
        <f t="shared" si="131"/>
        <v/>
      </c>
      <c r="IK92" s="482" t="str">
        <f t="shared" si="117"/>
        <v/>
      </c>
      <c r="IL92" s="670" t="str">
        <f t="shared" si="134"/>
        <v/>
      </c>
      <c r="IM92" s="702"/>
      <c r="IN92" s="5" t="str">
        <f t="shared" si="135"/>
        <v/>
      </c>
      <c r="IO92" s="714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670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05" t="str">
        <f t="shared" si="143"/>
        <v/>
      </c>
    </row>
    <row r="93" spans="1:259" ht="15" customHeight="1" x14ac:dyDescent="0.25">
      <c r="A93" s="82"/>
      <c r="B93" s="578" t="str">
        <f t="shared" si="118"/>
        <v/>
      </c>
      <c r="C93" s="572" t="str">
        <f t="shared" si="119"/>
        <v/>
      </c>
      <c r="D93" s="576" t="str">
        <f t="shared" si="120"/>
        <v/>
      </c>
      <c r="E93" s="580" t="str">
        <f t="shared" si="121"/>
        <v/>
      </c>
      <c r="F93" s="572" t="str">
        <f t="shared" si="122"/>
        <v/>
      </c>
      <c r="G93" s="579" t="str">
        <f t="shared" si="123"/>
        <v/>
      </c>
      <c r="H93" s="580" t="str">
        <f t="shared" si="128"/>
        <v/>
      </c>
      <c r="I93" s="482"/>
      <c r="J93" s="483" t="str">
        <v/>
      </c>
      <c r="K93" s="806" t="str">
        <f t="shared" si="133"/>
        <v/>
      </c>
      <c r="M93" s="164" t="str">
        <f t="shared" si="88"/>
        <v/>
      </c>
      <c r="N93" s="575" t="str">
        <f t="shared" si="89"/>
        <v/>
      </c>
      <c r="O93" s="572" t="str">
        <f t="shared" si="90"/>
        <v/>
      </c>
      <c r="P93" s="576" t="str">
        <f t="shared" si="91"/>
        <v/>
      </c>
      <c r="Q93" s="528" t="str">
        <f t="shared" si="92"/>
        <v/>
      </c>
      <c r="R93" s="572" t="str">
        <f t="shared" si="93"/>
        <v/>
      </c>
      <c r="S93" s="577" t="str">
        <f t="shared" si="94"/>
        <v/>
      </c>
      <c r="T93" s="578" t="str">
        <f t="shared" si="95"/>
        <v/>
      </c>
      <c r="U93" s="572" t="str">
        <f t="shared" si="96"/>
        <v/>
      </c>
      <c r="V93" s="579" t="str">
        <f t="shared" si="97"/>
        <v/>
      </c>
      <c r="W93" s="528" t="str">
        <f t="shared" si="98"/>
        <v/>
      </c>
      <c r="X93" s="572" t="str">
        <f t="shared" si="99"/>
        <v/>
      </c>
      <c r="Y93" s="573" t="str">
        <f t="shared" si="124"/>
        <v/>
      </c>
      <c r="Z93" s="575" t="str">
        <f t="shared" si="100"/>
        <v/>
      </c>
      <c r="AA93" s="572" t="str">
        <f t="shared" si="101"/>
        <v/>
      </c>
      <c r="AB93" s="572" t="str">
        <f t="shared" si="102"/>
        <v/>
      </c>
      <c r="AC93" s="579" t="str">
        <f t="shared" si="103"/>
        <v/>
      </c>
      <c r="AD93" s="580" t="str">
        <f t="shared" si="104"/>
        <v/>
      </c>
      <c r="AE93" s="572" t="str">
        <f t="shared" si="105"/>
        <v/>
      </c>
      <c r="AF93" s="576" t="str">
        <f t="shared" si="106"/>
        <v/>
      </c>
      <c r="AG93" s="545" t="str">
        <f t="shared" si="107"/>
        <v/>
      </c>
      <c r="AH93" s="546" t="str">
        <f t="shared" si="108"/>
        <v/>
      </c>
      <c r="AI93" s="528" t="str">
        <f t="shared" si="109"/>
        <v/>
      </c>
      <c r="AJ93" s="529" t="str">
        <f t="shared" si="110"/>
        <v/>
      </c>
      <c r="AK93" s="578" t="str">
        <f t="shared" si="111"/>
        <v/>
      </c>
      <c r="AL93" s="572" t="str">
        <f t="shared" si="112"/>
        <v/>
      </c>
      <c r="AM93" s="577" t="str">
        <f t="shared" si="113"/>
        <v/>
      </c>
      <c r="AN93" s="524" t="str">
        <f t="shared" si="86"/>
        <v/>
      </c>
      <c r="AO93" s="525" t="str">
        <f t="shared" si="125"/>
        <v/>
      </c>
      <c r="AP93" s="528" t="str">
        <f t="shared" si="114"/>
        <v/>
      </c>
      <c r="AQ93" s="529" t="str">
        <f t="shared" si="129"/>
        <v/>
      </c>
      <c r="AS93" s="598" t="str">
        <f t="shared" si="115"/>
        <v/>
      </c>
      <c r="AT93" s="602" t="str">
        <f t="shared" si="130"/>
        <v/>
      </c>
      <c r="AU93" s="515" t="str">
        <f t="shared" si="87"/>
        <v/>
      </c>
      <c r="AV93" s="164" t="str">
        <f t="shared" si="116"/>
        <v/>
      </c>
      <c r="AW93" s="545" t="str">
        <f>IF($M93="","",W93-INDEX(Assy.Model!$W$9:$W$150,MATCH('SN#.Run#'!$M93,Assy.Model!$M$9:$M$150,0)))</f>
        <v/>
      </c>
      <c r="AX93" s="628" t="str">
        <f>IF($M93="","",X93-INDEX(Assy.Model!$X$9:$X$150,MATCH('SN#.Run#'!$M93,Assy.Model!$M$9:$M$150,0)))</f>
        <v/>
      </c>
      <c r="AY93" s="629" t="str">
        <f>IF($M93="","",Y93-INDEX(Assy.Model!$Y$9:$Y$150,MATCH('SN#.Run#'!$M93,Assy.Model!$M$9:$M$150,0)))</f>
        <v/>
      </c>
      <c r="AZ93" s="602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10" t="str">
        <f>IF($M93="","",AN93-INDEX(Assy.Model!$AN$9:$AN$150,MATCH('SN#.Run#'!$M93,Assy.Model!$M$9:$M$150,0)))</f>
        <v/>
      </c>
      <c r="BB93" s="525" t="str">
        <f>IF($M93="","",AO93-INDEX(Assy.Model!$AO$9:$AO$150,MATCH('SN#.Run#'!$M93,Assy.Model!$M$9:$M$150,0)))</f>
        <v/>
      </c>
      <c r="BC93" s="619" t="str">
        <f>IF($M93="","",AP93-INDEX(Assy.Model!$AP$9:$AP$150,MATCH('SN#.Run#'!$M93,Assy.Model!$M$9:$M$150,0)))</f>
        <v/>
      </c>
      <c r="BD93" s="419"/>
      <c r="BE93" s="699"/>
      <c r="BF93" s="417"/>
      <c r="BG93" s="417"/>
      <c r="BH93" s="417"/>
      <c r="IE93" s="790" t="str">
        <f>IFERROR(IF($IU93="","",IF($IU93&lt;(((Settings!$C$19/2)*-1)*$IE$8),"Taper","Nose")),"")</f>
        <v/>
      </c>
      <c r="IF93" s="482" t="str">
        <f>IFERROR(IF((((($IW93*COS(RADIANS(180-$IY93)))*COS(RADIANS($IY93)))-(($IX93*SIN(RADIANS(180-$IY93)))*SIN(RADIANS($IY93))))+$IU93)&lt;(((Settings!$C$19+$IF$8)/2)*-1),"Gage",""),"")</f>
        <v/>
      </c>
      <c r="IG93" s="788" t="str">
        <f t="shared" si="132"/>
        <v/>
      </c>
      <c r="IH93" s="674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677" t="str" cm="1">
        <f t="array" ref="II93">IFERROR(IF($IH93&lt;1,$IH93+LARGE((IF($M$9:$M$150="",0,$M$9:$M$150)-MOD(IF($M$9:$M$150="",0,$M$9:$M$150),1)),1),$IH93),"")</f>
        <v/>
      </c>
      <c r="IJ93" s="482" t="str">
        <f t="shared" si="131"/>
        <v/>
      </c>
      <c r="IK93" s="482" t="str">
        <f t="shared" si="117"/>
        <v/>
      </c>
      <c r="IL93" s="670" t="str">
        <f t="shared" si="134"/>
        <v/>
      </c>
      <c r="IM93" s="702"/>
      <c r="IN93" s="5" t="str">
        <f t="shared" si="135"/>
        <v/>
      </c>
      <c r="IO93" s="714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670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05" t="str">
        <f t="shared" si="143"/>
        <v/>
      </c>
    </row>
    <row r="94" spans="1:259" ht="15" customHeight="1" x14ac:dyDescent="0.25">
      <c r="A94" s="82"/>
      <c r="B94" s="578" t="str">
        <f t="shared" si="118"/>
        <v/>
      </c>
      <c r="C94" s="572" t="str">
        <f t="shared" si="119"/>
        <v/>
      </c>
      <c r="D94" s="576" t="str">
        <f t="shared" si="120"/>
        <v/>
      </c>
      <c r="E94" s="580" t="str">
        <f t="shared" si="121"/>
        <v/>
      </c>
      <c r="F94" s="572" t="str">
        <f t="shared" si="122"/>
        <v/>
      </c>
      <c r="G94" s="579" t="str">
        <f t="shared" si="123"/>
        <v/>
      </c>
      <c r="H94" s="580" t="str">
        <f t="shared" si="128"/>
        <v/>
      </c>
      <c r="I94" s="482"/>
      <c r="J94" s="483" t="str">
        <v/>
      </c>
      <c r="K94" s="806" t="str">
        <f t="shared" si="133"/>
        <v/>
      </c>
      <c r="M94" s="164" t="str">
        <f t="shared" si="88"/>
        <v/>
      </c>
      <c r="N94" s="575" t="str">
        <f t="shared" si="89"/>
        <v/>
      </c>
      <c r="O94" s="572" t="str">
        <f t="shared" si="90"/>
        <v/>
      </c>
      <c r="P94" s="576" t="str">
        <f t="shared" si="91"/>
        <v/>
      </c>
      <c r="Q94" s="528" t="str">
        <f t="shared" si="92"/>
        <v/>
      </c>
      <c r="R94" s="572" t="str">
        <f t="shared" si="93"/>
        <v/>
      </c>
      <c r="S94" s="577" t="str">
        <f t="shared" si="94"/>
        <v/>
      </c>
      <c r="T94" s="578" t="str">
        <f t="shared" si="95"/>
        <v/>
      </c>
      <c r="U94" s="572" t="str">
        <f t="shared" si="96"/>
        <v/>
      </c>
      <c r="V94" s="579" t="str">
        <f t="shared" si="97"/>
        <v/>
      </c>
      <c r="W94" s="528" t="str">
        <f t="shared" si="98"/>
        <v/>
      </c>
      <c r="X94" s="572" t="str">
        <f t="shared" si="99"/>
        <v/>
      </c>
      <c r="Y94" s="573" t="str">
        <f t="shared" si="124"/>
        <v/>
      </c>
      <c r="Z94" s="575" t="str">
        <f t="shared" si="100"/>
        <v/>
      </c>
      <c r="AA94" s="572" t="str">
        <f t="shared" si="101"/>
        <v/>
      </c>
      <c r="AB94" s="572" t="str">
        <f t="shared" si="102"/>
        <v/>
      </c>
      <c r="AC94" s="579" t="str">
        <f t="shared" si="103"/>
        <v/>
      </c>
      <c r="AD94" s="580" t="str">
        <f t="shared" si="104"/>
        <v/>
      </c>
      <c r="AE94" s="572" t="str">
        <f t="shared" si="105"/>
        <v/>
      </c>
      <c r="AF94" s="576" t="str">
        <f t="shared" si="106"/>
        <v/>
      </c>
      <c r="AG94" s="545" t="str">
        <f t="shared" si="107"/>
        <v/>
      </c>
      <c r="AH94" s="546" t="str">
        <f t="shared" si="108"/>
        <v/>
      </c>
      <c r="AI94" s="528" t="str">
        <f t="shared" si="109"/>
        <v/>
      </c>
      <c r="AJ94" s="529" t="str">
        <f t="shared" si="110"/>
        <v/>
      </c>
      <c r="AK94" s="578" t="str">
        <f t="shared" si="111"/>
        <v/>
      </c>
      <c r="AL94" s="572" t="str">
        <f t="shared" si="112"/>
        <v/>
      </c>
      <c r="AM94" s="577" t="str">
        <f t="shared" si="113"/>
        <v/>
      </c>
      <c r="AN94" s="524" t="str">
        <f t="shared" si="86"/>
        <v/>
      </c>
      <c r="AO94" s="525" t="str">
        <f t="shared" si="125"/>
        <v/>
      </c>
      <c r="AP94" s="528" t="str">
        <f t="shared" si="114"/>
        <v/>
      </c>
      <c r="AQ94" s="529" t="str">
        <f t="shared" si="129"/>
        <v/>
      </c>
      <c r="AS94" s="598" t="str">
        <f t="shared" si="115"/>
        <v/>
      </c>
      <c r="AT94" s="602" t="str">
        <f t="shared" si="130"/>
        <v/>
      </c>
      <c r="AU94" s="515" t="str">
        <f t="shared" si="87"/>
        <v/>
      </c>
      <c r="AV94" s="164" t="str">
        <f t="shared" si="116"/>
        <v/>
      </c>
      <c r="AW94" s="545" t="str">
        <f>IF($M94="","",W94-INDEX(Assy.Model!$W$9:$W$150,MATCH('SN#.Run#'!$M94,Assy.Model!$M$9:$M$150,0)))</f>
        <v/>
      </c>
      <c r="AX94" s="628" t="str">
        <f>IF($M94="","",X94-INDEX(Assy.Model!$X$9:$X$150,MATCH('SN#.Run#'!$M94,Assy.Model!$M$9:$M$150,0)))</f>
        <v/>
      </c>
      <c r="AY94" s="629" t="str">
        <f>IF($M94="","",Y94-INDEX(Assy.Model!$Y$9:$Y$150,MATCH('SN#.Run#'!$M94,Assy.Model!$M$9:$M$150,0)))</f>
        <v/>
      </c>
      <c r="AZ94" s="602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10" t="str">
        <f>IF($M94="","",AN94-INDEX(Assy.Model!$AN$9:$AN$150,MATCH('SN#.Run#'!$M94,Assy.Model!$M$9:$M$150,0)))</f>
        <v/>
      </c>
      <c r="BB94" s="525" t="str">
        <f>IF($M94="","",AO94-INDEX(Assy.Model!$AO$9:$AO$150,MATCH('SN#.Run#'!$M94,Assy.Model!$M$9:$M$150,0)))</f>
        <v/>
      </c>
      <c r="BC94" s="619" t="str">
        <f>IF($M94="","",AP94-INDEX(Assy.Model!$AP$9:$AP$150,MATCH('SN#.Run#'!$M94,Assy.Model!$M$9:$M$150,0)))</f>
        <v/>
      </c>
      <c r="BD94" s="419"/>
      <c r="BE94" s="699"/>
      <c r="BF94" s="417"/>
      <c r="BG94" s="417"/>
      <c r="BH94" s="417"/>
      <c r="IE94" s="790" t="str">
        <f>IFERROR(IF($IU94="","",IF($IU94&lt;(((Settings!$C$19/2)*-1)*$IE$8),"Taper","Nose")),"")</f>
        <v/>
      </c>
      <c r="IF94" s="482" t="str">
        <f>IFERROR(IF((((($IW94*COS(RADIANS(180-$IY94)))*COS(RADIANS($IY94)))-(($IX94*SIN(RADIANS(180-$IY94)))*SIN(RADIANS($IY94))))+$IU94)&lt;(((Settings!$C$19+$IF$8)/2)*-1),"Gage",""),"")</f>
        <v/>
      </c>
      <c r="IG94" s="788" t="str">
        <f t="shared" si="132"/>
        <v/>
      </c>
      <c r="IH94" s="674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677" t="str" cm="1">
        <f t="array" ref="II94">IFERROR(IF($IH94&lt;1,$IH94+LARGE((IF($M$9:$M$150="",0,$M$9:$M$150)-MOD(IF($M$9:$M$150="",0,$M$9:$M$150),1)),1),$IH94),"")</f>
        <v/>
      </c>
      <c r="IJ94" s="482" t="str">
        <f t="shared" si="131"/>
        <v/>
      </c>
      <c r="IK94" s="482" t="str">
        <f t="shared" si="117"/>
        <v/>
      </c>
      <c r="IL94" s="670" t="str">
        <f t="shared" si="134"/>
        <v/>
      </c>
      <c r="IM94" s="702"/>
      <c r="IN94" s="5" t="str">
        <f t="shared" si="135"/>
        <v/>
      </c>
      <c r="IO94" s="714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670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05" t="str">
        <f t="shared" si="143"/>
        <v/>
      </c>
    </row>
    <row r="95" spans="1:259" ht="15" customHeight="1" x14ac:dyDescent="0.25">
      <c r="A95" s="82"/>
      <c r="B95" s="578" t="str">
        <f t="shared" si="118"/>
        <v/>
      </c>
      <c r="C95" s="572" t="str">
        <f t="shared" si="119"/>
        <v/>
      </c>
      <c r="D95" s="576" t="str">
        <f t="shared" si="120"/>
        <v/>
      </c>
      <c r="E95" s="580" t="str">
        <f t="shared" si="121"/>
        <v/>
      </c>
      <c r="F95" s="572" t="str">
        <f t="shared" si="122"/>
        <v/>
      </c>
      <c r="G95" s="579" t="str">
        <f t="shared" si="123"/>
        <v/>
      </c>
      <c r="H95" s="580" t="str">
        <f t="shared" si="128"/>
        <v/>
      </c>
      <c r="I95" s="482"/>
      <c r="J95" s="483" t="str">
        <v/>
      </c>
      <c r="K95" s="806" t="str">
        <f t="shared" si="133"/>
        <v/>
      </c>
      <c r="M95" s="164" t="str">
        <f t="shared" si="88"/>
        <v/>
      </c>
      <c r="N95" s="575" t="str">
        <f t="shared" si="89"/>
        <v/>
      </c>
      <c r="O95" s="572" t="str">
        <f t="shared" si="90"/>
        <v/>
      </c>
      <c r="P95" s="576" t="str">
        <f t="shared" si="91"/>
        <v/>
      </c>
      <c r="Q95" s="528" t="str">
        <f t="shared" si="92"/>
        <v/>
      </c>
      <c r="R95" s="572" t="str">
        <f t="shared" si="93"/>
        <v/>
      </c>
      <c r="S95" s="577" t="str">
        <f t="shared" si="94"/>
        <v/>
      </c>
      <c r="T95" s="578" t="str">
        <f t="shared" si="95"/>
        <v/>
      </c>
      <c r="U95" s="572" t="str">
        <f t="shared" si="96"/>
        <v/>
      </c>
      <c r="V95" s="579" t="str">
        <f t="shared" si="97"/>
        <v/>
      </c>
      <c r="W95" s="528" t="str">
        <f t="shared" si="98"/>
        <v/>
      </c>
      <c r="X95" s="572" t="str">
        <f t="shared" si="99"/>
        <v/>
      </c>
      <c r="Y95" s="573" t="str">
        <f t="shared" si="124"/>
        <v/>
      </c>
      <c r="Z95" s="575" t="str">
        <f t="shared" si="100"/>
        <v/>
      </c>
      <c r="AA95" s="572" t="str">
        <f t="shared" si="101"/>
        <v/>
      </c>
      <c r="AB95" s="572" t="str">
        <f t="shared" si="102"/>
        <v/>
      </c>
      <c r="AC95" s="579" t="str">
        <f t="shared" si="103"/>
        <v/>
      </c>
      <c r="AD95" s="580" t="str">
        <f t="shared" si="104"/>
        <v/>
      </c>
      <c r="AE95" s="572" t="str">
        <f t="shared" si="105"/>
        <v/>
      </c>
      <c r="AF95" s="576" t="str">
        <f t="shared" si="106"/>
        <v/>
      </c>
      <c r="AG95" s="545" t="str">
        <f t="shared" si="107"/>
        <v/>
      </c>
      <c r="AH95" s="546" t="str">
        <f t="shared" si="108"/>
        <v/>
      </c>
      <c r="AI95" s="528" t="str">
        <f t="shared" si="109"/>
        <v/>
      </c>
      <c r="AJ95" s="529" t="str">
        <f t="shared" si="110"/>
        <v/>
      </c>
      <c r="AK95" s="578" t="str">
        <f t="shared" si="111"/>
        <v/>
      </c>
      <c r="AL95" s="572" t="str">
        <f t="shared" si="112"/>
        <v/>
      </c>
      <c r="AM95" s="577" t="str">
        <f t="shared" si="113"/>
        <v/>
      </c>
      <c r="AN95" s="524" t="str">
        <f t="shared" si="86"/>
        <v/>
      </c>
      <c r="AO95" s="525" t="str">
        <f t="shared" si="125"/>
        <v/>
      </c>
      <c r="AP95" s="528" t="str">
        <f t="shared" si="114"/>
        <v/>
      </c>
      <c r="AQ95" s="529" t="str">
        <f t="shared" si="129"/>
        <v/>
      </c>
      <c r="AS95" s="598" t="str">
        <f t="shared" si="115"/>
        <v/>
      </c>
      <c r="AT95" s="602" t="str">
        <f t="shared" si="130"/>
        <v/>
      </c>
      <c r="AU95" s="515" t="str">
        <f t="shared" si="87"/>
        <v/>
      </c>
      <c r="AV95" s="164" t="str">
        <f t="shared" si="116"/>
        <v/>
      </c>
      <c r="AW95" s="545" t="str">
        <f>IF($M95="","",W95-INDEX(Assy.Model!$W$9:$W$150,MATCH('SN#.Run#'!$M95,Assy.Model!$M$9:$M$150,0)))</f>
        <v/>
      </c>
      <c r="AX95" s="628" t="str">
        <f>IF($M95="","",X95-INDEX(Assy.Model!$X$9:$X$150,MATCH('SN#.Run#'!$M95,Assy.Model!$M$9:$M$150,0)))</f>
        <v/>
      </c>
      <c r="AY95" s="629" t="str">
        <f>IF($M95="","",Y95-INDEX(Assy.Model!$Y$9:$Y$150,MATCH('SN#.Run#'!$M95,Assy.Model!$M$9:$M$150,0)))</f>
        <v/>
      </c>
      <c r="AZ95" s="602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10" t="str">
        <f>IF($M95="","",AN95-INDEX(Assy.Model!$AN$9:$AN$150,MATCH('SN#.Run#'!$M95,Assy.Model!$M$9:$M$150,0)))</f>
        <v/>
      </c>
      <c r="BB95" s="525" t="str">
        <f>IF($M95="","",AO95-INDEX(Assy.Model!$AO$9:$AO$150,MATCH('SN#.Run#'!$M95,Assy.Model!$M$9:$M$150,0)))</f>
        <v/>
      </c>
      <c r="BC95" s="619" t="str">
        <f>IF($M95="","",AP95-INDEX(Assy.Model!$AP$9:$AP$150,MATCH('SN#.Run#'!$M95,Assy.Model!$M$9:$M$150,0)))</f>
        <v/>
      </c>
      <c r="BD95" s="419"/>
      <c r="BE95" s="699"/>
      <c r="BF95" s="417"/>
      <c r="BG95" s="417"/>
      <c r="BH95" s="417"/>
      <c r="IE95" s="790" t="str">
        <f>IFERROR(IF($IU95="","",IF($IU95&lt;(((Settings!$C$19/2)*-1)*$IE$8),"Taper","Nose")),"")</f>
        <v/>
      </c>
      <c r="IF95" s="482" t="str">
        <f>IFERROR(IF((((($IW95*COS(RADIANS(180-$IY95)))*COS(RADIANS($IY95)))-(($IX95*SIN(RADIANS(180-$IY95)))*SIN(RADIANS($IY95))))+$IU95)&lt;(((Settings!$C$19+$IF$8)/2)*-1),"Gage",""),"")</f>
        <v/>
      </c>
      <c r="IG95" s="788" t="str">
        <f t="shared" si="132"/>
        <v/>
      </c>
      <c r="IH95" s="674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677" t="str" cm="1">
        <f t="array" ref="II95">IFERROR(IF($IH95&lt;1,$IH95+LARGE((IF($M$9:$M$150="",0,$M$9:$M$150)-MOD(IF($M$9:$M$150="",0,$M$9:$M$150),1)),1),$IH95),"")</f>
        <v/>
      </c>
      <c r="IJ95" s="482" t="str">
        <f t="shared" si="131"/>
        <v/>
      </c>
      <c r="IK95" s="482" t="str">
        <f t="shared" si="117"/>
        <v/>
      </c>
      <c r="IL95" s="670" t="str">
        <f t="shared" si="134"/>
        <v/>
      </c>
      <c r="IM95" s="702"/>
      <c r="IN95" s="5" t="str">
        <f t="shared" si="135"/>
        <v/>
      </c>
      <c r="IO95" s="714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670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05" t="str">
        <f t="shared" si="143"/>
        <v/>
      </c>
    </row>
    <row r="96" spans="1:259" ht="15" customHeight="1" x14ac:dyDescent="0.25">
      <c r="A96" s="82"/>
      <c r="B96" s="578" t="str">
        <f t="shared" si="118"/>
        <v/>
      </c>
      <c r="C96" s="572" t="str">
        <f t="shared" si="119"/>
        <v/>
      </c>
      <c r="D96" s="576" t="str">
        <f t="shared" si="120"/>
        <v/>
      </c>
      <c r="E96" s="580" t="str">
        <f t="shared" si="121"/>
        <v/>
      </c>
      <c r="F96" s="572" t="str">
        <f t="shared" si="122"/>
        <v/>
      </c>
      <c r="G96" s="579" t="str">
        <f t="shared" si="123"/>
        <v/>
      </c>
      <c r="H96" s="580" t="str">
        <f t="shared" si="128"/>
        <v/>
      </c>
      <c r="I96" s="482"/>
      <c r="J96" s="483" t="str">
        <v/>
      </c>
      <c r="K96" s="806" t="str">
        <f t="shared" si="133"/>
        <v/>
      </c>
      <c r="M96" s="164" t="str">
        <f t="shared" si="88"/>
        <v/>
      </c>
      <c r="N96" s="575" t="str">
        <f t="shared" si="89"/>
        <v/>
      </c>
      <c r="O96" s="572" t="str">
        <f t="shared" si="90"/>
        <v/>
      </c>
      <c r="P96" s="576" t="str">
        <f t="shared" si="91"/>
        <v/>
      </c>
      <c r="Q96" s="528" t="str">
        <f t="shared" si="92"/>
        <v/>
      </c>
      <c r="R96" s="572" t="str">
        <f t="shared" si="93"/>
        <v/>
      </c>
      <c r="S96" s="577" t="str">
        <f t="shared" si="94"/>
        <v/>
      </c>
      <c r="T96" s="578" t="str">
        <f t="shared" si="95"/>
        <v/>
      </c>
      <c r="U96" s="572" t="str">
        <f t="shared" si="96"/>
        <v/>
      </c>
      <c r="V96" s="579" t="str">
        <f t="shared" si="97"/>
        <v/>
      </c>
      <c r="W96" s="528" t="str">
        <f t="shared" si="98"/>
        <v/>
      </c>
      <c r="X96" s="572" t="str">
        <f t="shared" si="99"/>
        <v/>
      </c>
      <c r="Y96" s="573" t="str">
        <f t="shared" si="124"/>
        <v/>
      </c>
      <c r="Z96" s="575" t="str">
        <f t="shared" si="100"/>
        <v/>
      </c>
      <c r="AA96" s="572" t="str">
        <f t="shared" si="101"/>
        <v/>
      </c>
      <c r="AB96" s="572" t="str">
        <f t="shared" si="102"/>
        <v/>
      </c>
      <c r="AC96" s="579" t="str">
        <f t="shared" si="103"/>
        <v/>
      </c>
      <c r="AD96" s="580" t="str">
        <f t="shared" si="104"/>
        <v/>
      </c>
      <c r="AE96" s="572" t="str">
        <f t="shared" si="105"/>
        <v/>
      </c>
      <c r="AF96" s="576" t="str">
        <f t="shared" si="106"/>
        <v/>
      </c>
      <c r="AG96" s="545" t="str">
        <f t="shared" si="107"/>
        <v/>
      </c>
      <c r="AH96" s="546" t="str">
        <f t="shared" si="108"/>
        <v/>
      </c>
      <c r="AI96" s="528" t="str">
        <f t="shared" si="109"/>
        <v/>
      </c>
      <c r="AJ96" s="529" t="str">
        <f t="shared" si="110"/>
        <v/>
      </c>
      <c r="AK96" s="578" t="str">
        <f t="shared" si="111"/>
        <v/>
      </c>
      <c r="AL96" s="572" t="str">
        <f t="shared" si="112"/>
        <v/>
      </c>
      <c r="AM96" s="577" t="str">
        <f t="shared" si="113"/>
        <v/>
      </c>
      <c r="AN96" s="524" t="str">
        <f t="shared" si="86"/>
        <v/>
      </c>
      <c r="AO96" s="525" t="str">
        <f t="shared" si="125"/>
        <v/>
      </c>
      <c r="AP96" s="528" t="str">
        <f t="shared" si="114"/>
        <v/>
      </c>
      <c r="AQ96" s="529" t="str">
        <f t="shared" si="129"/>
        <v/>
      </c>
      <c r="AS96" s="598" t="str">
        <f t="shared" si="115"/>
        <v/>
      </c>
      <c r="AT96" s="602" t="str">
        <f t="shared" si="130"/>
        <v/>
      </c>
      <c r="AU96" s="515" t="str">
        <f t="shared" si="87"/>
        <v/>
      </c>
      <c r="AV96" s="164" t="str">
        <f t="shared" si="116"/>
        <v/>
      </c>
      <c r="AW96" s="545" t="str">
        <f>IF($M96="","",W96-INDEX(Assy.Model!$W$9:$W$150,MATCH('SN#.Run#'!$M96,Assy.Model!$M$9:$M$150,0)))</f>
        <v/>
      </c>
      <c r="AX96" s="628" t="str">
        <f>IF($M96="","",X96-INDEX(Assy.Model!$X$9:$X$150,MATCH('SN#.Run#'!$M96,Assy.Model!$M$9:$M$150,0)))</f>
        <v/>
      </c>
      <c r="AY96" s="629" t="str">
        <f>IF($M96="","",Y96-INDEX(Assy.Model!$Y$9:$Y$150,MATCH('SN#.Run#'!$M96,Assy.Model!$M$9:$M$150,0)))</f>
        <v/>
      </c>
      <c r="AZ96" s="602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10" t="str">
        <f>IF($M96="","",AN96-INDEX(Assy.Model!$AN$9:$AN$150,MATCH('SN#.Run#'!$M96,Assy.Model!$M$9:$M$150,0)))</f>
        <v/>
      </c>
      <c r="BB96" s="525" t="str">
        <f>IF($M96="","",AO96-INDEX(Assy.Model!$AO$9:$AO$150,MATCH('SN#.Run#'!$M96,Assy.Model!$M$9:$M$150,0)))</f>
        <v/>
      </c>
      <c r="BC96" s="619" t="str">
        <f>IF($M96="","",AP96-INDEX(Assy.Model!$AP$9:$AP$150,MATCH('SN#.Run#'!$M96,Assy.Model!$M$9:$M$150,0)))</f>
        <v/>
      </c>
      <c r="BD96" s="419"/>
      <c r="BE96" s="699"/>
      <c r="BF96" s="417"/>
      <c r="BG96" s="417"/>
      <c r="BH96" s="417"/>
      <c r="IE96" s="790" t="str">
        <f>IFERROR(IF($IU96="","",IF($IU96&lt;(((Settings!$C$19/2)*-1)*$IE$8),"Taper","Nose")),"")</f>
        <v/>
      </c>
      <c r="IF96" s="482" t="str">
        <f>IFERROR(IF((((($IW96*COS(RADIANS(180-$IY96)))*COS(RADIANS($IY96)))-(($IX96*SIN(RADIANS(180-$IY96)))*SIN(RADIANS($IY96))))+$IU96)&lt;(((Settings!$C$19+$IF$8)/2)*-1),"Gage",""),"")</f>
        <v/>
      </c>
      <c r="IG96" s="788" t="str">
        <f t="shared" si="132"/>
        <v/>
      </c>
      <c r="IH96" s="674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677" t="str" cm="1">
        <f t="array" ref="II96">IFERROR(IF($IH96&lt;1,$IH96+LARGE((IF($M$9:$M$150="",0,$M$9:$M$150)-MOD(IF($M$9:$M$150="",0,$M$9:$M$150),1)),1),$IH96),"")</f>
        <v/>
      </c>
      <c r="IJ96" s="482" t="str">
        <f t="shared" si="131"/>
        <v/>
      </c>
      <c r="IK96" s="482" t="str">
        <f t="shared" si="117"/>
        <v/>
      </c>
      <c r="IL96" s="670" t="str">
        <f t="shared" si="134"/>
        <v/>
      </c>
      <c r="IM96" s="702"/>
      <c r="IN96" s="5" t="str">
        <f t="shared" si="135"/>
        <v/>
      </c>
      <c r="IO96" s="714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670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05" t="str">
        <f t="shared" si="143"/>
        <v/>
      </c>
    </row>
    <row r="97" spans="1:259" ht="15" customHeight="1" x14ac:dyDescent="0.25">
      <c r="A97" s="82"/>
      <c r="B97" s="578" t="str">
        <f t="shared" si="118"/>
        <v/>
      </c>
      <c r="C97" s="572" t="str">
        <f t="shared" si="119"/>
        <v/>
      </c>
      <c r="D97" s="576" t="str">
        <f t="shared" si="120"/>
        <v/>
      </c>
      <c r="E97" s="580" t="str">
        <f t="shared" si="121"/>
        <v/>
      </c>
      <c r="F97" s="572" t="str">
        <f t="shared" si="122"/>
        <v/>
      </c>
      <c r="G97" s="579" t="str">
        <f t="shared" si="123"/>
        <v/>
      </c>
      <c r="H97" s="580" t="str">
        <f t="shared" si="128"/>
        <v/>
      </c>
      <c r="I97" s="482"/>
      <c r="J97" s="483" t="str">
        <v/>
      </c>
      <c r="K97" s="806" t="str">
        <f t="shared" si="133"/>
        <v/>
      </c>
      <c r="M97" s="164" t="str">
        <f t="shared" si="88"/>
        <v/>
      </c>
      <c r="N97" s="575" t="str">
        <f t="shared" si="89"/>
        <v/>
      </c>
      <c r="O97" s="572" t="str">
        <f t="shared" si="90"/>
        <v/>
      </c>
      <c r="P97" s="576" t="str">
        <f t="shared" si="91"/>
        <v/>
      </c>
      <c r="Q97" s="528" t="str">
        <f t="shared" si="92"/>
        <v/>
      </c>
      <c r="R97" s="572" t="str">
        <f t="shared" si="93"/>
        <v/>
      </c>
      <c r="S97" s="577" t="str">
        <f t="shared" si="94"/>
        <v/>
      </c>
      <c r="T97" s="578" t="str">
        <f t="shared" si="95"/>
        <v/>
      </c>
      <c r="U97" s="572" t="str">
        <f t="shared" si="96"/>
        <v/>
      </c>
      <c r="V97" s="579" t="str">
        <f t="shared" si="97"/>
        <v/>
      </c>
      <c r="W97" s="528" t="str">
        <f t="shared" si="98"/>
        <v/>
      </c>
      <c r="X97" s="572" t="str">
        <f t="shared" si="99"/>
        <v/>
      </c>
      <c r="Y97" s="573" t="str">
        <f t="shared" si="124"/>
        <v/>
      </c>
      <c r="Z97" s="575" t="str">
        <f t="shared" si="100"/>
        <v/>
      </c>
      <c r="AA97" s="572" t="str">
        <f t="shared" si="101"/>
        <v/>
      </c>
      <c r="AB97" s="572" t="str">
        <f t="shared" si="102"/>
        <v/>
      </c>
      <c r="AC97" s="579" t="str">
        <f t="shared" si="103"/>
        <v/>
      </c>
      <c r="AD97" s="580" t="str">
        <f t="shared" si="104"/>
        <v/>
      </c>
      <c r="AE97" s="572" t="str">
        <f t="shared" si="105"/>
        <v/>
      </c>
      <c r="AF97" s="576" t="str">
        <f t="shared" si="106"/>
        <v/>
      </c>
      <c r="AG97" s="545" t="str">
        <f t="shared" si="107"/>
        <v/>
      </c>
      <c r="AH97" s="546" t="str">
        <f t="shared" si="108"/>
        <v/>
      </c>
      <c r="AI97" s="528" t="str">
        <f t="shared" si="109"/>
        <v/>
      </c>
      <c r="AJ97" s="529" t="str">
        <f t="shared" si="110"/>
        <v/>
      </c>
      <c r="AK97" s="578" t="str">
        <f t="shared" si="111"/>
        <v/>
      </c>
      <c r="AL97" s="572" t="str">
        <f t="shared" si="112"/>
        <v/>
      </c>
      <c r="AM97" s="577" t="str">
        <f t="shared" si="113"/>
        <v/>
      </c>
      <c r="AN97" s="524" t="str">
        <f t="shared" si="86"/>
        <v/>
      </c>
      <c r="AO97" s="525" t="str">
        <f t="shared" si="125"/>
        <v/>
      </c>
      <c r="AP97" s="528" t="str">
        <f t="shared" si="114"/>
        <v/>
      </c>
      <c r="AQ97" s="529" t="str">
        <f t="shared" si="129"/>
        <v/>
      </c>
      <c r="AS97" s="598" t="str">
        <f t="shared" si="115"/>
        <v/>
      </c>
      <c r="AT97" s="602" t="str">
        <f t="shared" si="130"/>
        <v/>
      </c>
      <c r="AU97" s="515" t="str">
        <f t="shared" si="87"/>
        <v/>
      </c>
      <c r="AV97" s="164" t="str">
        <f t="shared" si="116"/>
        <v/>
      </c>
      <c r="AW97" s="545" t="str">
        <f>IF($M97="","",W97-INDEX(Assy.Model!$W$9:$W$150,MATCH('SN#.Run#'!$M97,Assy.Model!$M$9:$M$150,0)))</f>
        <v/>
      </c>
      <c r="AX97" s="628" t="str">
        <f>IF($M97="","",X97-INDEX(Assy.Model!$X$9:$X$150,MATCH('SN#.Run#'!$M97,Assy.Model!$M$9:$M$150,0)))</f>
        <v/>
      </c>
      <c r="AY97" s="629" t="str">
        <f>IF($M97="","",Y97-INDEX(Assy.Model!$Y$9:$Y$150,MATCH('SN#.Run#'!$M97,Assy.Model!$M$9:$M$150,0)))</f>
        <v/>
      </c>
      <c r="AZ97" s="602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10" t="str">
        <f>IF($M97="","",AN97-INDEX(Assy.Model!$AN$9:$AN$150,MATCH('SN#.Run#'!$M97,Assy.Model!$M$9:$M$150,0)))</f>
        <v/>
      </c>
      <c r="BB97" s="525" t="str">
        <f>IF($M97="","",AO97-INDEX(Assy.Model!$AO$9:$AO$150,MATCH('SN#.Run#'!$M97,Assy.Model!$M$9:$M$150,0)))</f>
        <v/>
      </c>
      <c r="BC97" s="619" t="str">
        <f>IF($M97="","",AP97-INDEX(Assy.Model!$AP$9:$AP$150,MATCH('SN#.Run#'!$M97,Assy.Model!$M$9:$M$150,0)))</f>
        <v/>
      </c>
      <c r="BD97" s="419"/>
      <c r="BE97" s="699"/>
      <c r="BF97" s="417"/>
      <c r="BG97" s="417"/>
      <c r="BH97" s="417"/>
      <c r="IE97" s="790" t="str">
        <f>IFERROR(IF($IU97="","",IF($IU97&lt;(((Settings!$C$19/2)*-1)*$IE$8),"Taper","Nose")),"")</f>
        <v/>
      </c>
      <c r="IF97" s="482" t="str">
        <f>IFERROR(IF((((($IW97*COS(RADIANS(180-$IY97)))*COS(RADIANS($IY97)))-(($IX97*SIN(RADIANS(180-$IY97)))*SIN(RADIANS($IY97))))+$IU97)&lt;(((Settings!$C$19+$IF$8)/2)*-1),"Gage",""),"")</f>
        <v/>
      </c>
      <c r="IG97" s="788" t="str">
        <f t="shared" si="132"/>
        <v/>
      </c>
      <c r="IH97" s="674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677" t="str" cm="1">
        <f t="array" ref="II97">IFERROR(IF($IH97&lt;1,$IH97+LARGE((IF($M$9:$M$150="",0,$M$9:$M$150)-MOD(IF($M$9:$M$150="",0,$M$9:$M$150),1)),1),$IH97),"")</f>
        <v/>
      </c>
      <c r="IJ97" s="482" t="str">
        <f t="shared" si="131"/>
        <v/>
      </c>
      <c r="IK97" s="482" t="str">
        <f t="shared" si="117"/>
        <v/>
      </c>
      <c r="IL97" s="670" t="str">
        <f t="shared" si="134"/>
        <v/>
      </c>
      <c r="IM97" s="702"/>
      <c r="IN97" s="5" t="str">
        <f t="shared" si="135"/>
        <v/>
      </c>
      <c r="IO97" s="714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670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05" t="str">
        <f t="shared" si="143"/>
        <v/>
      </c>
    </row>
    <row r="98" spans="1:259" ht="15" customHeight="1" x14ac:dyDescent="0.25">
      <c r="A98" s="82"/>
      <c r="B98" s="578" t="str">
        <f t="shared" si="118"/>
        <v/>
      </c>
      <c r="C98" s="572" t="str">
        <f t="shared" si="119"/>
        <v/>
      </c>
      <c r="D98" s="576" t="str">
        <f t="shared" si="120"/>
        <v/>
      </c>
      <c r="E98" s="580" t="str">
        <f t="shared" si="121"/>
        <v/>
      </c>
      <c r="F98" s="572" t="str">
        <f t="shared" si="122"/>
        <v/>
      </c>
      <c r="G98" s="579" t="str">
        <f t="shared" si="123"/>
        <v/>
      </c>
      <c r="H98" s="580" t="str">
        <f t="shared" si="128"/>
        <v/>
      </c>
      <c r="I98" s="482"/>
      <c r="J98" s="483" t="str">
        <v/>
      </c>
      <c r="K98" s="806" t="str">
        <f t="shared" si="133"/>
        <v/>
      </c>
      <c r="M98" s="164" t="str">
        <f t="shared" si="88"/>
        <v/>
      </c>
      <c r="N98" s="575" t="str">
        <f t="shared" si="89"/>
        <v/>
      </c>
      <c r="O98" s="572" t="str">
        <f t="shared" si="90"/>
        <v/>
      </c>
      <c r="P98" s="576" t="str">
        <f t="shared" si="91"/>
        <v/>
      </c>
      <c r="Q98" s="528" t="str">
        <f t="shared" si="92"/>
        <v/>
      </c>
      <c r="R98" s="572" t="str">
        <f t="shared" si="93"/>
        <v/>
      </c>
      <c r="S98" s="577" t="str">
        <f t="shared" si="94"/>
        <v/>
      </c>
      <c r="T98" s="578" t="str">
        <f t="shared" si="95"/>
        <v/>
      </c>
      <c r="U98" s="572" t="str">
        <f t="shared" si="96"/>
        <v/>
      </c>
      <c r="V98" s="579" t="str">
        <f t="shared" si="97"/>
        <v/>
      </c>
      <c r="W98" s="528" t="str">
        <f t="shared" si="98"/>
        <v/>
      </c>
      <c r="X98" s="572" t="str">
        <f t="shared" si="99"/>
        <v/>
      </c>
      <c r="Y98" s="573" t="str">
        <f t="shared" si="124"/>
        <v/>
      </c>
      <c r="Z98" s="575" t="str">
        <f t="shared" si="100"/>
        <v/>
      </c>
      <c r="AA98" s="572" t="str">
        <f t="shared" si="101"/>
        <v/>
      </c>
      <c r="AB98" s="572" t="str">
        <f t="shared" si="102"/>
        <v/>
      </c>
      <c r="AC98" s="579" t="str">
        <f t="shared" si="103"/>
        <v/>
      </c>
      <c r="AD98" s="580" t="str">
        <f t="shared" si="104"/>
        <v/>
      </c>
      <c r="AE98" s="572" t="str">
        <f t="shared" si="105"/>
        <v/>
      </c>
      <c r="AF98" s="576" t="str">
        <f t="shared" si="106"/>
        <v/>
      </c>
      <c r="AG98" s="545" t="str">
        <f t="shared" si="107"/>
        <v/>
      </c>
      <c r="AH98" s="546" t="str">
        <f t="shared" si="108"/>
        <v/>
      </c>
      <c r="AI98" s="528" t="str">
        <f t="shared" si="109"/>
        <v/>
      </c>
      <c r="AJ98" s="529" t="str">
        <f t="shared" si="110"/>
        <v/>
      </c>
      <c r="AK98" s="578" t="str">
        <f t="shared" si="111"/>
        <v/>
      </c>
      <c r="AL98" s="572" t="str">
        <f t="shared" si="112"/>
        <v/>
      </c>
      <c r="AM98" s="577" t="str">
        <f t="shared" si="113"/>
        <v/>
      </c>
      <c r="AN98" s="524" t="str">
        <f t="shared" si="86"/>
        <v/>
      </c>
      <c r="AO98" s="525" t="str">
        <f t="shared" si="125"/>
        <v/>
      </c>
      <c r="AP98" s="528" t="str">
        <f t="shared" si="114"/>
        <v/>
      </c>
      <c r="AQ98" s="529" t="str">
        <f t="shared" si="129"/>
        <v/>
      </c>
      <c r="AS98" s="598" t="str">
        <f t="shared" si="115"/>
        <v/>
      </c>
      <c r="AT98" s="602" t="str">
        <f t="shared" si="130"/>
        <v/>
      </c>
      <c r="AU98" s="515" t="str">
        <f t="shared" si="87"/>
        <v/>
      </c>
      <c r="AV98" s="164" t="str">
        <f t="shared" si="116"/>
        <v/>
      </c>
      <c r="AW98" s="545" t="str">
        <f>IF($M98="","",W98-INDEX(Assy.Model!$W$9:$W$150,MATCH('SN#.Run#'!$M98,Assy.Model!$M$9:$M$150,0)))</f>
        <v/>
      </c>
      <c r="AX98" s="628" t="str">
        <f>IF($M98="","",X98-INDEX(Assy.Model!$X$9:$X$150,MATCH('SN#.Run#'!$M98,Assy.Model!$M$9:$M$150,0)))</f>
        <v/>
      </c>
      <c r="AY98" s="629" t="str">
        <f>IF($M98="","",Y98-INDEX(Assy.Model!$Y$9:$Y$150,MATCH('SN#.Run#'!$M98,Assy.Model!$M$9:$M$150,0)))</f>
        <v/>
      </c>
      <c r="AZ98" s="602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10" t="str">
        <f>IF($M98="","",AN98-INDEX(Assy.Model!$AN$9:$AN$150,MATCH('SN#.Run#'!$M98,Assy.Model!$M$9:$M$150,0)))</f>
        <v/>
      </c>
      <c r="BB98" s="525" t="str">
        <f>IF($M98="","",AO98-INDEX(Assy.Model!$AO$9:$AO$150,MATCH('SN#.Run#'!$M98,Assy.Model!$M$9:$M$150,0)))</f>
        <v/>
      </c>
      <c r="BC98" s="619" t="str">
        <f>IF($M98="","",AP98-INDEX(Assy.Model!$AP$9:$AP$150,MATCH('SN#.Run#'!$M98,Assy.Model!$M$9:$M$150,0)))</f>
        <v/>
      </c>
      <c r="BD98" s="419"/>
      <c r="BE98" s="699"/>
      <c r="BF98" s="417"/>
      <c r="BG98" s="417"/>
      <c r="BH98" s="417"/>
      <c r="IE98" s="790" t="str">
        <f>IFERROR(IF($IU98="","",IF($IU98&lt;(((Settings!$C$19/2)*-1)*$IE$8),"Taper","Nose")),"")</f>
        <v/>
      </c>
      <c r="IF98" s="482" t="str">
        <f>IFERROR(IF((((($IW98*COS(RADIANS(180-$IY98)))*COS(RADIANS($IY98)))-(($IX98*SIN(RADIANS(180-$IY98)))*SIN(RADIANS($IY98))))+$IU98)&lt;(((Settings!$C$19+$IF$8)/2)*-1),"Gage",""),"")</f>
        <v/>
      </c>
      <c r="IG98" s="788" t="str">
        <f t="shared" si="132"/>
        <v/>
      </c>
      <c r="IH98" s="674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677" t="str" cm="1">
        <f t="array" ref="II98">IFERROR(IF($IH98&lt;1,$IH98+LARGE((IF($M$9:$M$150="",0,$M$9:$M$150)-MOD(IF($M$9:$M$150="",0,$M$9:$M$150),1)),1),$IH98),"")</f>
        <v/>
      </c>
      <c r="IJ98" s="482" t="str">
        <f t="shared" si="131"/>
        <v/>
      </c>
      <c r="IK98" s="482" t="str">
        <f t="shared" si="117"/>
        <v/>
      </c>
      <c r="IL98" s="670" t="str">
        <f t="shared" si="134"/>
        <v/>
      </c>
      <c r="IM98" s="702"/>
      <c r="IN98" s="5" t="str">
        <f t="shared" si="135"/>
        <v/>
      </c>
      <c r="IO98" s="714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670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05" t="str">
        <f t="shared" si="143"/>
        <v/>
      </c>
    </row>
    <row r="99" spans="1:259" ht="15" customHeight="1" x14ac:dyDescent="0.25">
      <c r="A99" s="82"/>
      <c r="B99" s="578" t="str">
        <f t="shared" si="118"/>
        <v/>
      </c>
      <c r="C99" s="572" t="str">
        <f t="shared" si="119"/>
        <v/>
      </c>
      <c r="D99" s="576" t="str">
        <f t="shared" si="120"/>
        <v/>
      </c>
      <c r="E99" s="580" t="str">
        <f t="shared" si="121"/>
        <v/>
      </c>
      <c r="F99" s="572" t="str">
        <f t="shared" si="122"/>
        <v/>
      </c>
      <c r="G99" s="579" t="str">
        <f t="shared" si="123"/>
        <v/>
      </c>
      <c r="H99" s="580" t="str">
        <f t="shared" si="128"/>
        <v/>
      </c>
      <c r="I99" s="482"/>
      <c r="J99" s="483" t="str">
        <v/>
      </c>
      <c r="K99" s="806" t="str">
        <f t="shared" si="133"/>
        <v/>
      </c>
      <c r="M99" s="164" t="str">
        <f t="shared" si="88"/>
        <v/>
      </c>
      <c r="N99" s="575" t="str">
        <f t="shared" si="89"/>
        <v/>
      </c>
      <c r="O99" s="572" t="str">
        <f t="shared" si="90"/>
        <v/>
      </c>
      <c r="P99" s="576" t="str">
        <f t="shared" si="91"/>
        <v/>
      </c>
      <c r="Q99" s="528" t="str">
        <f t="shared" si="92"/>
        <v/>
      </c>
      <c r="R99" s="572" t="str">
        <f t="shared" si="93"/>
        <v/>
      </c>
      <c r="S99" s="577" t="str">
        <f t="shared" si="94"/>
        <v/>
      </c>
      <c r="T99" s="578" t="str">
        <f t="shared" si="95"/>
        <v/>
      </c>
      <c r="U99" s="572" t="str">
        <f t="shared" si="96"/>
        <v/>
      </c>
      <c r="V99" s="579" t="str">
        <f t="shared" si="97"/>
        <v/>
      </c>
      <c r="W99" s="528" t="str">
        <f t="shared" si="98"/>
        <v/>
      </c>
      <c r="X99" s="572" t="str">
        <f t="shared" si="99"/>
        <v/>
      </c>
      <c r="Y99" s="573" t="str">
        <f t="shared" si="124"/>
        <v/>
      </c>
      <c r="Z99" s="575" t="str">
        <f t="shared" si="100"/>
        <v/>
      </c>
      <c r="AA99" s="572" t="str">
        <f t="shared" si="101"/>
        <v/>
      </c>
      <c r="AB99" s="572" t="str">
        <f t="shared" si="102"/>
        <v/>
      </c>
      <c r="AC99" s="579" t="str">
        <f t="shared" si="103"/>
        <v/>
      </c>
      <c r="AD99" s="580" t="str">
        <f t="shared" si="104"/>
        <v/>
      </c>
      <c r="AE99" s="572" t="str">
        <f t="shared" si="105"/>
        <v/>
      </c>
      <c r="AF99" s="576" t="str">
        <f t="shared" si="106"/>
        <v/>
      </c>
      <c r="AG99" s="545" t="str">
        <f t="shared" si="107"/>
        <v/>
      </c>
      <c r="AH99" s="546" t="str">
        <f t="shared" si="108"/>
        <v/>
      </c>
      <c r="AI99" s="528" t="str">
        <f t="shared" si="109"/>
        <v/>
      </c>
      <c r="AJ99" s="529" t="str">
        <f t="shared" si="110"/>
        <v/>
      </c>
      <c r="AK99" s="578" t="str">
        <f t="shared" si="111"/>
        <v/>
      </c>
      <c r="AL99" s="572" t="str">
        <f t="shared" si="112"/>
        <v/>
      </c>
      <c r="AM99" s="577" t="str">
        <f t="shared" si="113"/>
        <v/>
      </c>
      <c r="AN99" s="524" t="str">
        <f t="shared" si="86"/>
        <v/>
      </c>
      <c r="AO99" s="525" t="str">
        <f t="shared" si="125"/>
        <v/>
      </c>
      <c r="AP99" s="528" t="str">
        <f t="shared" si="114"/>
        <v/>
      </c>
      <c r="AQ99" s="529" t="str">
        <f t="shared" si="129"/>
        <v/>
      </c>
      <c r="AS99" s="598" t="str">
        <f t="shared" si="115"/>
        <v/>
      </c>
      <c r="AT99" s="602" t="str">
        <f t="shared" si="130"/>
        <v/>
      </c>
      <c r="AU99" s="515" t="str">
        <f t="shared" si="87"/>
        <v/>
      </c>
      <c r="AV99" s="164" t="str">
        <f t="shared" si="116"/>
        <v/>
      </c>
      <c r="AW99" s="545" t="str">
        <f>IF($M99="","",W99-INDEX(Assy.Model!$W$9:$W$150,MATCH('SN#.Run#'!$M99,Assy.Model!$M$9:$M$150,0)))</f>
        <v/>
      </c>
      <c r="AX99" s="628" t="str">
        <f>IF($M99="","",X99-INDEX(Assy.Model!$X$9:$X$150,MATCH('SN#.Run#'!$M99,Assy.Model!$M$9:$M$150,0)))</f>
        <v/>
      </c>
      <c r="AY99" s="629" t="str">
        <f>IF($M99="","",Y99-INDEX(Assy.Model!$Y$9:$Y$150,MATCH('SN#.Run#'!$M99,Assy.Model!$M$9:$M$150,0)))</f>
        <v/>
      </c>
      <c r="AZ99" s="602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10" t="str">
        <f>IF($M99="","",AN99-INDEX(Assy.Model!$AN$9:$AN$150,MATCH('SN#.Run#'!$M99,Assy.Model!$M$9:$M$150,0)))</f>
        <v/>
      </c>
      <c r="BB99" s="525" t="str">
        <f>IF($M99="","",AO99-INDEX(Assy.Model!$AO$9:$AO$150,MATCH('SN#.Run#'!$M99,Assy.Model!$M$9:$M$150,0)))</f>
        <v/>
      </c>
      <c r="BC99" s="619" t="str">
        <f>IF($M99="","",AP99-INDEX(Assy.Model!$AP$9:$AP$150,MATCH('SN#.Run#'!$M99,Assy.Model!$M$9:$M$150,0)))</f>
        <v/>
      </c>
      <c r="BD99" s="419"/>
      <c r="BE99" s="699"/>
      <c r="BF99" s="417"/>
      <c r="BG99" s="417"/>
      <c r="BH99" s="417"/>
      <c r="BI99" s="1"/>
      <c r="IE99" s="790" t="str">
        <f>IFERROR(IF($IU99="","",IF($IU99&lt;(((Settings!$C$19/2)*-1)*$IE$8),"Taper","Nose")),"")</f>
        <v/>
      </c>
      <c r="IF99" s="482" t="str">
        <f>IFERROR(IF((((($IW99*COS(RADIANS(180-$IY99)))*COS(RADIANS($IY99)))-(($IX99*SIN(RADIANS(180-$IY99)))*SIN(RADIANS($IY99))))+$IU99)&lt;(((Settings!$C$19+$IF$8)/2)*-1),"Gage",""),"")</f>
        <v/>
      </c>
      <c r="IG99" s="788" t="str">
        <f t="shared" si="132"/>
        <v/>
      </c>
      <c r="IH99" s="674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677" t="str" cm="1">
        <f t="array" ref="II99">IFERROR(IF($IH99&lt;1,$IH99+LARGE((IF($M$9:$M$150="",0,$M$9:$M$150)-MOD(IF($M$9:$M$150="",0,$M$9:$M$150),1)),1),$IH99),"")</f>
        <v/>
      </c>
      <c r="IJ99" s="482" t="str">
        <f t="shared" si="131"/>
        <v/>
      </c>
      <c r="IK99" s="482" t="str">
        <f t="shared" si="117"/>
        <v/>
      </c>
      <c r="IL99" s="670" t="str">
        <f t="shared" si="134"/>
        <v/>
      </c>
      <c r="IM99" s="702"/>
      <c r="IN99" s="5" t="str">
        <f t="shared" si="135"/>
        <v/>
      </c>
      <c r="IO99" s="714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670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05" t="str">
        <f t="shared" si="143"/>
        <v/>
      </c>
    </row>
    <row r="100" spans="1:259" ht="15" customHeight="1" x14ac:dyDescent="0.25">
      <c r="A100" s="82"/>
      <c r="B100" s="578" t="str">
        <f t="shared" si="118"/>
        <v/>
      </c>
      <c r="C100" s="572" t="str">
        <f t="shared" si="119"/>
        <v/>
      </c>
      <c r="D100" s="576" t="str">
        <f t="shared" si="120"/>
        <v/>
      </c>
      <c r="E100" s="580" t="str">
        <f t="shared" si="121"/>
        <v/>
      </c>
      <c r="F100" s="572" t="str">
        <f t="shared" si="122"/>
        <v/>
      </c>
      <c r="G100" s="579" t="str">
        <f t="shared" si="123"/>
        <v/>
      </c>
      <c r="H100" s="580" t="str">
        <f t="shared" si="128"/>
        <v/>
      </c>
      <c r="I100" s="482"/>
      <c r="J100" s="483" t="str">
        <v/>
      </c>
      <c r="K100" s="806" t="str">
        <f t="shared" si="133"/>
        <v/>
      </c>
      <c r="M100" s="164" t="str">
        <f t="shared" si="88"/>
        <v/>
      </c>
      <c r="N100" s="575" t="str">
        <f t="shared" si="89"/>
        <v/>
      </c>
      <c r="O100" s="572" t="str">
        <f t="shared" si="90"/>
        <v/>
      </c>
      <c r="P100" s="576" t="str">
        <f t="shared" si="91"/>
        <v/>
      </c>
      <c r="Q100" s="528" t="str">
        <f t="shared" si="92"/>
        <v/>
      </c>
      <c r="R100" s="572" t="str">
        <f t="shared" si="93"/>
        <v/>
      </c>
      <c r="S100" s="577" t="str">
        <f t="shared" si="94"/>
        <v/>
      </c>
      <c r="T100" s="578" t="str">
        <f t="shared" si="95"/>
        <v/>
      </c>
      <c r="U100" s="572" t="str">
        <f t="shared" si="96"/>
        <v/>
      </c>
      <c r="V100" s="579" t="str">
        <f t="shared" si="97"/>
        <v/>
      </c>
      <c r="W100" s="528" t="str">
        <f t="shared" si="98"/>
        <v/>
      </c>
      <c r="X100" s="572" t="str">
        <f t="shared" si="99"/>
        <v/>
      </c>
      <c r="Y100" s="573" t="str">
        <f t="shared" si="124"/>
        <v/>
      </c>
      <c r="Z100" s="575" t="str">
        <f t="shared" si="100"/>
        <v/>
      </c>
      <c r="AA100" s="572" t="str">
        <f t="shared" si="101"/>
        <v/>
      </c>
      <c r="AB100" s="572" t="str">
        <f t="shared" si="102"/>
        <v/>
      </c>
      <c r="AC100" s="579" t="str">
        <f t="shared" si="103"/>
        <v/>
      </c>
      <c r="AD100" s="580" t="str">
        <f t="shared" si="104"/>
        <v/>
      </c>
      <c r="AE100" s="572" t="str">
        <f t="shared" si="105"/>
        <v/>
      </c>
      <c r="AF100" s="576" t="str">
        <f t="shared" si="106"/>
        <v/>
      </c>
      <c r="AG100" s="545" t="str">
        <f t="shared" si="107"/>
        <v/>
      </c>
      <c r="AH100" s="546" t="str">
        <f t="shared" si="108"/>
        <v/>
      </c>
      <c r="AI100" s="528" t="str">
        <f t="shared" si="109"/>
        <v/>
      </c>
      <c r="AJ100" s="529" t="str">
        <f t="shared" si="110"/>
        <v/>
      </c>
      <c r="AK100" s="578" t="str">
        <f t="shared" si="111"/>
        <v/>
      </c>
      <c r="AL100" s="572" t="str">
        <f t="shared" si="112"/>
        <v/>
      </c>
      <c r="AM100" s="577" t="str">
        <f t="shared" si="113"/>
        <v/>
      </c>
      <c r="AN100" s="524" t="str">
        <f t="shared" si="86"/>
        <v/>
      </c>
      <c r="AO100" s="525" t="str">
        <f t="shared" si="125"/>
        <v/>
      </c>
      <c r="AP100" s="528" t="str">
        <f t="shared" si="114"/>
        <v/>
      </c>
      <c r="AQ100" s="529" t="str">
        <f t="shared" si="129"/>
        <v/>
      </c>
      <c r="AS100" s="598" t="str">
        <f t="shared" si="115"/>
        <v/>
      </c>
      <c r="AT100" s="602" t="str">
        <f t="shared" si="130"/>
        <v/>
      </c>
      <c r="AU100" s="515" t="str">
        <f t="shared" si="87"/>
        <v/>
      </c>
      <c r="AV100" s="164" t="str">
        <f t="shared" si="116"/>
        <v/>
      </c>
      <c r="AW100" s="545" t="str">
        <f>IF($M100="","",W100-INDEX(Assy.Model!$W$9:$W$150,MATCH('SN#.Run#'!$M100,Assy.Model!$M$9:$M$150,0)))</f>
        <v/>
      </c>
      <c r="AX100" s="628" t="str">
        <f>IF($M100="","",X100-INDEX(Assy.Model!$X$9:$X$150,MATCH('SN#.Run#'!$M100,Assy.Model!$M$9:$M$150,0)))</f>
        <v/>
      </c>
      <c r="AY100" s="629" t="str">
        <f>IF($M100="","",Y100-INDEX(Assy.Model!$Y$9:$Y$150,MATCH('SN#.Run#'!$M100,Assy.Model!$M$9:$M$150,0)))</f>
        <v/>
      </c>
      <c r="AZ100" s="602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10" t="str">
        <f>IF($M100="","",AN100-INDEX(Assy.Model!$AN$9:$AN$150,MATCH('SN#.Run#'!$M100,Assy.Model!$M$9:$M$150,0)))</f>
        <v/>
      </c>
      <c r="BB100" s="525" t="str">
        <f>IF($M100="","",AO100-INDEX(Assy.Model!$AO$9:$AO$150,MATCH('SN#.Run#'!$M100,Assy.Model!$M$9:$M$150,0)))</f>
        <v/>
      </c>
      <c r="BC100" s="619" t="str">
        <f>IF($M100="","",AP100-INDEX(Assy.Model!$AP$9:$AP$150,MATCH('SN#.Run#'!$M100,Assy.Model!$M$9:$M$150,0)))</f>
        <v/>
      </c>
      <c r="BD100" s="419"/>
      <c r="BE100" s="699"/>
      <c r="BF100" s="417"/>
      <c r="BG100" s="417"/>
      <c r="BH100" s="417"/>
      <c r="IE100" s="790" t="str">
        <f>IFERROR(IF($IU100="","",IF($IU100&lt;(((Settings!$C$19/2)*-1)*$IE$8),"Taper","Nose")),"")</f>
        <v/>
      </c>
      <c r="IF100" s="482" t="str">
        <f>IFERROR(IF((((($IW100*COS(RADIANS(180-$IY100)))*COS(RADIANS($IY100)))-(($IX100*SIN(RADIANS(180-$IY100)))*SIN(RADIANS($IY100))))+$IU100)&lt;(((Settings!$C$19+$IF$8)/2)*-1),"Gage",""),"")</f>
        <v/>
      </c>
      <c r="IG100" s="788" t="str">
        <f t="shared" si="132"/>
        <v/>
      </c>
      <c r="IH100" s="674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677" t="str" cm="1">
        <f t="array" ref="II100">IFERROR(IF($IH100&lt;1,$IH100+LARGE((IF($M$9:$M$150="",0,$M$9:$M$150)-MOD(IF($M$9:$M$150="",0,$M$9:$M$150),1)),1),$IH100),"")</f>
        <v/>
      </c>
      <c r="IJ100" s="482" t="str">
        <f t="shared" si="131"/>
        <v/>
      </c>
      <c r="IK100" s="482" t="str">
        <f t="shared" si="117"/>
        <v/>
      </c>
      <c r="IL100" s="670" t="str">
        <f t="shared" si="134"/>
        <v/>
      </c>
      <c r="IM100" s="702"/>
      <c r="IN100" s="5" t="str">
        <f t="shared" si="135"/>
        <v/>
      </c>
      <c r="IO100" s="714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670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05" t="str">
        <f t="shared" si="143"/>
        <v/>
      </c>
    </row>
    <row r="101" spans="1:259" ht="15" customHeight="1" x14ac:dyDescent="0.25">
      <c r="A101" s="82"/>
      <c r="B101" s="578" t="str">
        <f t="shared" si="118"/>
        <v/>
      </c>
      <c r="C101" s="572" t="str">
        <f t="shared" si="119"/>
        <v/>
      </c>
      <c r="D101" s="576" t="str">
        <f t="shared" si="120"/>
        <v/>
      </c>
      <c r="E101" s="580" t="str">
        <f t="shared" si="121"/>
        <v/>
      </c>
      <c r="F101" s="572" t="str">
        <f t="shared" si="122"/>
        <v/>
      </c>
      <c r="G101" s="579" t="str">
        <f t="shared" si="123"/>
        <v/>
      </c>
      <c r="H101" s="580" t="str">
        <f t="shared" si="128"/>
        <v/>
      </c>
      <c r="I101" s="482"/>
      <c r="J101" s="483" t="str">
        <v/>
      </c>
      <c r="K101" s="806" t="str">
        <f t="shared" si="133"/>
        <v/>
      </c>
      <c r="M101" s="164" t="str">
        <f t="shared" si="88"/>
        <v/>
      </c>
      <c r="N101" s="575" t="str">
        <f t="shared" si="89"/>
        <v/>
      </c>
      <c r="O101" s="572" t="str">
        <f t="shared" si="90"/>
        <v/>
      </c>
      <c r="P101" s="576" t="str">
        <f t="shared" si="91"/>
        <v/>
      </c>
      <c r="Q101" s="528" t="str">
        <f t="shared" si="92"/>
        <v/>
      </c>
      <c r="R101" s="572" t="str">
        <f t="shared" si="93"/>
        <v/>
      </c>
      <c r="S101" s="577" t="str">
        <f t="shared" si="94"/>
        <v/>
      </c>
      <c r="T101" s="578" t="str">
        <f t="shared" si="95"/>
        <v/>
      </c>
      <c r="U101" s="572" t="str">
        <f t="shared" si="96"/>
        <v/>
      </c>
      <c r="V101" s="579" t="str">
        <f t="shared" si="97"/>
        <v/>
      </c>
      <c r="W101" s="528" t="str">
        <f t="shared" si="98"/>
        <v/>
      </c>
      <c r="X101" s="572" t="str">
        <f t="shared" si="99"/>
        <v/>
      </c>
      <c r="Y101" s="573" t="str">
        <f t="shared" si="124"/>
        <v/>
      </c>
      <c r="Z101" s="575" t="str">
        <f t="shared" si="100"/>
        <v/>
      </c>
      <c r="AA101" s="572" t="str">
        <f t="shared" si="101"/>
        <v/>
      </c>
      <c r="AB101" s="572" t="str">
        <f t="shared" si="102"/>
        <v/>
      </c>
      <c r="AC101" s="579" t="str">
        <f t="shared" si="103"/>
        <v/>
      </c>
      <c r="AD101" s="580" t="str">
        <f t="shared" si="104"/>
        <v/>
      </c>
      <c r="AE101" s="572" t="str">
        <f t="shared" si="105"/>
        <v/>
      </c>
      <c r="AF101" s="576" t="str">
        <f t="shared" si="106"/>
        <v/>
      </c>
      <c r="AG101" s="545" t="str">
        <f t="shared" si="107"/>
        <v/>
      </c>
      <c r="AH101" s="546" t="str">
        <f t="shared" si="108"/>
        <v/>
      </c>
      <c r="AI101" s="528" t="str">
        <f t="shared" si="109"/>
        <v/>
      </c>
      <c r="AJ101" s="529" t="str">
        <f t="shared" si="110"/>
        <v/>
      </c>
      <c r="AK101" s="578" t="str">
        <f t="shared" si="111"/>
        <v/>
      </c>
      <c r="AL101" s="572" t="str">
        <f t="shared" si="112"/>
        <v/>
      </c>
      <c r="AM101" s="577" t="str">
        <f t="shared" si="113"/>
        <v/>
      </c>
      <c r="AN101" s="524" t="str">
        <f t="shared" si="86"/>
        <v/>
      </c>
      <c r="AO101" s="525" t="str">
        <f t="shared" si="125"/>
        <v/>
      </c>
      <c r="AP101" s="528" t="str">
        <f t="shared" si="114"/>
        <v/>
      </c>
      <c r="AQ101" s="529" t="str">
        <f t="shared" si="129"/>
        <v/>
      </c>
      <c r="AS101" s="598" t="str">
        <f t="shared" si="115"/>
        <v/>
      </c>
      <c r="AT101" s="602" t="str">
        <f t="shared" si="130"/>
        <v/>
      </c>
      <c r="AU101" s="515" t="str">
        <f t="shared" si="87"/>
        <v/>
      </c>
      <c r="AV101" s="164" t="str">
        <f t="shared" si="116"/>
        <v/>
      </c>
      <c r="AW101" s="545" t="str">
        <f>IF($M101="","",W101-INDEX(Assy.Model!$W$9:$W$150,MATCH('SN#.Run#'!$M101,Assy.Model!$M$9:$M$150,0)))</f>
        <v/>
      </c>
      <c r="AX101" s="628" t="str">
        <f>IF($M101="","",X101-INDEX(Assy.Model!$X$9:$X$150,MATCH('SN#.Run#'!$M101,Assy.Model!$M$9:$M$150,0)))</f>
        <v/>
      </c>
      <c r="AY101" s="629" t="str">
        <f>IF($M101="","",Y101-INDEX(Assy.Model!$Y$9:$Y$150,MATCH('SN#.Run#'!$M101,Assy.Model!$M$9:$M$150,0)))</f>
        <v/>
      </c>
      <c r="AZ101" s="602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10" t="str">
        <f>IF($M101="","",AN101-INDEX(Assy.Model!$AN$9:$AN$150,MATCH('SN#.Run#'!$M101,Assy.Model!$M$9:$M$150,0)))</f>
        <v/>
      </c>
      <c r="BB101" s="525" t="str">
        <f>IF($M101="","",AO101-INDEX(Assy.Model!$AO$9:$AO$150,MATCH('SN#.Run#'!$M101,Assy.Model!$M$9:$M$150,0)))</f>
        <v/>
      </c>
      <c r="BC101" s="619" t="str">
        <f>IF($M101="","",AP101-INDEX(Assy.Model!$AP$9:$AP$150,MATCH('SN#.Run#'!$M101,Assy.Model!$M$9:$M$150,0)))</f>
        <v/>
      </c>
      <c r="BD101" s="419"/>
      <c r="BE101" s="699"/>
      <c r="BF101" s="417"/>
      <c r="BG101" s="417"/>
      <c r="BH101" s="417"/>
      <c r="IE101" s="790" t="str">
        <f>IFERROR(IF($IU101="","",IF($IU101&lt;(((Settings!$C$19/2)*-1)*$IE$8),"Taper","Nose")),"")</f>
        <v/>
      </c>
      <c r="IF101" s="482" t="str">
        <f>IFERROR(IF((((($IW101*COS(RADIANS(180-$IY101)))*COS(RADIANS($IY101)))-(($IX101*SIN(RADIANS(180-$IY101)))*SIN(RADIANS($IY101))))+$IU101)&lt;(((Settings!$C$19+$IF$8)/2)*-1),"Gage",""),"")</f>
        <v/>
      </c>
      <c r="IG101" s="788" t="str">
        <f t="shared" si="132"/>
        <v/>
      </c>
      <c r="IH101" s="674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677" t="str" cm="1">
        <f t="array" ref="II101">IFERROR(IF($IH101&lt;1,$IH101+LARGE((IF($M$9:$M$150="",0,$M$9:$M$150)-MOD(IF($M$9:$M$150="",0,$M$9:$M$150),1)),1),$IH101),"")</f>
        <v/>
      </c>
      <c r="IJ101" s="482" t="str">
        <f t="shared" si="131"/>
        <v/>
      </c>
      <c r="IK101" s="482" t="str">
        <f t="shared" si="117"/>
        <v/>
      </c>
      <c r="IL101" s="670" t="str">
        <f t="shared" si="134"/>
        <v/>
      </c>
      <c r="IM101" s="702"/>
      <c r="IN101" s="5" t="str">
        <f t="shared" si="135"/>
        <v/>
      </c>
      <c r="IO101" s="714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670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05" t="str">
        <f t="shared" si="143"/>
        <v/>
      </c>
    </row>
    <row r="102" spans="1:259" ht="15" customHeight="1" x14ac:dyDescent="0.25">
      <c r="A102" s="82"/>
      <c r="B102" s="578" t="str">
        <f t="shared" si="118"/>
        <v/>
      </c>
      <c r="C102" s="572" t="str">
        <f t="shared" si="119"/>
        <v/>
      </c>
      <c r="D102" s="576" t="str">
        <f t="shared" si="120"/>
        <v/>
      </c>
      <c r="E102" s="580" t="str">
        <f t="shared" si="121"/>
        <v/>
      </c>
      <c r="F102" s="572" t="str">
        <f t="shared" si="122"/>
        <v/>
      </c>
      <c r="G102" s="579" t="str">
        <f t="shared" si="123"/>
        <v/>
      </c>
      <c r="H102" s="580" t="str">
        <f t="shared" si="128"/>
        <v/>
      </c>
      <c r="I102" s="482"/>
      <c r="J102" s="483" t="str">
        <v/>
      </c>
      <c r="K102" s="806" t="str">
        <f t="shared" si="133"/>
        <v/>
      </c>
      <c r="M102" s="164" t="str">
        <f t="shared" si="88"/>
        <v/>
      </c>
      <c r="N102" s="575" t="str">
        <f t="shared" si="89"/>
        <v/>
      </c>
      <c r="O102" s="572" t="str">
        <f t="shared" si="90"/>
        <v/>
      </c>
      <c r="P102" s="576" t="str">
        <f t="shared" si="91"/>
        <v/>
      </c>
      <c r="Q102" s="528" t="str">
        <f t="shared" si="92"/>
        <v/>
      </c>
      <c r="R102" s="572" t="str">
        <f t="shared" si="93"/>
        <v/>
      </c>
      <c r="S102" s="577" t="str">
        <f t="shared" si="94"/>
        <v/>
      </c>
      <c r="T102" s="578" t="str">
        <f t="shared" si="95"/>
        <v/>
      </c>
      <c r="U102" s="572" t="str">
        <f t="shared" si="96"/>
        <v/>
      </c>
      <c r="V102" s="579" t="str">
        <f t="shared" si="97"/>
        <v/>
      </c>
      <c r="W102" s="528" t="str">
        <f t="shared" si="98"/>
        <v/>
      </c>
      <c r="X102" s="572" t="str">
        <f t="shared" si="99"/>
        <v/>
      </c>
      <c r="Y102" s="573" t="str">
        <f t="shared" si="124"/>
        <v/>
      </c>
      <c r="Z102" s="575" t="str">
        <f t="shared" si="100"/>
        <v/>
      </c>
      <c r="AA102" s="572" t="str">
        <f t="shared" si="101"/>
        <v/>
      </c>
      <c r="AB102" s="572" t="str">
        <f t="shared" si="102"/>
        <v/>
      </c>
      <c r="AC102" s="579" t="str">
        <f t="shared" si="103"/>
        <v/>
      </c>
      <c r="AD102" s="580" t="str">
        <f t="shared" si="104"/>
        <v/>
      </c>
      <c r="AE102" s="572" t="str">
        <f t="shared" si="105"/>
        <v/>
      </c>
      <c r="AF102" s="576" t="str">
        <f t="shared" si="106"/>
        <v/>
      </c>
      <c r="AG102" s="545" t="str">
        <f t="shared" si="107"/>
        <v/>
      </c>
      <c r="AH102" s="546" t="str">
        <f t="shared" si="108"/>
        <v/>
      </c>
      <c r="AI102" s="528" t="str">
        <f t="shared" si="109"/>
        <v/>
      </c>
      <c r="AJ102" s="529" t="str">
        <f t="shared" si="110"/>
        <v/>
      </c>
      <c r="AK102" s="578" t="str">
        <f t="shared" si="111"/>
        <v/>
      </c>
      <c r="AL102" s="572" t="str">
        <f t="shared" si="112"/>
        <v/>
      </c>
      <c r="AM102" s="577" t="str">
        <f t="shared" si="113"/>
        <v/>
      </c>
      <c r="AN102" s="524" t="str">
        <f t="shared" si="86"/>
        <v/>
      </c>
      <c r="AO102" s="525" t="str">
        <f t="shared" si="125"/>
        <v/>
      </c>
      <c r="AP102" s="528" t="str">
        <f t="shared" si="114"/>
        <v/>
      </c>
      <c r="AQ102" s="529" t="str">
        <f t="shared" si="129"/>
        <v/>
      </c>
      <c r="AS102" s="598" t="str">
        <f t="shared" si="115"/>
        <v/>
      </c>
      <c r="AT102" s="602" t="str">
        <f t="shared" si="130"/>
        <v/>
      </c>
      <c r="AU102" s="515" t="str">
        <f t="shared" si="87"/>
        <v/>
      </c>
      <c r="AV102" s="164" t="str">
        <f t="shared" si="116"/>
        <v/>
      </c>
      <c r="AW102" s="545" t="str">
        <f>IF($M102="","",W102-INDEX(Assy.Model!$W$9:$W$150,MATCH('SN#.Run#'!$M102,Assy.Model!$M$9:$M$150,0)))</f>
        <v/>
      </c>
      <c r="AX102" s="628" t="str">
        <f>IF($M102="","",X102-INDEX(Assy.Model!$X$9:$X$150,MATCH('SN#.Run#'!$M102,Assy.Model!$M$9:$M$150,0)))</f>
        <v/>
      </c>
      <c r="AY102" s="629" t="str">
        <f>IF($M102="","",Y102-INDEX(Assy.Model!$Y$9:$Y$150,MATCH('SN#.Run#'!$M102,Assy.Model!$M$9:$M$150,0)))</f>
        <v/>
      </c>
      <c r="AZ102" s="602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10" t="str">
        <f>IF($M102="","",AN102-INDEX(Assy.Model!$AN$9:$AN$150,MATCH('SN#.Run#'!$M102,Assy.Model!$M$9:$M$150,0)))</f>
        <v/>
      </c>
      <c r="BB102" s="525" t="str">
        <f>IF($M102="","",AO102-INDEX(Assy.Model!$AO$9:$AO$150,MATCH('SN#.Run#'!$M102,Assy.Model!$M$9:$M$150,0)))</f>
        <v/>
      </c>
      <c r="BC102" s="619" t="str">
        <f>IF($M102="","",AP102-INDEX(Assy.Model!$AP$9:$AP$150,MATCH('SN#.Run#'!$M102,Assy.Model!$M$9:$M$150,0)))</f>
        <v/>
      </c>
      <c r="BD102" s="419"/>
      <c r="BE102" s="699"/>
      <c r="BF102" s="417"/>
      <c r="BG102" s="417"/>
      <c r="BH102" s="417"/>
      <c r="IE102" s="790" t="str">
        <f>IFERROR(IF($IU102="","",IF($IU102&lt;(((Settings!$C$19/2)*-1)*$IE$8),"Taper","Nose")),"")</f>
        <v/>
      </c>
      <c r="IF102" s="482" t="str">
        <f>IFERROR(IF((((($IW102*COS(RADIANS(180-$IY102)))*COS(RADIANS($IY102)))-(($IX102*SIN(RADIANS(180-$IY102)))*SIN(RADIANS($IY102))))+$IU102)&lt;(((Settings!$C$19+$IF$8)/2)*-1),"Gage",""),"")</f>
        <v/>
      </c>
      <c r="IG102" s="788" t="str">
        <f t="shared" si="132"/>
        <v/>
      </c>
      <c r="IH102" s="674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677" t="str" cm="1">
        <f t="array" ref="II102">IFERROR(IF($IH102&lt;1,$IH102+LARGE((IF($M$9:$M$150="",0,$M$9:$M$150)-MOD(IF($M$9:$M$150="",0,$M$9:$M$150),1)),1),$IH102),"")</f>
        <v/>
      </c>
      <c r="IJ102" s="482" t="str">
        <f t="shared" si="131"/>
        <v/>
      </c>
      <c r="IK102" s="482" t="str">
        <f t="shared" si="117"/>
        <v/>
      </c>
      <c r="IL102" s="670" t="str">
        <f t="shared" si="134"/>
        <v/>
      </c>
      <c r="IM102" s="702"/>
      <c r="IN102" s="5" t="str">
        <f t="shared" si="135"/>
        <v/>
      </c>
      <c r="IO102" s="714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670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05" t="str">
        <f t="shared" si="143"/>
        <v/>
      </c>
    </row>
    <row r="103" spans="1:259" ht="15" customHeight="1" x14ac:dyDescent="0.25">
      <c r="A103" s="82"/>
      <c r="B103" s="578" t="str">
        <f t="shared" si="118"/>
        <v/>
      </c>
      <c r="C103" s="572" t="str">
        <f t="shared" si="119"/>
        <v/>
      </c>
      <c r="D103" s="576" t="str">
        <f t="shared" si="120"/>
        <v/>
      </c>
      <c r="E103" s="580" t="str">
        <f t="shared" si="121"/>
        <v/>
      </c>
      <c r="F103" s="572" t="str">
        <f t="shared" si="122"/>
        <v/>
      </c>
      <c r="G103" s="579" t="str">
        <f t="shared" si="123"/>
        <v/>
      </c>
      <c r="H103" s="580" t="str">
        <f t="shared" si="128"/>
        <v/>
      </c>
      <c r="I103" s="482"/>
      <c r="J103" s="483" t="str">
        <v/>
      </c>
      <c r="K103" s="806" t="str">
        <f t="shared" si="133"/>
        <v/>
      </c>
      <c r="M103" s="164" t="str">
        <f t="shared" si="88"/>
        <v/>
      </c>
      <c r="N103" s="575" t="str">
        <f t="shared" si="89"/>
        <v/>
      </c>
      <c r="O103" s="572" t="str">
        <f t="shared" si="90"/>
        <v/>
      </c>
      <c r="P103" s="576" t="str">
        <f t="shared" si="91"/>
        <v/>
      </c>
      <c r="Q103" s="528" t="str">
        <f t="shared" si="92"/>
        <v/>
      </c>
      <c r="R103" s="572" t="str">
        <f t="shared" si="93"/>
        <v/>
      </c>
      <c r="S103" s="577" t="str">
        <f t="shared" si="94"/>
        <v/>
      </c>
      <c r="T103" s="578" t="str">
        <f t="shared" si="95"/>
        <v/>
      </c>
      <c r="U103" s="572" t="str">
        <f t="shared" si="96"/>
        <v/>
      </c>
      <c r="V103" s="579" t="str">
        <f t="shared" si="97"/>
        <v/>
      </c>
      <c r="W103" s="528" t="str">
        <f t="shared" si="98"/>
        <v/>
      </c>
      <c r="X103" s="572" t="str">
        <f t="shared" si="99"/>
        <v/>
      </c>
      <c r="Y103" s="573" t="str">
        <f t="shared" si="124"/>
        <v/>
      </c>
      <c r="Z103" s="575" t="str">
        <f t="shared" si="100"/>
        <v/>
      </c>
      <c r="AA103" s="572" t="str">
        <f t="shared" si="101"/>
        <v/>
      </c>
      <c r="AB103" s="572" t="str">
        <f t="shared" si="102"/>
        <v/>
      </c>
      <c r="AC103" s="579" t="str">
        <f t="shared" si="103"/>
        <v/>
      </c>
      <c r="AD103" s="580" t="str">
        <f t="shared" si="104"/>
        <v/>
      </c>
      <c r="AE103" s="572" t="str">
        <f t="shared" si="105"/>
        <v/>
      </c>
      <c r="AF103" s="576" t="str">
        <f t="shared" si="106"/>
        <v/>
      </c>
      <c r="AG103" s="545" t="str">
        <f t="shared" si="107"/>
        <v/>
      </c>
      <c r="AH103" s="546" t="str">
        <f t="shared" si="108"/>
        <v/>
      </c>
      <c r="AI103" s="528" t="str">
        <f t="shared" si="109"/>
        <v/>
      </c>
      <c r="AJ103" s="529" t="str">
        <f t="shared" si="110"/>
        <v/>
      </c>
      <c r="AK103" s="578" t="str">
        <f t="shared" si="111"/>
        <v/>
      </c>
      <c r="AL103" s="572" t="str">
        <f t="shared" si="112"/>
        <v/>
      </c>
      <c r="AM103" s="577" t="str">
        <f t="shared" si="113"/>
        <v/>
      </c>
      <c r="AN103" s="524" t="str">
        <f t="shared" si="86"/>
        <v/>
      </c>
      <c r="AO103" s="525" t="str">
        <f t="shared" si="125"/>
        <v/>
      </c>
      <c r="AP103" s="528" t="str">
        <f t="shared" si="114"/>
        <v/>
      </c>
      <c r="AQ103" s="529" t="str">
        <f t="shared" si="129"/>
        <v/>
      </c>
      <c r="AS103" s="598" t="str">
        <f t="shared" si="115"/>
        <v/>
      </c>
      <c r="AT103" s="602" t="str">
        <f t="shared" si="130"/>
        <v/>
      </c>
      <c r="AU103" s="515" t="str">
        <f t="shared" si="87"/>
        <v/>
      </c>
      <c r="AV103" s="164" t="str">
        <f t="shared" si="116"/>
        <v/>
      </c>
      <c r="AW103" s="545" t="str">
        <f>IF($M103="","",W103-INDEX(Assy.Model!$W$9:$W$150,MATCH('SN#.Run#'!$M103,Assy.Model!$M$9:$M$150,0)))</f>
        <v/>
      </c>
      <c r="AX103" s="628" t="str">
        <f>IF($M103="","",X103-INDEX(Assy.Model!$X$9:$X$150,MATCH('SN#.Run#'!$M103,Assy.Model!$M$9:$M$150,0)))</f>
        <v/>
      </c>
      <c r="AY103" s="629" t="str">
        <f>IF($M103="","",Y103-INDEX(Assy.Model!$Y$9:$Y$150,MATCH('SN#.Run#'!$M103,Assy.Model!$M$9:$M$150,0)))</f>
        <v/>
      </c>
      <c r="AZ103" s="602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10" t="str">
        <f>IF($M103="","",AN103-INDEX(Assy.Model!$AN$9:$AN$150,MATCH('SN#.Run#'!$M103,Assy.Model!$M$9:$M$150,0)))</f>
        <v/>
      </c>
      <c r="BB103" s="525" t="str">
        <f>IF($M103="","",AO103-INDEX(Assy.Model!$AO$9:$AO$150,MATCH('SN#.Run#'!$M103,Assy.Model!$M$9:$M$150,0)))</f>
        <v/>
      </c>
      <c r="BC103" s="619" t="str">
        <f>IF($M103="","",AP103-INDEX(Assy.Model!$AP$9:$AP$150,MATCH('SN#.Run#'!$M103,Assy.Model!$M$9:$M$150,0)))</f>
        <v/>
      </c>
      <c r="BD103" s="419"/>
      <c r="BE103" s="699"/>
      <c r="BF103" s="417"/>
      <c r="BG103" s="417"/>
      <c r="BH103" s="417"/>
      <c r="IE103" s="790" t="str">
        <f>IFERROR(IF($IU103="","",IF($IU103&lt;(((Settings!$C$19/2)*-1)*$IE$8),"Taper","Nose")),"")</f>
        <v/>
      </c>
      <c r="IF103" s="482" t="str">
        <f>IFERROR(IF((((($IW103*COS(RADIANS(180-$IY103)))*COS(RADIANS($IY103)))-(($IX103*SIN(RADIANS(180-$IY103)))*SIN(RADIANS($IY103))))+$IU103)&lt;(((Settings!$C$19+$IF$8)/2)*-1),"Gage",""),"")</f>
        <v/>
      </c>
      <c r="IG103" s="788" t="str">
        <f t="shared" si="132"/>
        <v/>
      </c>
      <c r="IH103" s="674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677" t="str" cm="1">
        <f t="array" ref="II103">IFERROR(IF($IH103&lt;1,$IH103+LARGE((IF($M$9:$M$150="",0,$M$9:$M$150)-MOD(IF($M$9:$M$150="",0,$M$9:$M$150),1)),1),$IH103),"")</f>
        <v/>
      </c>
      <c r="IJ103" s="482" t="str">
        <f t="shared" si="131"/>
        <v/>
      </c>
      <c r="IK103" s="482" t="str">
        <f t="shared" si="117"/>
        <v/>
      </c>
      <c r="IL103" s="670" t="str">
        <f t="shared" si="134"/>
        <v/>
      </c>
      <c r="IM103" s="702"/>
      <c r="IN103" s="5" t="str">
        <f t="shared" si="135"/>
        <v/>
      </c>
      <c r="IO103" s="714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670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05" t="str">
        <f t="shared" si="143"/>
        <v/>
      </c>
    </row>
    <row r="104" spans="1:259" ht="15" customHeight="1" x14ac:dyDescent="0.25">
      <c r="A104" s="82"/>
      <c r="B104" s="578" t="str">
        <f t="shared" si="118"/>
        <v/>
      </c>
      <c r="C104" s="572" t="str">
        <f t="shared" si="119"/>
        <v/>
      </c>
      <c r="D104" s="576" t="str">
        <f t="shared" si="120"/>
        <v/>
      </c>
      <c r="E104" s="580" t="str">
        <f t="shared" si="121"/>
        <v/>
      </c>
      <c r="F104" s="572" t="str">
        <f t="shared" si="122"/>
        <v/>
      </c>
      <c r="G104" s="579" t="str">
        <f t="shared" si="123"/>
        <v/>
      </c>
      <c r="H104" s="580" t="str">
        <f t="shared" si="128"/>
        <v/>
      </c>
      <c r="I104" s="482"/>
      <c r="J104" s="483" t="str">
        <v/>
      </c>
      <c r="K104" s="806" t="str">
        <f t="shared" si="133"/>
        <v/>
      </c>
      <c r="M104" s="164" t="str">
        <f t="shared" si="88"/>
        <v/>
      </c>
      <c r="N104" s="575" t="str">
        <f t="shared" si="89"/>
        <v/>
      </c>
      <c r="O104" s="572" t="str">
        <f t="shared" si="90"/>
        <v/>
      </c>
      <c r="P104" s="576" t="str">
        <f t="shared" si="91"/>
        <v/>
      </c>
      <c r="Q104" s="528" t="str">
        <f t="shared" si="92"/>
        <v/>
      </c>
      <c r="R104" s="572" t="str">
        <f t="shared" si="93"/>
        <v/>
      </c>
      <c r="S104" s="577" t="str">
        <f t="shared" si="94"/>
        <v/>
      </c>
      <c r="T104" s="578" t="str">
        <f t="shared" si="95"/>
        <v/>
      </c>
      <c r="U104" s="572" t="str">
        <f t="shared" si="96"/>
        <v/>
      </c>
      <c r="V104" s="579" t="str">
        <f t="shared" si="97"/>
        <v/>
      </c>
      <c r="W104" s="528" t="str">
        <f t="shared" si="98"/>
        <v/>
      </c>
      <c r="X104" s="572" t="str">
        <f t="shared" si="99"/>
        <v/>
      </c>
      <c r="Y104" s="573" t="str">
        <f t="shared" si="124"/>
        <v/>
      </c>
      <c r="Z104" s="575" t="str">
        <f t="shared" si="100"/>
        <v/>
      </c>
      <c r="AA104" s="572" t="str">
        <f t="shared" si="101"/>
        <v/>
      </c>
      <c r="AB104" s="572" t="str">
        <f t="shared" si="102"/>
        <v/>
      </c>
      <c r="AC104" s="579" t="str">
        <f t="shared" si="103"/>
        <v/>
      </c>
      <c r="AD104" s="580" t="str">
        <f t="shared" si="104"/>
        <v/>
      </c>
      <c r="AE104" s="572" t="str">
        <f t="shared" si="105"/>
        <v/>
      </c>
      <c r="AF104" s="576" t="str">
        <f t="shared" si="106"/>
        <v/>
      </c>
      <c r="AG104" s="545" t="str">
        <f t="shared" si="107"/>
        <v/>
      </c>
      <c r="AH104" s="546" t="str">
        <f t="shared" si="108"/>
        <v/>
      </c>
      <c r="AI104" s="528" t="str">
        <f t="shared" si="109"/>
        <v/>
      </c>
      <c r="AJ104" s="529" t="str">
        <f t="shared" si="110"/>
        <v/>
      </c>
      <c r="AK104" s="578" t="str">
        <f t="shared" si="111"/>
        <v/>
      </c>
      <c r="AL104" s="572" t="str">
        <f t="shared" si="112"/>
        <v/>
      </c>
      <c r="AM104" s="577" t="str">
        <f t="shared" si="113"/>
        <v/>
      </c>
      <c r="AN104" s="524" t="str">
        <f t="shared" si="86"/>
        <v/>
      </c>
      <c r="AO104" s="525" t="str">
        <f t="shared" si="125"/>
        <v/>
      </c>
      <c r="AP104" s="528" t="str">
        <f t="shared" si="114"/>
        <v/>
      </c>
      <c r="AQ104" s="529" t="str">
        <f t="shared" si="129"/>
        <v/>
      </c>
      <c r="AS104" s="598" t="str">
        <f t="shared" si="115"/>
        <v/>
      </c>
      <c r="AT104" s="602" t="str">
        <f t="shared" si="130"/>
        <v/>
      </c>
      <c r="AU104" s="515" t="str">
        <f t="shared" si="87"/>
        <v/>
      </c>
      <c r="AV104" s="164" t="str">
        <f t="shared" si="116"/>
        <v/>
      </c>
      <c r="AW104" s="545" t="str">
        <f>IF($M104="","",W104-INDEX(Assy.Model!$W$9:$W$150,MATCH('SN#.Run#'!$M104,Assy.Model!$M$9:$M$150,0)))</f>
        <v/>
      </c>
      <c r="AX104" s="628" t="str">
        <f>IF($M104="","",X104-INDEX(Assy.Model!$X$9:$X$150,MATCH('SN#.Run#'!$M104,Assy.Model!$M$9:$M$150,0)))</f>
        <v/>
      </c>
      <c r="AY104" s="629" t="str">
        <f>IF($M104="","",Y104-INDEX(Assy.Model!$Y$9:$Y$150,MATCH('SN#.Run#'!$M104,Assy.Model!$M$9:$M$150,0)))</f>
        <v/>
      </c>
      <c r="AZ104" s="602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10" t="str">
        <f>IF($M104="","",AN104-INDEX(Assy.Model!$AN$9:$AN$150,MATCH('SN#.Run#'!$M104,Assy.Model!$M$9:$M$150,0)))</f>
        <v/>
      </c>
      <c r="BB104" s="525" t="str">
        <f>IF($M104="","",AO104-INDEX(Assy.Model!$AO$9:$AO$150,MATCH('SN#.Run#'!$M104,Assy.Model!$M$9:$M$150,0)))</f>
        <v/>
      </c>
      <c r="BC104" s="619" t="str">
        <f>IF($M104="","",AP104-INDEX(Assy.Model!$AP$9:$AP$150,MATCH('SN#.Run#'!$M104,Assy.Model!$M$9:$M$150,0)))</f>
        <v/>
      </c>
      <c r="BD104" s="419"/>
      <c r="BE104" s="699"/>
      <c r="BF104" s="417"/>
      <c r="BG104" s="417"/>
      <c r="BH104" s="417"/>
      <c r="IE104" s="790" t="str">
        <f>IFERROR(IF($IU104="","",IF($IU104&lt;(((Settings!$C$19/2)*-1)*$IE$8),"Taper","Nose")),"")</f>
        <v/>
      </c>
      <c r="IF104" s="482" t="str">
        <f>IFERROR(IF((((($IW104*COS(RADIANS(180-$IY104)))*COS(RADIANS($IY104)))-(($IX104*SIN(RADIANS(180-$IY104)))*SIN(RADIANS($IY104))))+$IU104)&lt;(((Settings!$C$19+$IF$8)/2)*-1),"Gage",""),"")</f>
        <v/>
      </c>
      <c r="IG104" s="788" t="str">
        <f t="shared" si="132"/>
        <v/>
      </c>
      <c r="IH104" s="674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677" t="str" cm="1">
        <f t="array" ref="II104">IFERROR(IF($IH104&lt;1,$IH104+LARGE((IF($M$9:$M$150="",0,$M$9:$M$150)-MOD(IF($M$9:$M$150="",0,$M$9:$M$150),1)),1),$IH104),"")</f>
        <v/>
      </c>
      <c r="IJ104" s="482" t="str">
        <f t="shared" si="131"/>
        <v/>
      </c>
      <c r="IK104" s="482" t="str">
        <f t="shared" si="117"/>
        <v/>
      </c>
      <c r="IL104" s="670" t="str">
        <f t="shared" si="134"/>
        <v/>
      </c>
      <c r="IM104" s="702"/>
      <c r="IN104" s="5" t="str">
        <f t="shared" si="135"/>
        <v/>
      </c>
      <c r="IO104" s="714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670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05" t="str">
        <f t="shared" si="143"/>
        <v/>
      </c>
    </row>
    <row r="105" spans="1:259" ht="15" customHeight="1" x14ac:dyDescent="0.25">
      <c r="A105" s="82"/>
      <c r="B105" s="578" t="str">
        <f t="shared" ref="B105:B136" si="144">INDEX(O$164:O$305,MATCH($M105,$M$164:$M$305,0))</f>
        <v/>
      </c>
      <c r="C105" s="572" t="str">
        <f t="shared" ref="C105:C136" si="145">INDEX(P$164:P$305,MATCH($M105,$M$164:$M$305,0))</f>
        <v/>
      </c>
      <c r="D105" s="576" t="str">
        <f t="shared" ref="D105:D136" si="146">INDEX(Q$164:Q$305,MATCH($M105,$M$164:$M$305,0))</f>
        <v/>
      </c>
      <c r="E105" s="580" t="str">
        <f t="shared" ref="E105:E136" si="147">INDEX(R$164:R$305,MATCH($M105,$M$164:$M$305,0))</f>
        <v/>
      </c>
      <c r="F105" s="572" t="str">
        <f t="shared" ref="F105:F136" si="148">INDEX(S$164:S$305,MATCH($M105,$M$164:$M$305,0))</f>
        <v/>
      </c>
      <c r="G105" s="579" t="str">
        <f t="shared" ref="G105:G136" si="149">INDEX(T$164:T$305,MATCH($M105,$M$164:$M$305,0))</f>
        <v/>
      </c>
      <c r="H105" s="580" t="str">
        <f t="shared" si="128"/>
        <v/>
      </c>
      <c r="I105" s="482"/>
      <c r="J105" s="483" t="str">
        <v/>
      </c>
      <c r="K105" s="806" t="str">
        <f t="shared" si="133"/>
        <v/>
      </c>
      <c r="M105" s="164" t="str">
        <f t="shared" si="88"/>
        <v/>
      </c>
      <c r="N105" s="575" t="str">
        <f t="shared" si="89"/>
        <v/>
      </c>
      <c r="O105" s="572" t="str">
        <f t="shared" si="90"/>
        <v/>
      </c>
      <c r="P105" s="576" t="str">
        <f t="shared" si="91"/>
        <v/>
      </c>
      <c r="Q105" s="528" t="str">
        <f t="shared" si="92"/>
        <v/>
      </c>
      <c r="R105" s="572" t="str">
        <f t="shared" si="93"/>
        <v/>
      </c>
      <c r="S105" s="577" t="str">
        <f t="shared" si="94"/>
        <v/>
      </c>
      <c r="T105" s="578" t="str">
        <f t="shared" si="95"/>
        <v/>
      </c>
      <c r="U105" s="572" t="str">
        <f t="shared" si="96"/>
        <v/>
      </c>
      <c r="V105" s="579" t="str">
        <f t="shared" si="97"/>
        <v/>
      </c>
      <c r="W105" s="528" t="str">
        <f t="shared" si="98"/>
        <v/>
      </c>
      <c r="X105" s="572" t="str">
        <f t="shared" si="99"/>
        <v/>
      </c>
      <c r="Y105" s="573" t="str">
        <f t="shared" ref="Y105:Y136" si="150">IF(M105="","",(S105-$S$8)+$X$1)</f>
        <v/>
      </c>
      <c r="Z105" s="575" t="str">
        <f t="shared" si="100"/>
        <v/>
      </c>
      <c r="AA105" s="572" t="str">
        <f t="shared" si="101"/>
        <v/>
      </c>
      <c r="AB105" s="572" t="str">
        <f t="shared" si="102"/>
        <v/>
      </c>
      <c r="AC105" s="579" t="str">
        <f t="shared" si="103"/>
        <v/>
      </c>
      <c r="AD105" s="580" t="str">
        <f t="shared" si="104"/>
        <v/>
      </c>
      <c r="AE105" s="572" t="str">
        <f t="shared" si="105"/>
        <v/>
      </c>
      <c r="AF105" s="576" t="str">
        <f t="shared" si="106"/>
        <v/>
      </c>
      <c r="AG105" s="545" t="str">
        <f t="shared" si="107"/>
        <v/>
      </c>
      <c r="AH105" s="546" t="str">
        <f t="shared" si="108"/>
        <v/>
      </c>
      <c r="AI105" s="528" t="str">
        <f t="shared" si="109"/>
        <v/>
      </c>
      <c r="AJ105" s="529" t="str">
        <f t="shared" si="110"/>
        <v/>
      </c>
      <c r="AK105" s="578" t="str">
        <f t="shared" si="111"/>
        <v/>
      </c>
      <c r="AL105" s="572" t="str">
        <f t="shared" si="112"/>
        <v/>
      </c>
      <c r="AM105" s="577" t="str">
        <f t="shared" si="113"/>
        <v/>
      </c>
      <c r="AN105" s="524" t="str">
        <f t="shared" ref="AN105:AN150" si="151">IF(M105="","",IF(K105="Knuckle",((DEGREES(ATAN2(AK105,AM105))+90)*-1),DEGREES(ATAN2(-AM105,AL105))))</f>
        <v/>
      </c>
      <c r="AO105" s="525" t="str">
        <f t="shared" si="125"/>
        <v/>
      </c>
      <c r="AP105" s="528" t="str">
        <f t="shared" si="114"/>
        <v/>
      </c>
      <c r="AQ105" s="529" t="str">
        <f t="shared" si="129"/>
        <v/>
      </c>
      <c r="AS105" s="598" t="str">
        <f t="shared" si="115"/>
        <v/>
      </c>
      <c r="AT105" s="602" t="str">
        <f t="shared" si="130"/>
        <v/>
      </c>
      <c r="AU105" s="515" t="str">
        <f t="shared" si="87"/>
        <v/>
      </c>
      <c r="AV105" s="164" t="str">
        <f t="shared" si="116"/>
        <v/>
      </c>
      <c r="AW105" s="545" t="str">
        <f>IF($M105="","",W105-INDEX(Assy.Model!$W$9:$W$150,MATCH('SN#.Run#'!$M105,Assy.Model!$M$9:$M$150,0)))</f>
        <v/>
      </c>
      <c r="AX105" s="628" t="str">
        <f>IF($M105="","",X105-INDEX(Assy.Model!$X$9:$X$150,MATCH('SN#.Run#'!$M105,Assy.Model!$M$9:$M$150,0)))</f>
        <v/>
      </c>
      <c r="AY105" s="629" t="str">
        <f>IF($M105="","",Y105-INDEX(Assy.Model!$Y$9:$Y$150,MATCH('SN#.Run#'!$M105,Assy.Model!$M$9:$M$150,0)))</f>
        <v/>
      </c>
      <c r="AZ105" s="602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10" t="str">
        <f>IF($M105="","",AN105-INDEX(Assy.Model!$AN$9:$AN$150,MATCH('SN#.Run#'!$M105,Assy.Model!$M$9:$M$150,0)))</f>
        <v/>
      </c>
      <c r="BB105" s="525" t="str">
        <f>IF($M105="","",AO105-INDEX(Assy.Model!$AO$9:$AO$150,MATCH('SN#.Run#'!$M105,Assy.Model!$M$9:$M$150,0)))</f>
        <v/>
      </c>
      <c r="BC105" s="619" t="str">
        <f>IF($M105="","",AP105-INDEX(Assy.Model!$AP$9:$AP$150,MATCH('SN#.Run#'!$M105,Assy.Model!$M$9:$M$150,0)))</f>
        <v/>
      </c>
      <c r="BD105" s="419"/>
      <c r="BE105" s="699"/>
      <c r="BF105" s="417"/>
      <c r="BG105" s="417"/>
      <c r="BH105" s="417"/>
      <c r="IE105" s="790" t="str">
        <f>IFERROR(IF($IU105="","",IF($IU105&lt;(((Settings!$C$19/2)*-1)*$IE$8),"Taper","Nose")),"")</f>
        <v/>
      </c>
      <c r="IF105" s="482" t="str">
        <f>IFERROR(IF((((($IW105*COS(RADIANS(180-$IY105)))*COS(RADIANS($IY105)))-(($IX105*SIN(RADIANS(180-$IY105)))*SIN(RADIANS($IY105))))+$IU105)&lt;(((Settings!$C$19+$IF$8)/2)*-1),"Gage",""),"")</f>
        <v/>
      </c>
      <c r="IG105" s="788" t="str">
        <f t="shared" si="132"/>
        <v/>
      </c>
      <c r="IH105" s="674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677" t="str" cm="1">
        <f t="array" ref="II105">IFERROR(IF($IH105&lt;1,$IH105+LARGE((IF($M$9:$M$150="",0,$M$9:$M$150)-MOD(IF($M$9:$M$150="",0,$M$9:$M$150),1)),1),$IH105),"")</f>
        <v/>
      </c>
      <c r="IJ105" s="482" t="str">
        <f t="shared" si="131"/>
        <v/>
      </c>
      <c r="IK105" s="482" t="str">
        <f t="shared" si="117"/>
        <v/>
      </c>
      <c r="IL105" s="670" t="str">
        <f t="shared" si="134"/>
        <v/>
      </c>
      <c r="IM105" s="702"/>
      <c r="IN105" s="5" t="str">
        <f t="shared" si="135"/>
        <v/>
      </c>
      <c r="IO105" s="714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670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05" t="str">
        <f t="shared" si="143"/>
        <v/>
      </c>
    </row>
    <row r="106" spans="1:259" ht="15" customHeight="1" x14ac:dyDescent="0.25">
      <c r="A106" s="82"/>
      <c r="B106" s="578" t="str">
        <f t="shared" si="144"/>
        <v/>
      </c>
      <c r="C106" s="572" t="str">
        <f t="shared" si="145"/>
        <v/>
      </c>
      <c r="D106" s="576" t="str">
        <f t="shared" si="146"/>
        <v/>
      </c>
      <c r="E106" s="580" t="str">
        <f t="shared" si="147"/>
        <v/>
      </c>
      <c r="F106" s="572" t="str">
        <f t="shared" si="148"/>
        <v/>
      </c>
      <c r="G106" s="579" t="str">
        <f t="shared" si="149"/>
        <v/>
      </c>
      <c r="H106" s="580" t="str">
        <f t="shared" si="128"/>
        <v/>
      </c>
      <c r="I106" s="482"/>
      <c r="J106" s="483" t="str">
        <v/>
      </c>
      <c r="K106" s="806" t="str">
        <f t="shared" si="133"/>
        <v/>
      </c>
      <c r="M106" s="164" t="str">
        <f t="shared" si="88"/>
        <v/>
      </c>
      <c r="N106" s="575" t="str">
        <f t="shared" si="89"/>
        <v/>
      </c>
      <c r="O106" s="572" t="str">
        <f t="shared" si="90"/>
        <v/>
      </c>
      <c r="P106" s="576" t="str">
        <f t="shared" si="91"/>
        <v/>
      </c>
      <c r="Q106" s="528" t="str">
        <f t="shared" si="92"/>
        <v/>
      </c>
      <c r="R106" s="572" t="str">
        <f t="shared" si="93"/>
        <v/>
      </c>
      <c r="S106" s="577" t="str">
        <f t="shared" si="94"/>
        <v/>
      </c>
      <c r="T106" s="578" t="str">
        <f t="shared" si="95"/>
        <v/>
      </c>
      <c r="U106" s="572" t="str">
        <f t="shared" si="96"/>
        <v/>
      </c>
      <c r="V106" s="579" t="str">
        <f t="shared" si="97"/>
        <v/>
      </c>
      <c r="W106" s="528" t="str">
        <f t="shared" si="98"/>
        <v/>
      </c>
      <c r="X106" s="572" t="str">
        <f t="shared" si="99"/>
        <v/>
      </c>
      <c r="Y106" s="573" t="str">
        <f t="shared" si="150"/>
        <v/>
      </c>
      <c r="Z106" s="575" t="str">
        <f t="shared" si="100"/>
        <v/>
      </c>
      <c r="AA106" s="572" t="str">
        <f t="shared" si="101"/>
        <v/>
      </c>
      <c r="AB106" s="572" t="str">
        <f t="shared" si="102"/>
        <v/>
      </c>
      <c r="AC106" s="579" t="str">
        <f t="shared" si="103"/>
        <v/>
      </c>
      <c r="AD106" s="580" t="str">
        <f t="shared" si="104"/>
        <v/>
      </c>
      <c r="AE106" s="572" t="str">
        <f t="shared" si="105"/>
        <v/>
      </c>
      <c r="AF106" s="576" t="str">
        <f t="shared" si="106"/>
        <v/>
      </c>
      <c r="AG106" s="545" t="str">
        <f t="shared" si="107"/>
        <v/>
      </c>
      <c r="AH106" s="546" t="str">
        <f t="shared" si="108"/>
        <v/>
      </c>
      <c r="AI106" s="528" t="str">
        <f t="shared" si="109"/>
        <v/>
      </c>
      <c r="AJ106" s="529" t="str">
        <f t="shared" si="110"/>
        <v/>
      </c>
      <c r="AK106" s="578" t="str">
        <f t="shared" si="111"/>
        <v/>
      </c>
      <c r="AL106" s="572" t="str">
        <f t="shared" si="112"/>
        <v/>
      </c>
      <c r="AM106" s="577" t="str">
        <f t="shared" si="113"/>
        <v/>
      </c>
      <c r="AN106" s="524" t="str">
        <f t="shared" si="151"/>
        <v/>
      </c>
      <c r="AO106" s="525" t="str">
        <f t="shared" si="125"/>
        <v/>
      </c>
      <c r="AP106" s="528" t="str">
        <f t="shared" si="114"/>
        <v/>
      </c>
      <c r="AQ106" s="529" t="str">
        <f t="shared" si="129"/>
        <v/>
      </c>
      <c r="AS106" s="598" t="str">
        <f t="shared" si="115"/>
        <v/>
      </c>
      <c r="AT106" s="602" t="str">
        <f t="shared" si="130"/>
        <v/>
      </c>
      <c r="AU106" s="515" t="str">
        <f t="shared" si="87"/>
        <v/>
      </c>
      <c r="AV106" s="164" t="str">
        <f t="shared" si="116"/>
        <v/>
      </c>
      <c r="AW106" s="545" t="str">
        <f>IF($M106="","",W106-INDEX(Assy.Model!$W$9:$W$150,MATCH('SN#.Run#'!$M106,Assy.Model!$M$9:$M$150,0)))</f>
        <v/>
      </c>
      <c r="AX106" s="628" t="str">
        <f>IF($M106="","",X106-INDEX(Assy.Model!$X$9:$X$150,MATCH('SN#.Run#'!$M106,Assy.Model!$M$9:$M$150,0)))</f>
        <v/>
      </c>
      <c r="AY106" s="629" t="str">
        <f>IF($M106="","",Y106-INDEX(Assy.Model!$Y$9:$Y$150,MATCH('SN#.Run#'!$M106,Assy.Model!$M$9:$M$150,0)))</f>
        <v/>
      </c>
      <c r="AZ106" s="602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10" t="str">
        <f>IF($M106="","",AN106-INDEX(Assy.Model!$AN$9:$AN$150,MATCH('SN#.Run#'!$M106,Assy.Model!$M$9:$M$150,0)))</f>
        <v/>
      </c>
      <c r="BB106" s="525" t="str">
        <f>IF($M106="","",AO106-INDEX(Assy.Model!$AO$9:$AO$150,MATCH('SN#.Run#'!$M106,Assy.Model!$M$9:$M$150,0)))</f>
        <v/>
      </c>
      <c r="BC106" s="619" t="str">
        <f>IF($M106="","",AP106-INDEX(Assy.Model!$AP$9:$AP$150,MATCH('SN#.Run#'!$M106,Assy.Model!$M$9:$M$150,0)))</f>
        <v/>
      </c>
      <c r="BD106" s="419"/>
      <c r="BE106" s="699"/>
      <c r="BF106" s="417"/>
      <c r="BG106" s="417"/>
      <c r="BH106" s="417"/>
      <c r="IE106" s="790" t="str">
        <f>IFERROR(IF($IU106="","",IF($IU106&lt;(((Settings!$C$19/2)*-1)*$IE$8),"Taper","Nose")),"")</f>
        <v/>
      </c>
      <c r="IF106" s="482" t="str">
        <f>IFERROR(IF((((($IW106*COS(RADIANS(180-$IY106)))*COS(RADIANS($IY106)))-(($IX106*SIN(RADIANS(180-$IY106)))*SIN(RADIANS($IY106))))+$IU106)&lt;(((Settings!$C$19+$IF$8)/2)*-1),"Gage",""),"")</f>
        <v/>
      </c>
      <c r="IG106" s="788" t="str">
        <f t="shared" si="132"/>
        <v/>
      </c>
      <c r="IH106" s="674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677" t="str" cm="1">
        <f t="array" ref="II106">IFERROR(IF($IH106&lt;1,$IH106+LARGE((IF($M$9:$M$150="",0,$M$9:$M$150)-MOD(IF($M$9:$M$150="",0,$M$9:$M$150),1)),1),$IH106),"")</f>
        <v/>
      </c>
      <c r="IJ106" s="482" t="str">
        <f t="shared" si="131"/>
        <v/>
      </c>
      <c r="IK106" s="482" t="str">
        <f t="shared" si="117"/>
        <v/>
      </c>
      <c r="IL106" s="670" t="str">
        <f t="shared" si="134"/>
        <v/>
      </c>
      <c r="IM106" s="702"/>
      <c r="IN106" s="5" t="str">
        <f t="shared" si="135"/>
        <v/>
      </c>
      <c r="IO106" s="714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670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05" t="str">
        <f t="shared" si="143"/>
        <v/>
      </c>
    </row>
    <row r="107" spans="1:259" ht="15" customHeight="1" x14ac:dyDescent="0.25">
      <c r="A107" s="82"/>
      <c r="B107" s="578" t="str">
        <f t="shared" si="144"/>
        <v/>
      </c>
      <c r="C107" s="572" t="str">
        <f t="shared" si="145"/>
        <v/>
      </c>
      <c r="D107" s="576" t="str">
        <f t="shared" si="146"/>
        <v/>
      </c>
      <c r="E107" s="580" t="str">
        <f t="shared" si="147"/>
        <v/>
      </c>
      <c r="F107" s="572" t="str">
        <f t="shared" si="148"/>
        <v/>
      </c>
      <c r="G107" s="579" t="str">
        <f t="shared" si="149"/>
        <v/>
      </c>
      <c r="H107" s="580" t="str">
        <f t="shared" si="128"/>
        <v/>
      </c>
      <c r="I107" s="482"/>
      <c r="J107" s="483" t="str">
        <v/>
      </c>
      <c r="K107" s="806" t="str">
        <f t="shared" si="133"/>
        <v/>
      </c>
      <c r="M107" s="164" t="str">
        <f t="shared" si="88"/>
        <v/>
      </c>
      <c r="N107" s="575" t="str">
        <f t="shared" si="89"/>
        <v/>
      </c>
      <c r="O107" s="572" t="str">
        <f t="shared" si="90"/>
        <v/>
      </c>
      <c r="P107" s="576" t="str">
        <f t="shared" si="91"/>
        <v/>
      </c>
      <c r="Q107" s="528" t="str">
        <f t="shared" si="92"/>
        <v/>
      </c>
      <c r="R107" s="572" t="str">
        <f t="shared" si="93"/>
        <v/>
      </c>
      <c r="S107" s="577" t="str">
        <f t="shared" si="94"/>
        <v/>
      </c>
      <c r="T107" s="578" t="str">
        <f t="shared" si="95"/>
        <v/>
      </c>
      <c r="U107" s="572" t="str">
        <f t="shared" si="96"/>
        <v/>
      </c>
      <c r="V107" s="579" t="str">
        <f t="shared" si="97"/>
        <v/>
      </c>
      <c r="W107" s="528" t="str">
        <f t="shared" si="98"/>
        <v/>
      </c>
      <c r="X107" s="572" t="str">
        <f t="shared" si="99"/>
        <v/>
      </c>
      <c r="Y107" s="573" t="str">
        <f t="shared" si="150"/>
        <v/>
      </c>
      <c r="Z107" s="575" t="str">
        <f t="shared" si="100"/>
        <v/>
      </c>
      <c r="AA107" s="572" t="str">
        <f t="shared" si="101"/>
        <v/>
      </c>
      <c r="AB107" s="572" t="str">
        <f t="shared" si="102"/>
        <v/>
      </c>
      <c r="AC107" s="579" t="str">
        <f t="shared" si="103"/>
        <v/>
      </c>
      <c r="AD107" s="580" t="str">
        <f t="shared" si="104"/>
        <v/>
      </c>
      <c r="AE107" s="572" t="str">
        <f t="shared" si="105"/>
        <v/>
      </c>
      <c r="AF107" s="576" t="str">
        <f t="shared" si="106"/>
        <v/>
      </c>
      <c r="AG107" s="545" t="str">
        <f t="shared" si="107"/>
        <v/>
      </c>
      <c r="AH107" s="546" t="str">
        <f t="shared" si="108"/>
        <v/>
      </c>
      <c r="AI107" s="528" t="str">
        <f t="shared" si="109"/>
        <v/>
      </c>
      <c r="AJ107" s="529" t="str">
        <f t="shared" si="110"/>
        <v/>
      </c>
      <c r="AK107" s="578" t="str">
        <f t="shared" si="111"/>
        <v/>
      </c>
      <c r="AL107" s="572" t="str">
        <f t="shared" si="112"/>
        <v/>
      </c>
      <c r="AM107" s="577" t="str">
        <f t="shared" si="113"/>
        <v/>
      </c>
      <c r="AN107" s="524" t="str">
        <f t="shared" si="151"/>
        <v/>
      </c>
      <c r="AO107" s="525" t="str">
        <f t="shared" si="125"/>
        <v/>
      </c>
      <c r="AP107" s="528" t="str">
        <f t="shared" si="114"/>
        <v/>
      </c>
      <c r="AQ107" s="529" t="str">
        <f t="shared" si="129"/>
        <v/>
      </c>
      <c r="AS107" s="598" t="str">
        <f t="shared" si="115"/>
        <v/>
      </c>
      <c r="AT107" s="602" t="str">
        <f t="shared" si="130"/>
        <v/>
      </c>
      <c r="AU107" s="515" t="str">
        <f t="shared" si="87"/>
        <v/>
      </c>
      <c r="AV107" s="164" t="str">
        <f t="shared" si="116"/>
        <v/>
      </c>
      <c r="AW107" s="545" t="str">
        <f>IF($M107="","",W107-INDEX(Assy.Model!$W$9:$W$150,MATCH('SN#.Run#'!$M107,Assy.Model!$M$9:$M$150,0)))</f>
        <v/>
      </c>
      <c r="AX107" s="628" t="str">
        <f>IF($M107="","",X107-INDEX(Assy.Model!$X$9:$X$150,MATCH('SN#.Run#'!$M107,Assy.Model!$M$9:$M$150,0)))</f>
        <v/>
      </c>
      <c r="AY107" s="629" t="str">
        <f>IF($M107="","",Y107-INDEX(Assy.Model!$Y$9:$Y$150,MATCH('SN#.Run#'!$M107,Assy.Model!$M$9:$M$150,0)))</f>
        <v/>
      </c>
      <c r="AZ107" s="602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10" t="str">
        <f>IF($M107="","",AN107-INDEX(Assy.Model!$AN$9:$AN$150,MATCH('SN#.Run#'!$M107,Assy.Model!$M$9:$M$150,0)))</f>
        <v/>
      </c>
      <c r="BB107" s="525" t="str">
        <f>IF($M107="","",AO107-INDEX(Assy.Model!$AO$9:$AO$150,MATCH('SN#.Run#'!$M107,Assy.Model!$M$9:$M$150,0)))</f>
        <v/>
      </c>
      <c r="BC107" s="619" t="str">
        <f>IF($M107="","",AP107-INDEX(Assy.Model!$AP$9:$AP$150,MATCH('SN#.Run#'!$M107,Assy.Model!$M$9:$M$150,0)))</f>
        <v/>
      </c>
      <c r="BD107" s="419"/>
      <c r="BE107" s="699"/>
      <c r="BF107" s="417"/>
      <c r="BG107" s="417"/>
      <c r="BH107" s="417"/>
      <c r="IE107" s="790" t="str">
        <f>IFERROR(IF($IU107="","",IF($IU107&lt;(((Settings!$C$19/2)*-1)*$IE$8),"Taper","Nose")),"")</f>
        <v/>
      </c>
      <c r="IF107" s="482" t="str">
        <f>IFERROR(IF((((($IW107*COS(RADIANS(180-$IY107)))*COS(RADIANS($IY107)))-(($IX107*SIN(RADIANS(180-$IY107)))*SIN(RADIANS($IY107))))+$IU107)&lt;(((Settings!$C$19+$IF$8)/2)*-1),"Gage",""),"")</f>
        <v/>
      </c>
      <c r="IG107" s="788" t="str">
        <f t="shared" si="132"/>
        <v/>
      </c>
      <c r="IH107" s="674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677" t="str" cm="1">
        <f t="array" ref="II107">IFERROR(IF($IH107&lt;1,$IH107+LARGE((IF($M$9:$M$150="",0,$M$9:$M$150)-MOD(IF($M$9:$M$150="",0,$M$9:$M$150),1)),1),$IH107),"")</f>
        <v/>
      </c>
      <c r="IJ107" s="482" t="str">
        <f t="shared" si="131"/>
        <v/>
      </c>
      <c r="IK107" s="482" t="str">
        <f t="shared" si="117"/>
        <v/>
      </c>
      <c r="IL107" s="670" t="str">
        <f t="shared" si="134"/>
        <v/>
      </c>
      <c r="IM107" s="702"/>
      <c r="IN107" s="5" t="str">
        <f t="shared" si="135"/>
        <v/>
      </c>
      <c r="IO107" s="714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670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05" t="str">
        <f t="shared" si="143"/>
        <v/>
      </c>
    </row>
    <row r="108" spans="1:259" ht="15" customHeight="1" x14ac:dyDescent="0.25">
      <c r="A108" s="82"/>
      <c r="B108" s="578" t="str">
        <f t="shared" si="144"/>
        <v/>
      </c>
      <c r="C108" s="572" t="str">
        <f t="shared" si="145"/>
        <v/>
      </c>
      <c r="D108" s="576" t="str">
        <f t="shared" si="146"/>
        <v/>
      </c>
      <c r="E108" s="580" t="str">
        <f t="shared" si="147"/>
        <v/>
      </c>
      <c r="F108" s="572" t="str">
        <f t="shared" si="148"/>
        <v/>
      </c>
      <c r="G108" s="579" t="str">
        <f t="shared" si="149"/>
        <v/>
      </c>
      <c r="H108" s="580" t="str">
        <f t="shared" si="128"/>
        <v/>
      </c>
      <c r="I108" s="482"/>
      <c r="J108" s="483" t="str">
        <v/>
      </c>
      <c r="K108" s="806" t="str">
        <f t="shared" si="133"/>
        <v/>
      </c>
      <c r="M108" s="164" t="str">
        <f t="shared" si="88"/>
        <v/>
      </c>
      <c r="N108" s="575" t="str">
        <f t="shared" si="89"/>
        <v/>
      </c>
      <c r="O108" s="572" t="str">
        <f t="shared" si="90"/>
        <v/>
      </c>
      <c r="P108" s="576" t="str">
        <f t="shared" si="91"/>
        <v/>
      </c>
      <c r="Q108" s="528" t="str">
        <f t="shared" si="92"/>
        <v/>
      </c>
      <c r="R108" s="572" t="str">
        <f t="shared" si="93"/>
        <v/>
      </c>
      <c r="S108" s="577" t="str">
        <f t="shared" si="94"/>
        <v/>
      </c>
      <c r="T108" s="578" t="str">
        <f t="shared" si="95"/>
        <v/>
      </c>
      <c r="U108" s="572" t="str">
        <f t="shared" si="96"/>
        <v/>
      </c>
      <c r="V108" s="579" t="str">
        <f t="shared" si="97"/>
        <v/>
      </c>
      <c r="W108" s="528" t="str">
        <f t="shared" si="98"/>
        <v/>
      </c>
      <c r="X108" s="572" t="str">
        <f t="shared" si="99"/>
        <v/>
      </c>
      <c r="Y108" s="573" t="str">
        <f t="shared" si="150"/>
        <v/>
      </c>
      <c r="Z108" s="575" t="str">
        <f t="shared" si="100"/>
        <v/>
      </c>
      <c r="AA108" s="572" t="str">
        <f t="shared" si="101"/>
        <v/>
      </c>
      <c r="AB108" s="572" t="str">
        <f t="shared" si="102"/>
        <v/>
      </c>
      <c r="AC108" s="579" t="str">
        <f t="shared" si="103"/>
        <v/>
      </c>
      <c r="AD108" s="580" t="str">
        <f t="shared" si="104"/>
        <v/>
      </c>
      <c r="AE108" s="572" t="str">
        <f t="shared" si="105"/>
        <v/>
      </c>
      <c r="AF108" s="576" t="str">
        <f t="shared" si="106"/>
        <v/>
      </c>
      <c r="AG108" s="545" t="str">
        <f t="shared" si="107"/>
        <v/>
      </c>
      <c r="AH108" s="546" t="str">
        <f t="shared" si="108"/>
        <v/>
      </c>
      <c r="AI108" s="528" t="str">
        <f t="shared" si="109"/>
        <v/>
      </c>
      <c r="AJ108" s="529" t="str">
        <f t="shared" si="110"/>
        <v/>
      </c>
      <c r="AK108" s="578" t="str">
        <f t="shared" si="111"/>
        <v/>
      </c>
      <c r="AL108" s="572" t="str">
        <f t="shared" si="112"/>
        <v/>
      </c>
      <c r="AM108" s="577" t="str">
        <f t="shared" si="113"/>
        <v/>
      </c>
      <c r="AN108" s="524" t="str">
        <f t="shared" si="151"/>
        <v/>
      </c>
      <c r="AO108" s="525" t="str">
        <f t="shared" si="125"/>
        <v/>
      </c>
      <c r="AP108" s="528" t="str">
        <f t="shared" si="114"/>
        <v/>
      </c>
      <c r="AQ108" s="529" t="str">
        <f t="shared" si="129"/>
        <v/>
      </c>
      <c r="AS108" s="598" t="str">
        <f t="shared" si="115"/>
        <v/>
      </c>
      <c r="AT108" s="602" t="str">
        <f t="shared" si="130"/>
        <v/>
      </c>
      <c r="AU108" s="515" t="str">
        <f t="shared" si="87"/>
        <v/>
      </c>
      <c r="AV108" s="164" t="str">
        <f t="shared" si="116"/>
        <v/>
      </c>
      <c r="AW108" s="545" t="str">
        <f>IF($M108="","",W108-INDEX(Assy.Model!$W$9:$W$150,MATCH('SN#.Run#'!$M108,Assy.Model!$M$9:$M$150,0)))</f>
        <v/>
      </c>
      <c r="AX108" s="628" t="str">
        <f>IF($M108="","",X108-INDEX(Assy.Model!$X$9:$X$150,MATCH('SN#.Run#'!$M108,Assy.Model!$M$9:$M$150,0)))</f>
        <v/>
      </c>
      <c r="AY108" s="629" t="str">
        <f>IF($M108="","",Y108-INDEX(Assy.Model!$Y$9:$Y$150,MATCH('SN#.Run#'!$M108,Assy.Model!$M$9:$M$150,0)))</f>
        <v/>
      </c>
      <c r="AZ108" s="602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10" t="str">
        <f>IF($M108="","",AN108-INDEX(Assy.Model!$AN$9:$AN$150,MATCH('SN#.Run#'!$M108,Assy.Model!$M$9:$M$150,0)))</f>
        <v/>
      </c>
      <c r="BB108" s="525" t="str">
        <f>IF($M108="","",AO108-INDEX(Assy.Model!$AO$9:$AO$150,MATCH('SN#.Run#'!$M108,Assy.Model!$M$9:$M$150,0)))</f>
        <v/>
      </c>
      <c r="BC108" s="619" t="str">
        <f>IF($M108="","",AP108-INDEX(Assy.Model!$AP$9:$AP$150,MATCH('SN#.Run#'!$M108,Assy.Model!$M$9:$M$150,0)))</f>
        <v/>
      </c>
      <c r="BD108" s="419"/>
      <c r="BE108" s="699"/>
      <c r="BF108" s="417"/>
      <c r="BG108" s="417"/>
      <c r="BH108" s="417"/>
      <c r="IE108" s="790" t="str">
        <f>IFERROR(IF($IU108="","",IF($IU108&lt;(((Settings!$C$19/2)*-1)*$IE$8),"Taper","Nose")),"")</f>
        <v/>
      </c>
      <c r="IF108" s="482" t="str">
        <f>IFERROR(IF((((($IW108*COS(RADIANS(180-$IY108)))*COS(RADIANS($IY108)))-(($IX108*SIN(RADIANS(180-$IY108)))*SIN(RADIANS($IY108))))+$IU108)&lt;(((Settings!$C$19+$IF$8)/2)*-1),"Gage",""),"")</f>
        <v/>
      </c>
      <c r="IG108" s="788" t="str">
        <f t="shared" si="132"/>
        <v/>
      </c>
      <c r="IH108" s="674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677" t="str" cm="1">
        <f t="array" ref="II108">IFERROR(IF($IH108&lt;1,$IH108+LARGE((IF($M$9:$M$150="",0,$M$9:$M$150)-MOD(IF($M$9:$M$150="",0,$M$9:$M$150),1)),1),$IH108),"")</f>
        <v/>
      </c>
      <c r="IJ108" s="482" t="str">
        <f t="shared" si="131"/>
        <v/>
      </c>
      <c r="IK108" s="482" t="str">
        <f t="shared" si="117"/>
        <v/>
      </c>
      <c r="IL108" s="670" t="str">
        <f t="shared" si="134"/>
        <v/>
      </c>
      <c r="IM108" s="702"/>
      <c r="IN108" s="5" t="str">
        <f t="shared" si="135"/>
        <v/>
      </c>
      <c r="IO108" s="714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670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05" t="str">
        <f t="shared" si="143"/>
        <v/>
      </c>
    </row>
    <row r="109" spans="1:259" ht="15" customHeight="1" x14ac:dyDescent="0.25">
      <c r="A109" s="82"/>
      <c r="B109" s="578" t="str">
        <f t="shared" si="144"/>
        <v/>
      </c>
      <c r="C109" s="572" t="str">
        <f t="shared" si="145"/>
        <v/>
      </c>
      <c r="D109" s="576" t="str">
        <f t="shared" si="146"/>
        <v/>
      </c>
      <c r="E109" s="580" t="str">
        <f t="shared" si="147"/>
        <v/>
      </c>
      <c r="F109" s="572" t="str">
        <f t="shared" si="148"/>
        <v/>
      </c>
      <c r="G109" s="579" t="str">
        <f t="shared" si="149"/>
        <v/>
      </c>
      <c r="H109" s="580" t="str">
        <f t="shared" si="128"/>
        <v/>
      </c>
      <c r="I109" s="482"/>
      <c r="J109" s="483" t="str">
        <v/>
      </c>
      <c r="K109" s="806" t="str">
        <f t="shared" si="133"/>
        <v/>
      </c>
      <c r="M109" s="164" t="str">
        <f t="shared" si="88"/>
        <v/>
      </c>
      <c r="N109" s="575" t="str">
        <f t="shared" si="89"/>
        <v/>
      </c>
      <c r="O109" s="572" t="str">
        <f t="shared" si="90"/>
        <v/>
      </c>
      <c r="P109" s="576" t="str">
        <f t="shared" si="91"/>
        <v/>
      </c>
      <c r="Q109" s="528" t="str">
        <f t="shared" si="92"/>
        <v/>
      </c>
      <c r="R109" s="572" t="str">
        <f t="shared" si="93"/>
        <v/>
      </c>
      <c r="S109" s="577" t="str">
        <f t="shared" si="94"/>
        <v/>
      </c>
      <c r="T109" s="578" t="str">
        <f t="shared" si="95"/>
        <v/>
      </c>
      <c r="U109" s="572" t="str">
        <f t="shared" si="96"/>
        <v/>
      </c>
      <c r="V109" s="579" t="str">
        <f t="shared" si="97"/>
        <v/>
      </c>
      <c r="W109" s="528" t="str">
        <f t="shared" si="98"/>
        <v/>
      </c>
      <c r="X109" s="572" t="str">
        <f t="shared" si="99"/>
        <v/>
      </c>
      <c r="Y109" s="573" t="str">
        <f t="shared" si="150"/>
        <v/>
      </c>
      <c r="Z109" s="575" t="str">
        <f t="shared" si="100"/>
        <v/>
      </c>
      <c r="AA109" s="572" t="str">
        <f t="shared" si="101"/>
        <v/>
      </c>
      <c r="AB109" s="572" t="str">
        <f t="shared" si="102"/>
        <v/>
      </c>
      <c r="AC109" s="579" t="str">
        <f t="shared" si="103"/>
        <v/>
      </c>
      <c r="AD109" s="580" t="str">
        <f t="shared" si="104"/>
        <v/>
      </c>
      <c r="AE109" s="572" t="str">
        <f t="shared" si="105"/>
        <v/>
      </c>
      <c r="AF109" s="576" t="str">
        <f t="shared" si="106"/>
        <v/>
      </c>
      <c r="AG109" s="545" t="str">
        <f t="shared" si="107"/>
        <v/>
      </c>
      <c r="AH109" s="546" t="str">
        <f t="shared" si="108"/>
        <v/>
      </c>
      <c r="AI109" s="528" t="str">
        <f t="shared" si="109"/>
        <v/>
      </c>
      <c r="AJ109" s="529" t="str">
        <f t="shared" si="110"/>
        <v/>
      </c>
      <c r="AK109" s="578" t="str">
        <f t="shared" si="111"/>
        <v/>
      </c>
      <c r="AL109" s="572" t="str">
        <f t="shared" si="112"/>
        <v/>
      </c>
      <c r="AM109" s="577" t="str">
        <f t="shared" si="113"/>
        <v/>
      </c>
      <c r="AN109" s="524" t="str">
        <f t="shared" si="151"/>
        <v/>
      </c>
      <c r="AO109" s="525" t="str">
        <f t="shared" si="125"/>
        <v/>
      </c>
      <c r="AP109" s="528" t="str">
        <f t="shared" si="114"/>
        <v/>
      </c>
      <c r="AQ109" s="529" t="str">
        <f t="shared" si="129"/>
        <v/>
      </c>
      <c r="AS109" s="598" t="str">
        <f t="shared" si="115"/>
        <v/>
      </c>
      <c r="AT109" s="602" t="str">
        <f t="shared" si="130"/>
        <v/>
      </c>
      <c r="AU109" s="515" t="str">
        <f t="shared" si="87"/>
        <v/>
      </c>
      <c r="AV109" s="164" t="str">
        <f t="shared" si="116"/>
        <v/>
      </c>
      <c r="AW109" s="545" t="str">
        <f>IF($M109="","",W109-INDEX(Assy.Model!$W$9:$W$150,MATCH('SN#.Run#'!$M109,Assy.Model!$M$9:$M$150,0)))</f>
        <v/>
      </c>
      <c r="AX109" s="628" t="str">
        <f>IF($M109="","",X109-INDEX(Assy.Model!$X$9:$X$150,MATCH('SN#.Run#'!$M109,Assy.Model!$M$9:$M$150,0)))</f>
        <v/>
      </c>
      <c r="AY109" s="629" t="str">
        <f>IF($M109="","",Y109-INDEX(Assy.Model!$Y$9:$Y$150,MATCH('SN#.Run#'!$M109,Assy.Model!$M$9:$M$150,0)))</f>
        <v/>
      </c>
      <c r="AZ109" s="602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10" t="str">
        <f>IF($M109="","",AN109-INDEX(Assy.Model!$AN$9:$AN$150,MATCH('SN#.Run#'!$M109,Assy.Model!$M$9:$M$150,0)))</f>
        <v/>
      </c>
      <c r="BB109" s="525" t="str">
        <f>IF($M109="","",AO109-INDEX(Assy.Model!$AO$9:$AO$150,MATCH('SN#.Run#'!$M109,Assy.Model!$M$9:$M$150,0)))</f>
        <v/>
      </c>
      <c r="BC109" s="619" t="str">
        <f>IF($M109="","",AP109-INDEX(Assy.Model!$AP$9:$AP$150,MATCH('SN#.Run#'!$M109,Assy.Model!$M$9:$M$150,0)))</f>
        <v/>
      </c>
      <c r="BD109" s="419"/>
      <c r="BE109" s="699"/>
      <c r="BF109" s="417"/>
      <c r="BG109" s="417"/>
      <c r="BH109" s="417"/>
      <c r="IE109" s="790" t="str">
        <f>IFERROR(IF($IU109="","",IF($IU109&lt;(((Settings!$C$19/2)*-1)*$IE$8),"Taper","Nose")),"")</f>
        <v/>
      </c>
      <c r="IF109" s="482" t="str">
        <f>IFERROR(IF((((($IW109*COS(RADIANS(180-$IY109)))*COS(RADIANS($IY109)))-(($IX109*SIN(RADIANS(180-$IY109)))*SIN(RADIANS($IY109))))+$IU109)&lt;(((Settings!$C$19+$IF$8)/2)*-1),"Gage",""),"")</f>
        <v/>
      </c>
      <c r="IG109" s="788" t="str">
        <f t="shared" si="132"/>
        <v/>
      </c>
      <c r="IH109" s="674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677" t="str" cm="1">
        <f t="array" ref="II109">IFERROR(IF($IH109&lt;1,$IH109+LARGE((IF($M$9:$M$150="",0,$M$9:$M$150)-MOD(IF($M$9:$M$150="",0,$M$9:$M$150),1)),1),$IH109),"")</f>
        <v/>
      </c>
      <c r="IJ109" s="482" t="str">
        <f t="shared" si="131"/>
        <v/>
      </c>
      <c r="IK109" s="482" t="str">
        <f t="shared" si="117"/>
        <v/>
      </c>
      <c r="IL109" s="670" t="str">
        <f t="shared" si="134"/>
        <v/>
      </c>
      <c r="IM109" s="702"/>
      <c r="IN109" s="5" t="str">
        <f t="shared" si="135"/>
        <v/>
      </c>
      <c r="IO109" s="714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670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05" t="str">
        <f t="shared" si="143"/>
        <v/>
      </c>
    </row>
    <row r="110" spans="1:259" ht="15" customHeight="1" x14ac:dyDescent="0.25">
      <c r="A110" s="82"/>
      <c r="B110" s="578" t="str">
        <f t="shared" si="144"/>
        <v/>
      </c>
      <c r="C110" s="572" t="str">
        <f t="shared" si="145"/>
        <v/>
      </c>
      <c r="D110" s="576" t="str">
        <f t="shared" si="146"/>
        <v/>
      </c>
      <c r="E110" s="580" t="str">
        <f t="shared" si="147"/>
        <v/>
      </c>
      <c r="F110" s="572" t="str">
        <f t="shared" si="148"/>
        <v/>
      </c>
      <c r="G110" s="579" t="str">
        <f t="shared" si="149"/>
        <v/>
      </c>
      <c r="H110" s="580" t="str">
        <f t="shared" si="128"/>
        <v/>
      </c>
      <c r="I110" s="482"/>
      <c r="J110" s="483" t="str">
        <v/>
      </c>
      <c r="K110" s="806" t="str">
        <f t="shared" si="133"/>
        <v/>
      </c>
      <c r="M110" s="164" t="str">
        <f t="shared" si="88"/>
        <v/>
      </c>
      <c r="N110" s="575" t="str">
        <f t="shared" si="89"/>
        <v/>
      </c>
      <c r="O110" s="572" t="str">
        <f t="shared" si="90"/>
        <v/>
      </c>
      <c r="P110" s="576" t="str">
        <f t="shared" si="91"/>
        <v/>
      </c>
      <c r="Q110" s="528" t="str">
        <f t="shared" si="92"/>
        <v/>
      </c>
      <c r="R110" s="572" t="str">
        <f t="shared" si="93"/>
        <v/>
      </c>
      <c r="S110" s="577" t="str">
        <f t="shared" si="94"/>
        <v/>
      </c>
      <c r="T110" s="578" t="str">
        <f t="shared" si="95"/>
        <v/>
      </c>
      <c r="U110" s="572" t="str">
        <f t="shared" si="96"/>
        <v/>
      </c>
      <c r="V110" s="579" t="str">
        <f t="shared" si="97"/>
        <v/>
      </c>
      <c r="W110" s="528" t="str">
        <f t="shared" si="98"/>
        <v/>
      </c>
      <c r="X110" s="572" t="str">
        <f t="shared" si="99"/>
        <v/>
      </c>
      <c r="Y110" s="573" t="str">
        <f t="shared" si="150"/>
        <v/>
      </c>
      <c r="Z110" s="575" t="str">
        <f t="shared" si="100"/>
        <v/>
      </c>
      <c r="AA110" s="572" t="str">
        <f t="shared" si="101"/>
        <v/>
      </c>
      <c r="AB110" s="572" t="str">
        <f t="shared" si="102"/>
        <v/>
      </c>
      <c r="AC110" s="579" t="str">
        <f t="shared" si="103"/>
        <v/>
      </c>
      <c r="AD110" s="580" t="str">
        <f t="shared" si="104"/>
        <v/>
      </c>
      <c r="AE110" s="572" t="str">
        <f t="shared" si="105"/>
        <v/>
      </c>
      <c r="AF110" s="576" t="str">
        <f t="shared" si="106"/>
        <v/>
      </c>
      <c r="AG110" s="545" t="str">
        <f t="shared" si="107"/>
        <v/>
      </c>
      <c r="AH110" s="546" t="str">
        <f t="shared" si="108"/>
        <v/>
      </c>
      <c r="AI110" s="528" t="str">
        <f t="shared" si="109"/>
        <v/>
      </c>
      <c r="AJ110" s="529" t="str">
        <f t="shared" si="110"/>
        <v/>
      </c>
      <c r="AK110" s="578" t="str">
        <f t="shared" si="111"/>
        <v/>
      </c>
      <c r="AL110" s="572" t="str">
        <f t="shared" si="112"/>
        <v/>
      </c>
      <c r="AM110" s="577" t="str">
        <f t="shared" si="113"/>
        <v/>
      </c>
      <c r="AN110" s="524" t="str">
        <f t="shared" si="151"/>
        <v/>
      </c>
      <c r="AO110" s="525" t="str">
        <f t="shared" si="125"/>
        <v/>
      </c>
      <c r="AP110" s="528" t="str">
        <f t="shared" si="114"/>
        <v/>
      </c>
      <c r="AQ110" s="529" t="str">
        <f t="shared" si="129"/>
        <v/>
      </c>
      <c r="AS110" s="598" t="str">
        <f t="shared" si="115"/>
        <v/>
      </c>
      <c r="AT110" s="602" t="str">
        <f t="shared" si="130"/>
        <v/>
      </c>
      <c r="AU110" s="515" t="str">
        <f t="shared" si="87"/>
        <v/>
      </c>
      <c r="AV110" s="164" t="str">
        <f t="shared" si="116"/>
        <v/>
      </c>
      <c r="AW110" s="545" t="str">
        <f>IF($M110="","",W110-INDEX(Assy.Model!$W$9:$W$150,MATCH('SN#.Run#'!$M110,Assy.Model!$M$9:$M$150,0)))</f>
        <v/>
      </c>
      <c r="AX110" s="628" t="str">
        <f>IF($M110="","",X110-INDEX(Assy.Model!$X$9:$X$150,MATCH('SN#.Run#'!$M110,Assy.Model!$M$9:$M$150,0)))</f>
        <v/>
      </c>
      <c r="AY110" s="629" t="str">
        <f>IF($M110="","",Y110-INDEX(Assy.Model!$Y$9:$Y$150,MATCH('SN#.Run#'!$M110,Assy.Model!$M$9:$M$150,0)))</f>
        <v/>
      </c>
      <c r="AZ110" s="602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10" t="str">
        <f>IF($M110="","",AN110-INDEX(Assy.Model!$AN$9:$AN$150,MATCH('SN#.Run#'!$M110,Assy.Model!$M$9:$M$150,0)))</f>
        <v/>
      </c>
      <c r="BB110" s="525" t="str">
        <f>IF($M110="","",AO110-INDEX(Assy.Model!$AO$9:$AO$150,MATCH('SN#.Run#'!$M110,Assy.Model!$M$9:$M$150,0)))</f>
        <v/>
      </c>
      <c r="BC110" s="619" t="str">
        <f>IF($M110="","",AP110-INDEX(Assy.Model!$AP$9:$AP$150,MATCH('SN#.Run#'!$M110,Assy.Model!$M$9:$M$150,0)))</f>
        <v/>
      </c>
      <c r="BD110" s="419"/>
      <c r="BE110" s="699"/>
      <c r="BF110" s="417"/>
      <c r="BG110" s="417"/>
      <c r="BH110" s="417"/>
      <c r="IE110" s="790" t="str">
        <f>IFERROR(IF($IU110="","",IF($IU110&lt;(((Settings!$C$19/2)*-1)*$IE$8),"Taper","Nose")),"")</f>
        <v/>
      </c>
      <c r="IF110" s="482" t="str">
        <f>IFERROR(IF((((($IW110*COS(RADIANS(180-$IY110)))*COS(RADIANS($IY110)))-(($IX110*SIN(RADIANS(180-$IY110)))*SIN(RADIANS($IY110))))+$IU110)&lt;(((Settings!$C$19+$IF$8)/2)*-1),"Gage",""),"")</f>
        <v/>
      </c>
      <c r="IG110" s="788" t="str">
        <f t="shared" si="132"/>
        <v/>
      </c>
      <c r="IH110" s="674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677" t="str" cm="1">
        <f t="array" ref="II110">IFERROR(IF($IH110&lt;1,$IH110+LARGE((IF($M$9:$M$150="",0,$M$9:$M$150)-MOD(IF($M$9:$M$150="",0,$M$9:$M$150),1)),1),$IH110),"")</f>
        <v/>
      </c>
      <c r="IJ110" s="482" t="str">
        <f t="shared" si="131"/>
        <v/>
      </c>
      <c r="IK110" s="482" t="str">
        <f t="shared" si="117"/>
        <v/>
      </c>
      <c r="IL110" s="670" t="str">
        <f t="shared" si="134"/>
        <v/>
      </c>
      <c r="IM110" s="702"/>
      <c r="IN110" s="5" t="str">
        <f t="shared" si="135"/>
        <v/>
      </c>
      <c r="IO110" s="714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670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05" t="str">
        <f t="shared" si="143"/>
        <v/>
      </c>
    </row>
    <row r="111" spans="1:259" ht="15" customHeight="1" x14ac:dyDescent="0.25">
      <c r="A111" s="82"/>
      <c r="B111" s="578" t="str">
        <f t="shared" si="144"/>
        <v/>
      </c>
      <c r="C111" s="572" t="str">
        <f t="shared" si="145"/>
        <v/>
      </c>
      <c r="D111" s="576" t="str">
        <f t="shared" si="146"/>
        <v/>
      </c>
      <c r="E111" s="580" t="str">
        <f t="shared" si="147"/>
        <v/>
      </c>
      <c r="F111" s="572" t="str">
        <f t="shared" si="148"/>
        <v/>
      </c>
      <c r="G111" s="579" t="str">
        <f t="shared" si="149"/>
        <v/>
      </c>
      <c r="H111" s="580" t="str">
        <f t="shared" si="128"/>
        <v/>
      </c>
      <c r="I111" s="482"/>
      <c r="J111" s="483" t="str">
        <v/>
      </c>
      <c r="K111" s="806" t="str">
        <f t="shared" si="133"/>
        <v/>
      </c>
      <c r="M111" s="164" t="str">
        <f t="shared" si="88"/>
        <v/>
      </c>
      <c r="N111" s="575" t="str">
        <f t="shared" si="89"/>
        <v/>
      </c>
      <c r="O111" s="572" t="str">
        <f t="shared" si="90"/>
        <v/>
      </c>
      <c r="P111" s="576" t="str">
        <f t="shared" si="91"/>
        <v/>
      </c>
      <c r="Q111" s="528" t="str">
        <f t="shared" si="92"/>
        <v/>
      </c>
      <c r="R111" s="572" t="str">
        <f t="shared" si="93"/>
        <v/>
      </c>
      <c r="S111" s="577" t="str">
        <f t="shared" si="94"/>
        <v/>
      </c>
      <c r="T111" s="578" t="str">
        <f t="shared" si="95"/>
        <v/>
      </c>
      <c r="U111" s="572" t="str">
        <f t="shared" si="96"/>
        <v/>
      </c>
      <c r="V111" s="579" t="str">
        <f t="shared" si="97"/>
        <v/>
      </c>
      <c r="W111" s="528" t="str">
        <f t="shared" si="98"/>
        <v/>
      </c>
      <c r="X111" s="572" t="str">
        <f t="shared" si="99"/>
        <v/>
      </c>
      <c r="Y111" s="573" t="str">
        <f t="shared" si="150"/>
        <v/>
      </c>
      <c r="Z111" s="575" t="str">
        <f t="shared" si="100"/>
        <v/>
      </c>
      <c r="AA111" s="572" t="str">
        <f t="shared" si="101"/>
        <v/>
      </c>
      <c r="AB111" s="572" t="str">
        <f t="shared" si="102"/>
        <v/>
      </c>
      <c r="AC111" s="579" t="str">
        <f t="shared" si="103"/>
        <v/>
      </c>
      <c r="AD111" s="580" t="str">
        <f t="shared" si="104"/>
        <v/>
      </c>
      <c r="AE111" s="572" t="str">
        <f t="shared" si="105"/>
        <v/>
      </c>
      <c r="AF111" s="576" t="str">
        <f t="shared" si="106"/>
        <v/>
      </c>
      <c r="AG111" s="545" t="str">
        <f t="shared" si="107"/>
        <v/>
      </c>
      <c r="AH111" s="546" t="str">
        <f t="shared" si="108"/>
        <v/>
      </c>
      <c r="AI111" s="528" t="str">
        <f t="shared" si="109"/>
        <v/>
      </c>
      <c r="AJ111" s="529" t="str">
        <f t="shared" si="110"/>
        <v/>
      </c>
      <c r="AK111" s="578" t="str">
        <f t="shared" si="111"/>
        <v/>
      </c>
      <c r="AL111" s="572" t="str">
        <f t="shared" si="112"/>
        <v/>
      </c>
      <c r="AM111" s="577" t="str">
        <f t="shared" si="113"/>
        <v/>
      </c>
      <c r="AN111" s="524" t="str">
        <f t="shared" si="151"/>
        <v/>
      </c>
      <c r="AO111" s="525" t="str">
        <f t="shared" si="125"/>
        <v/>
      </c>
      <c r="AP111" s="528" t="str">
        <f t="shared" si="114"/>
        <v/>
      </c>
      <c r="AQ111" s="529" t="str">
        <f t="shared" si="129"/>
        <v/>
      </c>
      <c r="AS111" s="598" t="str">
        <f t="shared" si="115"/>
        <v/>
      </c>
      <c r="AT111" s="602" t="str">
        <f t="shared" si="130"/>
        <v/>
      </c>
      <c r="AU111" s="515" t="str">
        <f t="shared" si="87"/>
        <v/>
      </c>
      <c r="AV111" s="164" t="str">
        <f t="shared" si="116"/>
        <v/>
      </c>
      <c r="AW111" s="545" t="str">
        <f>IF($M111="","",W111-INDEX(Assy.Model!$W$9:$W$150,MATCH('SN#.Run#'!$M111,Assy.Model!$M$9:$M$150,0)))</f>
        <v/>
      </c>
      <c r="AX111" s="628" t="str">
        <f>IF($M111="","",X111-INDEX(Assy.Model!$X$9:$X$150,MATCH('SN#.Run#'!$M111,Assy.Model!$M$9:$M$150,0)))</f>
        <v/>
      </c>
      <c r="AY111" s="629" t="str">
        <f>IF($M111="","",Y111-INDEX(Assy.Model!$Y$9:$Y$150,MATCH('SN#.Run#'!$M111,Assy.Model!$M$9:$M$150,0)))</f>
        <v/>
      </c>
      <c r="AZ111" s="602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10" t="str">
        <f>IF($M111="","",AN111-INDEX(Assy.Model!$AN$9:$AN$150,MATCH('SN#.Run#'!$M111,Assy.Model!$M$9:$M$150,0)))</f>
        <v/>
      </c>
      <c r="BB111" s="525" t="str">
        <f>IF($M111="","",AO111-INDEX(Assy.Model!$AO$9:$AO$150,MATCH('SN#.Run#'!$M111,Assy.Model!$M$9:$M$150,0)))</f>
        <v/>
      </c>
      <c r="BC111" s="619" t="str">
        <f>IF($M111="","",AP111-INDEX(Assy.Model!$AP$9:$AP$150,MATCH('SN#.Run#'!$M111,Assy.Model!$M$9:$M$150,0)))</f>
        <v/>
      </c>
      <c r="BD111" s="419"/>
      <c r="BE111" s="699"/>
      <c r="BF111" s="417"/>
      <c r="BG111" s="417"/>
      <c r="BH111" s="417"/>
      <c r="IE111" s="790" t="str">
        <f>IFERROR(IF($IU111="","",IF($IU111&lt;(((Settings!$C$19/2)*-1)*$IE$8),"Taper","Nose")),"")</f>
        <v/>
      </c>
      <c r="IF111" s="482" t="str">
        <f>IFERROR(IF((((($IW111*COS(RADIANS(180-$IY111)))*COS(RADIANS($IY111)))-(($IX111*SIN(RADIANS(180-$IY111)))*SIN(RADIANS($IY111))))+$IU111)&lt;(((Settings!$C$19+$IF$8)/2)*-1),"Gage",""),"")</f>
        <v/>
      </c>
      <c r="IG111" s="788" t="str">
        <f t="shared" si="132"/>
        <v/>
      </c>
      <c r="IH111" s="674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677" t="str" cm="1">
        <f t="array" ref="II111">IFERROR(IF($IH111&lt;1,$IH111+LARGE((IF($M$9:$M$150="",0,$M$9:$M$150)-MOD(IF($M$9:$M$150="",0,$M$9:$M$150),1)),1),$IH111),"")</f>
        <v/>
      </c>
      <c r="IJ111" s="482" t="str">
        <f t="shared" si="131"/>
        <v/>
      </c>
      <c r="IK111" s="482" t="str">
        <f t="shared" si="117"/>
        <v/>
      </c>
      <c r="IL111" s="670" t="str">
        <f t="shared" si="134"/>
        <v/>
      </c>
      <c r="IM111" s="702"/>
      <c r="IN111" s="5" t="str">
        <f t="shared" si="135"/>
        <v/>
      </c>
      <c r="IO111" s="714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670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05" t="str">
        <f t="shared" si="143"/>
        <v/>
      </c>
    </row>
    <row r="112" spans="1:259" ht="15" customHeight="1" x14ac:dyDescent="0.25">
      <c r="A112" s="82"/>
      <c r="B112" s="578" t="str">
        <f t="shared" si="144"/>
        <v/>
      </c>
      <c r="C112" s="572" t="str">
        <f t="shared" si="145"/>
        <v/>
      </c>
      <c r="D112" s="576" t="str">
        <f t="shared" si="146"/>
        <v/>
      </c>
      <c r="E112" s="580" t="str">
        <f t="shared" si="147"/>
        <v/>
      </c>
      <c r="F112" s="572" t="str">
        <f t="shared" si="148"/>
        <v/>
      </c>
      <c r="G112" s="579" t="str">
        <f t="shared" si="149"/>
        <v/>
      </c>
      <c r="H112" s="580" t="str">
        <f t="shared" si="128"/>
        <v/>
      </c>
      <c r="I112" s="482"/>
      <c r="J112" s="483" t="str">
        <v/>
      </c>
      <c r="K112" s="806" t="str">
        <f t="shared" si="133"/>
        <v/>
      </c>
      <c r="M112" s="164" t="str">
        <f t="shared" si="88"/>
        <v/>
      </c>
      <c r="N112" s="575" t="str">
        <f t="shared" si="89"/>
        <v/>
      </c>
      <c r="O112" s="572" t="str">
        <f t="shared" si="90"/>
        <v/>
      </c>
      <c r="P112" s="576" t="str">
        <f t="shared" si="91"/>
        <v/>
      </c>
      <c r="Q112" s="528" t="str">
        <f t="shared" si="92"/>
        <v/>
      </c>
      <c r="R112" s="572" t="str">
        <f t="shared" si="93"/>
        <v/>
      </c>
      <c r="S112" s="577" t="str">
        <f t="shared" si="94"/>
        <v/>
      </c>
      <c r="T112" s="578" t="str">
        <f t="shared" si="95"/>
        <v/>
      </c>
      <c r="U112" s="572" t="str">
        <f t="shared" si="96"/>
        <v/>
      </c>
      <c r="V112" s="579" t="str">
        <f t="shared" si="97"/>
        <v/>
      </c>
      <c r="W112" s="528" t="str">
        <f t="shared" si="98"/>
        <v/>
      </c>
      <c r="X112" s="572" t="str">
        <f t="shared" si="99"/>
        <v/>
      </c>
      <c r="Y112" s="573" t="str">
        <f t="shared" si="150"/>
        <v/>
      </c>
      <c r="Z112" s="575" t="str">
        <f t="shared" si="100"/>
        <v/>
      </c>
      <c r="AA112" s="572" t="str">
        <f t="shared" si="101"/>
        <v/>
      </c>
      <c r="AB112" s="572" t="str">
        <f t="shared" si="102"/>
        <v/>
      </c>
      <c r="AC112" s="579" t="str">
        <f t="shared" si="103"/>
        <v/>
      </c>
      <c r="AD112" s="580" t="str">
        <f t="shared" si="104"/>
        <v/>
      </c>
      <c r="AE112" s="572" t="str">
        <f t="shared" si="105"/>
        <v/>
      </c>
      <c r="AF112" s="576" t="str">
        <f t="shared" si="106"/>
        <v/>
      </c>
      <c r="AG112" s="545" t="str">
        <f t="shared" si="107"/>
        <v/>
      </c>
      <c r="AH112" s="546" t="str">
        <f t="shared" si="108"/>
        <v/>
      </c>
      <c r="AI112" s="528" t="str">
        <f t="shared" si="109"/>
        <v/>
      </c>
      <c r="AJ112" s="529" t="str">
        <f t="shared" si="110"/>
        <v/>
      </c>
      <c r="AK112" s="578" t="str">
        <f t="shared" si="111"/>
        <v/>
      </c>
      <c r="AL112" s="572" t="str">
        <f t="shared" si="112"/>
        <v/>
      </c>
      <c r="AM112" s="577" t="str">
        <f t="shared" si="113"/>
        <v/>
      </c>
      <c r="AN112" s="524" t="str">
        <f t="shared" si="151"/>
        <v/>
      </c>
      <c r="AO112" s="525" t="str">
        <f t="shared" si="125"/>
        <v/>
      </c>
      <c r="AP112" s="528" t="str">
        <f t="shared" si="114"/>
        <v/>
      </c>
      <c r="AQ112" s="529" t="str">
        <f t="shared" si="129"/>
        <v/>
      </c>
      <c r="AS112" s="598" t="str">
        <f t="shared" si="115"/>
        <v/>
      </c>
      <c r="AT112" s="602" t="str">
        <f t="shared" si="130"/>
        <v/>
      </c>
      <c r="AU112" s="515" t="str">
        <f t="shared" si="87"/>
        <v/>
      </c>
      <c r="AV112" s="164" t="str">
        <f t="shared" si="116"/>
        <v/>
      </c>
      <c r="AW112" s="545" t="str">
        <f>IF($M112="","",W112-INDEX(Assy.Model!$W$9:$W$150,MATCH('SN#.Run#'!$M112,Assy.Model!$M$9:$M$150,0)))</f>
        <v/>
      </c>
      <c r="AX112" s="628" t="str">
        <f>IF($M112="","",X112-INDEX(Assy.Model!$X$9:$X$150,MATCH('SN#.Run#'!$M112,Assy.Model!$M$9:$M$150,0)))</f>
        <v/>
      </c>
      <c r="AY112" s="629" t="str">
        <f>IF($M112="","",Y112-INDEX(Assy.Model!$Y$9:$Y$150,MATCH('SN#.Run#'!$M112,Assy.Model!$M$9:$M$150,0)))</f>
        <v/>
      </c>
      <c r="AZ112" s="602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10" t="str">
        <f>IF($M112="","",AN112-INDEX(Assy.Model!$AN$9:$AN$150,MATCH('SN#.Run#'!$M112,Assy.Model!$M$9:$M$150,0)))</f>
        <v/>
      </c>
      <c r="BB112" s="525" t="str">
        <f>IF($M112="","",AO112-INDEX(Assy.Model!$AO$9:$AO$150,MATCH('SN#.Run#'!$M112,Assy.Model!$M$9:$M$150,0)))</f>
        <v/>
      </c>
      <c r="BC112" s="619" t="str">
        <f>IF($M112="","",AP112-INDEX(Assy.Model!$AP$9:$AP$150,MATCH('SN#.Run#'!$M112,Assy.Model!$M$9:$M$150,0)))</f>
        <v/>
      </c>
      <c r="BD112" s="419"/>
      <c r="BE112" s="699"/>
      <c r="BF112" s="417"/>
      <c r="BG112" s="417"/>
      <c r="BH112" s="417"/>
      <c r="IE112" s="790" t="str">
        <f>IFERROR(IF($IU112="","",IF($IU112&lt;(((Settings!$C$19/2)*-1)*$IE$8),"Taper","Nose")),"")</f>
        <v/>
      </c>
      <c r="IF112" s="482" t="str">
        <f>IFERROR(IF((((($IW112*COS(RADIANS(180-$IY112)))*COS(RADIANS($IY112)))-(($IX112*SIN(RADIANS(180-$IY112)))*SIN(RADIANS($IY112))))+$IU112)&lt;(((Settings!$C$19+$IF$8)/2)*-1),"Gage",""),"")</f>
        <v/>
      </c>
      <c r="IG112" s="788" t="str">
        <f t="shared" si="132"/>
        <v/>
      </c>
      <c r="IH112" s="674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677" t="str" cm="1">
        <f t="array" ref="II112">IFERROR(IF($IH112&lt;1,$IH112+LARGE((IF($M$9:$M$150="",0,$M$9:$M$150)-MOD(IF($M$9:$M$150="",0,$M$9:$M$150),1)),1),$IH112),"")</f>
        <v/>
      </c>
      <c r="IJ112" s="482" t="str">
        <f t="shared" si="131"/>
        <v/>
      </c>
      <c r="IK112" s="482" t="str">
        <f t="shared" si="117"/>
        <v/>
      </c>
      <c r="IL112" s="670" t="str">
        <f t="shared" si="134"/>
        <v/>
      </c>
      <c r="IM112" s="702"/>
      <c r="IN112" s="5" t="str">
        <f t="shared" si="135"/>
        <v/>
      </c>
      <c r="IO112" s="714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670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05" t="str">
        <f t="shared" si="143"/>
        <v/>
      </c>
    </row>
    <row r="113" spans="1:259" ht="15" customHeight="1" x14ac:dyDescent="0.25">
      <c r="A113" s="82"/>
      <c r="B113" s="578" t="str">
        <f t="shared" si="144"/>
        <v/>
      </c>
      <c r="C113" s="572" t="str">
        <f t="shared" si="145"/>
        <v/>
      </c>
      <c r="D113" s="576" t="str">
        <f t="shared" si="146"/>
        <v/>
      </c>
      <c r="E113" s="580" t="str">
        <f t="shared" si="147"/>
        <v/>
      </c>
      <c r="F113" s="572" t="str">
        <f t="shared" si="148"/>
        <v/>
      </c>
      <c r="G113" s="579" t="str">
        <f t="shared" si="149"/>
        <v/>
      </c>
      <c r="H113" s="580" t="str">
        <f t="shared" si="128"/>
        <v/>
      </c>
      <c r="I113" s="482"/>
      <c r="J113" s="483" t="str">
        <v/>
      </c>
      <c r="K113" s="806" t="str">
        <f t="shared" si="133"/>
        <v/>
      </c>
      <c r="M113" s="164" t="str">
        <f t="shared" ref="M113:M120" si="152">IF(J113="","",J113)</f>
        <v/>
      </c>
      <c r="N113" s="575" t="str">
        <f t="shared" ref="N113:N120" si="153">IF(M113="","",B113)</f>
        <v/>
      </c>
      <c r="O113" s="572" t="str">
        <f t="shared" ref="O113:O120" si="154">IF(M113="","",C113)</f>
        <v/>
      </c>
      <c r="P113" s="576" t="str">
        <f t="shared" ref="P113:P120" si="155">IF(M113="","",D113)</f>
        <v/>
      </c>
      <c r="Q113" s="528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572" t="str">
        <f t="shared" ref="R113:R120" si="157">IF(M113="","",SQRT(N113^2+O113^2))</f>
        <v/>
      </c>
      <c r="S113" s="577" t="str">
        <f t="shared" ref="S113:S120" si="158">IF(M113="","",P113)</f>
        <v/>
      </c>
      <c r="T113" s="578" t="str">
        <f t="shared" ref="T113:T120" si="159">IF(M113="","",X113*COS(RADIANS(W113)))</f>
        <v/>
      </c>
      <c r="U113" s="572" t="str">
        <f t="shared" ref="U113:U120" si="160">IF(M113="","",X113*SIN(RADIANS(W113)))</f>
        <v/>
      </c>
      <c r="V113" s="579" t="str">
        <f t="shared" ref="V113:V120" si="161">IF(M113="","",Y113)</f>
        <v/>
      </c>
      <c r="W113" s="528" t="str">
        <f t="shared" ref="W113:W120" si="162">IF(M113="","",IF(Q113-$Q$8&lt;0,360+Q113-$Q$8,Q113-$Q$8))</f>
        <v/>
      </c>
      <c r="X113" s="572" t="str">
        <f t="shared" ref="X113:X120" si="163">IF(M113="","",R113)</f>
        <v/>
      </c>
      <c r="Y113" s="573" t="str">
        <f t="shared" si="150"/>
        <v/>
      </c>
      <c r="Z113" s="575" t="str">
        <f t="shared" ref="Z113:Z120" si="164">IF(M113="","",-E113)</f>
        <v/>
      </c>
      <c r="AA113" s="572" t="str">
        <f t="shared" ref="AA113:AA120" si="165">IF(M113="","",-F113)</f>
        <v/>
      </c>
      <c r="AB113" s="572" t="str">
        <f t="shared" ref="AB113:AB120" si="166">IF(M113="","",-G113)</f>
        <v/>
      </c>
      <c r="AC113" s="579" t="str">
        <f t="shared" ref="AC113:AC120" si="167">IF(M113="","",SQRT(Z113^2+AA113^2+AB113^2))</f>
        <v/>
      </c>
      <c r="AD113" s="580" t="str">
        <f t="shared" ref="AD113:AD120" si="168">IF(M113="","",Z113*(1/SQRT(Z113^2+AA113^2+AB113^2)))</f>
        <v/>
      </c>
      <c r="AE113" s="572" t="str">
        <f t="shared" ref="AE113:AE120" si="169">IF(M113="","",AA113*(1/SQRT(Z113^2+AA113^2+AB113^2)))</f>
        <v/>
      </c>
      <c r="AF113" s="576" t="str">
        <f t="shared" ref="AF113:AF120" si="170">IF(M113="","",AB113*(1/SQRT(Z113^2+AA113^2+AB113^2)))</f>
        <v/>
      </c>
      <c r="AG113" s="545" t="str">
        <f t="shared" ref="AG113:AG120" si="171">IF(M113="","",DEGREES(ATAN2(-AF113,AE113)))</f>
        <v/>
      </c>
      <c r="AH113" s="546" t="str">
        <f t="shared" ref="AH113:AH120" si="172">IF(M113="","",DEGREES(ACOS(AD113)))</f>
        <v/>
      </c>
      <c r="AI113" s="528" t="str">
        <f t="shared" ref="AI113:AI120" si="173">IF(M113="","",DEGREES(-ACOS(-AF113)))</f>
        <v/>
      </c>
      <c r="AJ113" s="529" t="str">
        <f t="shared" ref="AJ113:AJ120" si="174">IF(M113="","",DEGREES(ATAN2(-AE113,AD113)))</f>
        <v/>
      </c>
      <c r="AK113" s="578" t="str">
        <f t="shared" ref="AK113:AK120" si="175">IF(M113="","",(COS(RADIANS((90-$Q$8)-W113))*AD113)+(-SIN(RADIANS((90-$Q$8)-W113))*AE113))</f>
        <v/>
      </c>
      <c r="AL113" s="572" t="str">
        <f t="shared" ref="AL113:AL120" si="176">IF(M113="","",(SIN(RADIANS((90-$Q$8)-W113))*AD113)+(COS(RADIANS((90-$Q$8)-W113))*AE113))</f>
        <v/>
      </c>
      <c r="AM113" s="577" t="str">
        <f t="shared" ref="AM113:AM120" si="177">IF(M113="","",AF113)</f>
        <v/>
      </c>
      <c r="AN113" s="524" t="str">
        <f t="shared" si="151"/>
        <v/>
      </c>
      <c r="AO113" s="525" t="str">
        <f t="shared" si="125"/>
        <v/>
      </c>
      <c r="AP113" s="528" t="str">
        <f t="shared" ref="AP113:AP120" si="178">IF(M113="","",DEGREES(ATAN2(AK113,AL113)))</f>
        <v/>
      </c>
      <c r="AQ113" s="529" t="str">
        <f t="shared" si="129"/>
        <v/>
      </c>
      <c r="AS113" s="598" t="str">
        <f t="shared" ref="AS113:AS120" si="179">IF(M113="","",IF(W113&lt;=LARGE($W$9:$W$17,1),W113,W113-360))</f>
        <v/>
      </c>
      <c r="AT113" s="602" t="str">
        <f t="shared" si="130"/>
        <v/>
      </c>
      <c r="AU113" s="515" t="str">
        <f t="shared" si="87"/>
        <v/>
      </c>
      <c r="AV113" s="164" t="str">
        <f t="shared" ref="AV113:AV120" si="180">M113</f>
        <v/>
      </c>
      <c r="AW113" s="545" t="str">
        <f>IF($M113="","",W113-INDEX(Assy.Model!$W$9:$W$150,MATCH('SN#.Run#'!$M113,Assy.Model!$M$9:$M$150,0)))</f>
        <v/>
      </c>
      <c r="AX113" s="628" t="str">
        <f>IF($M113="","",X113-INDEX(Assy.Model!$X$9:$X$150,MATCH('SN#.Run#'!$M113,Assy.Model!$M$9:$M$150,0)))</f>
        <v/>
      </c>
      <c r="AY113" s="629" t="str">
        <f>IF($M113="","",Y113-INDEX(Assy.Model!$Y$9:$Y$150,MATCH('SN#.Run#'!$M113,Assy.Model!$M$9:$M$150,0)))</f>
        <v/>
      </c>
      <c r="AZ113" s="602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10" t="str">
        <f>IF($M113="","",AN113-INDEX(Assy.Model!$AN$9:$AN$150,MATCH('SN#.Run#'!$M113,Assy.Model!$M$9:$M$150,0)))</f>
        <v/>
      </c>
      <c r="BB113" s="525" t="str">
        <f>IF($M113="","",AO113-INDEX(Assy.Model!$AO$9:$AO$150,MATCH('SN#.Run#'!$M113,Assy.Model!$M$9:$M$150,0)))</f>
        <v/>
      </c>
      <c r="BC113" s="619" t="str">
        <f>IF($M113="","",AP113-INDEX(Assy.Model!$AP$9:$AP$150,MATCH('SN#.Run#'!$M113,Assy.Model!$M$9:$M$150,0)))</f>
        <v/>
      </c>
      <c r="BD113" s="419"/>
      <c r="BE113" s="699"/>
      <c r="BF113" s="417"/>
      <c r="BG113" s="417"/>
      <c r="BH113" s="417"/>
      <c r="IE113" s="790" t="str">
        <f>IFERROR(IF($IU113="","",IF($IU113&lt;(((Settings!$C$19/2)*-1)*$IE$8),"Taper","Nose")),"")</f>
        <v/>
      </c>
      <c r="IF113" s="482" t="str">
        <f>IFERROR(IF((((($IW113*COS(RADIANS(180-$IY113)))*COS(RADIANS($IY113)))-(($IX113*SIN(RADIANS(180-$IY113)))*SIN(RADIANS($IY113))))+$IU113)&lt;(((Settings!$C$19+$IF$8)/2)*-1),"Gage",""),"")</f>
        <v/>
      </c>
      <c r="IG113" s="788" t="str">
        <f t="shared" si="132"/>
        <v/>
      </c>
      <c r="IH113" s="674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677" t="str" cm="1">
        <f t="array" ref="II113">IFERROR(IF($IH113&lt;1,$IH113+LARGE((IF($M$9:$M$150="",0,$M$9:$M$150)-MOD(IF($M$9:$M$150="",0,$M$9:$M$150),1)),1),$IH113),"")</f>
        <v/>
      </c>
      <c r="IJ113" s="482" t="str">
        <f t="shared" si="131"/>
        <v/>
      </c>
      <c r="IK113" s="482" t="str">
        <f t="shared" si="117"/>
        <v/>
      </c>
      <c r="IL113" s="670" t="str">
        <f t="shared" si="134"/>
        <v/>
      </c>
      <c r="IM113" s="702"/>
      <c r="IN113" s="5" t="str">
        <f t="shared" si="135"/>
        <v/>
      </c>
      <c r="IO113" s="714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670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05" t="str">
        <f t="shared" si="143"/>
        <v/>
      </c>
    </row>
    <row r="114" spans="1:259" ht="15" customHeight="1" x14ac:dyDescent="0.25">
      <c r="A114" s="82"/>
      <c r="B114" s="578" t="str">
        <f t="shared" si="144"/>
        <v/>
      </c>
      <c r="C114" s="572" t="str">
        <f t="shared" si="145"/>
        <v/>
      </c>
      <c r="D114" s="576" t="str">
        <f t="shared" si="146"/>
        <v/>
      </c>
      <c r="E114" s="580" t="str">
        <f t="shared" si="147"/>
        <v/>
      </c>
      <c r="F114" s="572" t="str">
        <f t="shared" si="148"/>
        <v/>
      </c>
      <c r="G114" s="579" t="str">
        <f t="shared" si="149"/>
        <v/>
      </c>
      <c r="H114" s="580" t="str">
        <f t="shared" si="128"/>
        <v/>
      </c>
      <c r="I114" s="482"/>
      <c r="J114" s="483" t="str">
        <v/>
      </c>
      <c r="K114" s="806" t="str">
        <f t="shared" si="133"/>
        <v/>
      </c>
      <c r="M114" s="164" t="str">
        <f t="shared" si="152"/>
        <v/>
      </c>
      <c r="N114" s="575" t="str">
        <f t="shared" si="153"/>
        <v/>
      </c>
      <c r="O114" s="572" t="str">
        <f t="shared" si="154"/>
        <v/>
      </c>
      <c r="P114" s="576" t="str">
        <f t="shared" si="155"/>
        <v/>
      </c>
      <c r="Q114" s="528" t="str">
        <f t="shared" si="156"/>
        <v/>
      </c>
      <c r="R114" s="572" t="str">
        <f t="shared" si="157"/>
        <v/>
      </c>
      <c r="S114" s="577" t="str">
        <f t="shared" si="158"/>
        <v/>
      </c>
      <c r="T114" s="578" t="str">
        <f t="shared" si="159"/>
        <v/>
      </c>
      <c r="U114" s="572" t="str">
        <f t="shared" si="160"/>
        <v/>
      </c>
      <c r="V114" s="579" t="str">
        <f t="shared" si="161"/>
        <v/>
      </c>
      <c r="W114" s="528" t="str">
        <f t="shared" si="162"/>
        <v/>
      </c>
      <c r="X114" s="572" t="str">
        <f t="shared" si="163"/>
        <v/>
      </c>
      <c r="Y114" s="573" t="str">
        <f t="shared" si="150"/>
        <v/>
      </c>
      <c r="Z114" s="575" t="str">
        <f t="shared" si="164"/>
        <v/>
      </c>
      <c r="AA114" s="572" t="str">
        <f t="shared" si="165"/>
        <v/>
      </c>
      <c r="AB114" s="572" t="str">
        <f t="shared" si="166"/>
        <v/>
      </c>
      <c r="AC114" s="579" t="str">
        <f t="shared" si="167"/>
        <v/>
      </c>
      <c r="AD114" s="580" t="str">
        <f t="shared" si="168"/>
        <v/>
      </c>
      <c r="AE114" s="572" t="str">
        <f t="shared" si="169"/>
        <v/>
      </c>
      <c r="AF114" s="576" t="str">
        <f t="shared" si="170"/>
        <v/>
      </c>
      <c r="AG114" s="545" t="str">
        <f t="shared" si="171"/>
        <v/>
      </c>
      <c r="AH114" s="546" t="str">
        <f t="shared" si="172"/>
        <v/>
      </c>
      <c r="AI114" s="528" t="str">
        <f t="shared" si="173"/>
        <v/>
      </c>
      <c r="AJ114" s="529" t="str">
        <f t="shared" si="174"/>
        <v/>
      </c>
      <c r="AK114" s="578" t="str">
        <f t="shared" si="175"/>
        <v/>
      </c>
      <c r="AL114" s="572" t="str">
        <f t="shared" si="176"/>
        <v/>
      </c>
      <c r="AM114" s="577" t="str">
        <f t="shared" si="177"/>
        <v/>
      </c>
      <c r="AN114" s="524" t="str">
        <f t="shared" si="151"/>
        <v/>
      </c>
      <c r="AO114" s="525" t="str">
        <f>IF(M114="","",IF(K114="Knuckle",0,DEGREES(ACOS(AK114))))</f>
        <v/>
      </c>
      <c r="AP114" s="528" t="str">
        <f t="shared" si="178"/>
        <v/>
      </c>
      <c r="AQ114" s="529" t="str">
        <f t="shared" si="129"/>
        <v/>
      </c>
      <c r="AS114" s="598" t="str">
        <f t="shared" si="179"/>
        <v/>
      </c>
      <c r="AT114" s="602" t="str">
        <f t="shared" si="130"/>
        <v/>
      </c>
      <c r="AU114" s="515" t="str">
        <f t="shared" si="87"/>
        <v/>
      </c>
      <c r="AV114" s="164" t="str">
        <f t="shared" si="180"/>
        <v/>
      </c>
      <c r="AW114" s="545" t="str">
        <f>IF($M114="","",W114-INDEX(Assy.Model!$W$9:$W$150,MATCH('SN#.Run#'!$M114,Assy.Model!$M$9:$M$150,0)))</f>
        <v/>
      </c>
      <c r="AX114" s="628" t="str">
        <f>IF($M114="","",X114-INDEX(Assy.Model!$X$9:$X$150,MATCH('SN#.Run#'!$M114,Assy.Model!$M$9:$M$150,0)))</f>
        <v/>
      </c>
      <c r="AY114" s="629" t="str">
        <f>IF($M114="","",Y114-INDEX(Assy.Model!$Y$9:$Y$150,MATCH('SN#.Run#'!$M114,Assy.Model!$M$9:$M$150,0)))</f>
        <v/>
      </c>
      <c r="AZ114" s="602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10" t="str">
        <f>IF($M114="","",AN114-INDEX(Assy.Model!$AN$9:$AN$150,MATCH('SN#.Run#'!$M114,Assy.Model!$M$9:$M$150,0)))</f>
        <v/>
      </c>
      <c r="BB114" s="525" t="str">
        <f>IF($M114="","",AO114-INDEX(Assy.Model!$AO$9:$AO$150,MATCH('SN#.Run#'!$M114,Assy.Model!$M$9:$M$150,0)))</f>
        <v/>
      </c>
      <c r="BC114" s="619" t="str">
        <f>IF($M114="","",AP114-INDEX(Assy.Model!$AP$9:$AP$150,MATCH('SN#.Run#'!$M114,Assy.Model!$M$9:$M$150,0)))</f>
        <v/>
      </c>
      <c r="BD114" s="419"/>
      <c r="BE114" s="699"/>
      <c r="BF114" s="417"/>
      <c r="BG114" s="417"/>
      <c r="BH114" s="417"/>
      <c r="IE114" s="790" t="str">
        <f>IFERROR(IF($IU114="","",IF($IU114&lt;(((Settings!$C$19/2)*-1)*$IE$8),"Taper","Nose")),"")</f>
        <v/>
      </c>
      <c r="IF114" s="482" t="str">
        <f>IFERROR(IF((((($IW114*COS(RADIANS(180-$IY114)))*COS(RADIANS($IY114)))-(($IX114*SIN(RADIANS(180-$IY114)))*SIN(RADIANS($IY114))))+$IU114)&lt;(((Settings!$C$19+$IF$8)/2)*-1),"Gage",""),"")</f>
        <v/>
      </c>
      <c r="IG114" s="788" t="str">
        <f t="shared" si="132"/>
        <v/>
      </c>
      <c r="IH114" s="674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677" t="str" cm="1">
        <f t="array" ref="II114">IFERROR(IF($IH114&lt;1,$IH114+LARGE((IF($M$9:$M$150="",0,$M$9:$M$150)-MOD(IF($M$9:$M$150="",0,$M$9:$M$150),1)),1),$IH114),"")</f>
        <v/>
      </c>
      <c r="IJ114" s="482" t="str">
        <f t="shared" si="131"/>
        <v/>
      </c>
      <c r="IK114" s="482" t="str">
        <f t="shared" si="117"/>
        <v/>
      </c>
      <c r="IL114" s="670" t="str">
        <f t="shared" si="134"/>
        <v/>
      </c>
      <c r="IM114" s="702"/>
      <c r="IN114" s="5" t="str">
        <f t="shared" si="135"/>
        <v/>
      </c>
      <c r="IO114" s="714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670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05" t="str">
        <f t="shared" si="143"/>
        <v/>
      </c>
    </row>
    <row r="115" spans="1:259" ht="15" customHeight="1" x14ac:dyDescent="0.25">
      <c r="A115" s="82"/>
      <c r="B115" s="578" t="str">
        <f t="shared" si="144"/>
        <v/>
      </c>
      <c r="C115" s="572" t="str">
        <f t="shared" si="145"/>
        <v/>
      </c>
      <c r="D115" s="576" t="str">
        <f t="shared" si="146"/>
        <v/>
      </c>
      <c r="E115" s="580" t="str">
        <f t="shared" si="147"/>
        <v/>
      </c>
      <c r="F115" s="572" t="str">
        <f t="shared" si="148"/>
        <v/>
      </c>
      <c r="G115" s="579" t="str">
        <f t="shared" si="149"/>
        <v/>
      </c>
      <c r="H115" s="580" t="str">
        <f t="shared" si="128"/>
        <v/>
      </c>
      <c r="I115" s="482"/>
      <c r="J115" s="483" t="str">
        <v/>
      </c>
      <c r="K115" s="806" t="str">
        <f t="shared" si="133"/>
        <v/>
      </c>
      <c r="M115" s="164" t="str">
        <f t="shared" si="152"/>
        <v/>
      </c>
      <c r="N115" s="575" t="str">
        <f t="shared" si="153"/>
        <v/>
      </c>
      <c r="O115" s="572" t="str">
        <f t="shared" si="154"/>
        <v/>
      </c>
      <c r="P115" s="576" t="str">
        <f t="shared" si="155"/>
        <v/>
      </c>
      <c r="Q115" s="528" t="str">
        <f t="shared" si="156"/>
        <v/>
      </c>
      <c r="R115" s="572" t="str">
        <f t="shared" si="157"/>
        <v/>
      </c>
      <c r="S115" s="577" t="str">
        <f t="shared" si="158"/>
        <v/>
      </c>
      <c r="T115" s="578" t="str">
        <f t="shared" si="159"/>
        <v/>
      </c>
      <c r="U115" s="572" t="str">
        <f t="shared" si="160"/>
        <v/>
      </c>
      <c r="V115" s="579" t="str">
        <f t="shared" si="161"/>
        <v/>
      </c>
      <c r="W115" s="528" t="str">
        <f t="shared" si="162"/>
        <v/>
      </c>
      <c r="X115" s="572" t="str">
        <f t="shared" si="163"/>
        <v/>
      </c>
      <c r="Y115" s="573" t="str">
        <f t="shared" si="150"/>
        <v/>
      </c>
      <c r="Z115" s="575" t="str">
        <f t="shared" si="164"/>
        <v/>
      </c>
      <c r="AA115" s="572" t="str">
        <f t="shared" si="165"/>
        <v/>
      </c>
      <c r="AB115" s="572" t="str">
        <f t="shared" si="166"/>
        <v/>
      </c>
      <c r="AC115" s="579" t="str">
        <f t="shared" si="167"/>
        <v/>
      </c>
      <c r="AD115" s="580" t="str">
        <f t="shared" si="168"/>
        <v/>
      </c>
      <c r="AE115" s="572" t="str">
        <f t="shared" si="169"/>
        <v/>
      </c>
      <c r="AF115" s="576" t="str">
        <f t="shared" si="170"/>
        <v/>
      </c>
      <c r="AG115" s="545" t="str">
        <f t="shared" si="171"/>
        <v/>
      </c>
      <c r="AH115" s="546" t="str">
        <f t="shared" si="172"/>
        <v/>
      </c>
      <c r="AI115" s="528" t="str">
        <f t="shared" si="173"/>
        <v/>
      </c>
      <c r="AJ115" s="529" t="str">
        <f t="shared" si="174"/>
        <v/>
      </c>
      <c r="AK115" s="578" t="str">
        <f t="shared" si="175"/>
        <v/>
      </c>
      <c r="AL115" s="572" t="str">
        <f t="shared" si="176"/>
        <v/>
      </c>
      <c r="AM115" s="577" t="str">
        <f t="shared" si="177"/>
        <v/>
      </c>
      <c r="AN115" s="524" t="str">
        <f t="shared" si="151"/>
        <v/>
      </c>
      <c r="AO115" s="525" t="str">
        <f t="shared" ref="AO115:AO150" si="181">IF(M115="","",IF(K115="Knuckle",0,DEGREES(ACOS(AK115))))</f>
        <v/>
      </c>
      <c r="AP115" s="528" t="str">
        <f t="shared" si="178"/>
        <v/>
      </c>
      <c r="AQ115" s="529" t="str">
        <f t="shared" si="129"/>
        <v/>
      </c>
      <c r="AS115" s="598" t="str">
        <f t="shared" si="179"/>
        <v/>
      </c>
      <c r="AT115" s="602" t="str">
        <f t="shared" si="130"/>
        <v/>
      </c>
      <c r="AU115" s="515" t="str">
        <f t="shared" si="87"/>
        <v/>
      </c>
      <c r="AV115" s="164" t="str">
        <f t="shared" si="180"/>
        <v/>
      </c>
      <c r="AW115" s="545" t="str">
        <f>IF($M115="","",W115-INDEX(Assy.Model!$W$9:$W$150,MATCH('SN#.Run#'!$M115,Assy.Model!$M$9:$M$150,0)))</f>
        <v/>
      </c>
      <c r="AX115" s="628" t="str">
        <f>IF($M115="","",X115-INDEX(Assy.Model!$X$9:$X$150,MATCH('SN#.Run#'!$M115,Assy.Model!$M$9:$M$150,0)))</f>
        <v/>
      </c>
      <c r="AY115" s="629" t="str">
        <f>IF($M115="","",Y115-INDEX(Assy.Model!$Y$9:$Y$150,MATCH('SN#.Run#'!$M115,Assy.Model!$M$9:$M$150,0)))</f>
        <v/>
      </c>
      <c r="AZ115" s="602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10" t="str">
        <f>IF($M115="","",AN115-INDEX(Assy.Model!$AN$9:$AN$150,MATCH('SN#.Run#'!$M115,Assy.Model!$M$9:$M$150,0)))</f>
        <v/>
      </c>
      <c r="BB115" s="525" t="str">
        <f>IF($M115="","",AO115-INDEX(Assy.Model!$AO$9:$AO$150,MATCH('SN#.Run#'!$M115,Assy.Model!$M$9:$M$150,0)))</f>
        <v/>
      </c>
      <c r="BC115" s="619" t="str">
        <f>IF($M115="","",AP115-INDEX(Assy.Model!$AP$9:$AP$150,MATCH('SN#.Run#'!$M115,Assy.Model!$M$9:$M$150,0)))</f>
        <v/>
      </c>
      <c r="BD115" s="419"/>
      <c r="BE115" s="699"/>
      <c r="BF115" s="417"/>
      <c r="BG115" s="417"/>
      <c r="BH115" s="417"/>
      <c r="IE115" s="790" t="str">
        <f>IFERROR(IF($IU115="","",IF($IU115&lt;(((Settings!$C$19/2)*-1)*$IE$8),"Taper","Nose")),"")</f>
        <v/>
      </c>
      <c r="IF115" s="482" t="str">
        <f>IFERROR(IF((((($IW115*COS(RADIANS(180-$IY115)))*COS(RADIANS($IY115)))-(($IX115*SIN(RADIANS(180-$IY115)))*SIN(RADIANS($IY115))))+$IU115)&lt;(((Settings!$C$19+$IF$8)/2)*-1),"Gage",""),"")</f>
        <v/>
      </c>
      <c r="IG115" s="788" t="str">
        <f t="shared" si="132"/>
        <v/>
      </c>
      <c r="IH115" s="674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677" t="str" cm="1">
        <f t="array" ref="II115">IFERROR(IF($IH115&lt;1,$IH115+LARGE((IF($M$9:$M$150="",0,$M$9:$M$150)-MOD(IF($M$9:$M$150="",0,$M$9:$M$150),1)),1),$IH115),"")</f>
        <v/>
      </c>
      <c r="IJ115" s="482" t="str">
        <f t="shared" si="131"/>
        <v/>
      </c>
      <c r="IK115" s="482" t="str">
        <f t="shared" si="117"/>
        <v/>
      </c>
      <c r="IL115" s="670" t="str">
        <f t="shared" si="134"/>
        <v/>
      </c>
      <c r="IM115" s="702"/>
      <c r="IN115" s="5" t="str">
        <f t="shared" si="135"/>
        <v/>
      </c>
      <c r="IO115" s="714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670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05" t="str">
        <f t="shared" si="143"/>
        <v/>
      </c>
    </row>
    <row r="116" spans="1:259" ht="15" customHeight="1" x14ac:dyDescent="0.25">
      <c r="A116" s="82"/>
      <c r="B116" s="578" t="str">
        <f t="shared" si="144"/>
        <v/>
      </c>
      <c r="C116" s="572" t="str">
        <f t="shared" si="145"/>
        <v/>
      </c>
      <c r="D116" s="576" t="str">
        <f t="shared" si="146"/>
        <v/>
      </c>
      <c r="E116" s="580" t="str">
        <f t="shared" si="147"/>
        <v/>
      </c>
      <c r="F116" s="572" t="str">
        <f t="shared" si="148"/>
        <v/>
      </c>
      <c r="G116" s="579" t="str">
        <f t="shared" si="149"/>
        <v/>
      </c>
      <c r="H116" s="580" t="str">
        <f t="shared" si="128"/>
        <v/>
      </c>
      <c r="I116" s="482"/>
      <c r="J116" s="483" t="str">
        <v/>
      </c>
      <c r="K116" s="806" t="str">
        <f t="shared" si="133"/>
        <v/>
      </c>
      <c r="M116" s="164" t="str">
        <f t="shared" si="152"/>
        <v/>
      </c>
      <c r="N116" s="575" t="str">
        <f t="shared" si="153"/>
        <v/>
      </c>
      <c r="O116" s="572" t="str">
        <f t="shared" si="154"/>
        <v/>
      </c>
      <c r="P116" s="576" t="str">
        <f t="shared" si="155"/>
        <v/>
      </c>
      <c r="Q116" s="528" t="str">
        <f t="shared" si="156"/>
        <v/>
      </c>
      <c r="R116" s="572" t="str">
        <f t="shared" si="157"/>
        <v/>
      </c>
      <c r="S116" s="577" t="str">
        <f t="shared" si="158"/>
        <v/>
      </c>
      <c r="T116" s="578" t="str">
        <f t="shared" si="159"/>
        <v/>
      </c>
      <c r="U116" s="572" t="str">
        <f t="shared" si="160"/>
        <v/>
      </c>
      <c r="V116" s="579" t="str">
        <f t="shared" si="161"/>
        <v/>
      </c>
      <c r="W116" s="528" t="str">
        <f t="shared" si="162"/>
        <v/>
      </c>
      <c r="X116" s="572" t="str">
        <f t="shared" si="163"/>
        <v/>
      </c>
      <c r="Y116" s="573" t="str">
        <f t="shared" si="150"/>
        <v/>
      </c>
      <c r="Z116" s="575" t="str">
        <f t="shared" si="164"/>
        <v/>
      </c>
      <c r="AA116" s="572" t="str">
        <f t="shared" si="165"/>
        <v/>
      </c>
      <c r="AB116" s="572" t="str">
        <f t="shared" si="166"/>
        <v/>
      </c>
      <c r="AC116" s="579" t="str">
        <f t="shared" si="167"/>
        <v/>
      </c>
      <c r="AD116" s="580" t="str">
        <f t="shared" si="168"/>
        <v/>
      </c>
      <c r="AE116" s="572" t="str">
        <f t="shared" si="169"/>
        <v/>
      </c>
      <c r="AF116" s="576" t="str">
        <f t="shared" si="170"/>
        <v/>
      </c>
      <c r="AG116" s="545" t="str">
        <f t="shared" si="171"/>
        <v/>
      </c>
      <c r="AH116" s="546" t="str">
        <f t="shared" si="172"/>
        <v/>
      </c>
      <c r="AI116" s="528" t="str">
        <f t="shared" si="173"/>
        <v/>
      </c>
      <c r="AJ116" s="529" t="str">
        <f t="shared" si="174"/>
        <v/>
      </c>
      <c r="AK116" s="578" t="str">
        <f t="shared" si="175"/>
        <v/>
      </c>
      <c r="AL116" s="572" t="str">
        <f t="shared" si="176"/>
        <v/>
      </c>
      <c r="AM116" s="577" t="str">
        <f t="shared" si="177"/>
        <v/>
      </c>
      <c r="AN116" s="524" t="str">
        <f t="shared" si="151"/>
        <v/>
      </c>
      <c r="AO116" s="525" t="str">
        <f t="shared" si="181"/>
        <v/>
      </c>
      <c r="AP116" s="528" t="str">
        <f t="shared" si="178"/>
        <v/>
      </c>
      <c r="AQ116" s="529" t="str">
        <f t="shared" si="129"/>
        <v/>
      </c>
      <c r="AS116" s="598" t="str">
        <f t="shared" si="179"/>
        <v/>
      </c>
      <c r="AT116" s="602" t="str">
        <f t="shared" si="130"/>
        <v/>
      </c>
      <c r="AU116" s="515" t="str">
        <f t="shared" si="87"/>
        <v/>
      </c>
      <c r="AV116" s="164" t="str">
        <f t="shared" si="180"/>
        <v/>
      </c>
      <c r="AW116" s="545" t="str">
        <f>IF($M116="","",W116-INDEX(Assy.Model!$W$9:$W$150,MATCH('SN#.Run#'!$M116,Assy.Model!$M$9:$M$150,0)))</f>
        <v/>
      </c>
      <c r="AX116" s="628" t="str">
        <f>IF($M116="","",X116-INDEX(Assy.Model!$X$9:$X$150,MATCH('SN#.Run#'!$M116,Assy.Model!$M$9:$M$150,0)))</f>
        <v/>
      </c>
      <c r="AY116" s="629" t="str">
        <f>IF($M116="","",Y116-INDEX(Assy.Model!$Y$9:$Y$150,MATCH('SN#.Run#'!$M116,Assy.Model!$M$9:$M$150,0)))</f>
        <v/>
      </c>
      <c r="AZ116" s="602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10" t="str">
        <f>IF($M116="","",AN116-INDEX(Assy.Model!$AN$9:$AN$150,MATCH('SN#.Run#'!$M116,Assy.Model!$M$9:$M$150,0)))</f>
        <v/>
      </c>
      <c r="BB116" s="525" t="str">
        <f>IF($M116="","",AO116-INDEX(Assy.Model!$AO$9:$AO$150,MATCH('SN#.Run#'!$M116,Assy.Model!$M$9:$M$150,0)))</f>
        <v/>
      </c>
      <c r="BC116" s="619" t="str">
        <f>IF($M116="","",AP116-INDEX(Assy.Model!$AP$9:$AP$150,MATCH('SN#.Run#'!$M116,Assy.Model!$M$9:$M$150,0)))</f>
        <v/>
      </c>
      <c r="BD116" s="419"/>
      <c r="BE116" s="699"/>
      <c r="BF116" s="417"/>
      <c r="BG116" s="417"/>
      <c r="BH116" s="417"/>
      <c r="IE116" s="790" t="str">
        <f>IFERROR(IF($IU116="","",IF($IU116&lt;(((Settings!$C$19/2)*-1)*$IE$8),"Taper","Nose")),"")</f>
        <v/>
      </c>
      <c r="IF116" s="482" t="str">
        <f>IFERROR(IF((((($IW116*COS(RADIANS(180-$IY116)))*COS(RADIANS($IY116)))-(($IX116*SIN(RADIANS(180-$IY116)))*SIN(RADIANS($IY116))))+$IU116)&lt;(((Settings!$C$19+$IF$8)/2)*-1),"Gage",""),"")</f>
        <v/>
      </c>
      <c r="IG116" s="788" t="str">
        <f t="shared" si="132"/>
        <v/>
      </c>
      <c r="IH116" s="674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677" t="str" cm="1">
        <f t="array" ref="II116">IFERROR(IF($IH116&lt;1,$IH116+LARGE((IF($M$9:$M$150="",0,$M$9:$M$150)-MOD(IF($M$9:$M$150="",0,$M$9:$M$150),1)),1),$IH116),"")</f>
        <v/>
      </c>
      <c r="IJ116" s="482" t="str">
        <f t="shared" si="131"/>
        <v/>
      </c>
      <c r="IK116" s="482" t="str">
        <f t="shared" si="117"/>
        <v/>
      </c>
      <c r="IL116" s="670" t="str">
        <f t="shared" si="134"/>
        <v/>
      </c>
      <c r="IM116" s="702"/>
      <c r="IN116" s="5" t="str">
        <f t="shared" si="135"/>
        <v/>
      </c>
      <c r="IO116" s="714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670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05" t="str">
        <f t="shared" si="143"/>
        <v/>
      </c>
    </row>
    <row r="117" spans="1:259" ht="15" customHeight="1" x14ac:dyDescent="0.25">
      <c r="A117" s="82"/>
      <c r="B117" s="578" t="str">
        <f t="shared" si="144"/>
        <v/>
      </c>
      <c r="C117" s="572" t="str">
        <f t="shared" si="145"/>
        <v/>
      </c>
      <c r="D117" s="576" t="str">
        <f t="shared" si="146"/>
        <v/>
      </c>
      <c r="E117" s="580" t="str">
        <f t="shared" si="147"/>
        <v/>
      </c>
      <c r="F117" s="572" t="str">
        <f t="shared" si="148"/>
        <v/>
      </c>
      <c r="G117" s="579" t="str">
        <f t="shared" si="149"/>
        <v/>
      </c>
      <c r="H117" s="580" t="str">
        <f t="shared" si="128"/>
        <v/>
      </c>
      <c r="I117" s="482"/>
      <c r="J117" s="483" t="str">
        <v/>
      </c>
      <c r="K117" s="806" t="str">
        <f t="shared" si="133"/>
        <v/>
      </c>
      <c r="M117" s="164" t="str">
        <f t="shared" si="152"/>
        <v/>
      </c>
      <c r="N117" s="575" t="str">
        <f t="shared" si="153"/>
        <v/>
      </c>
      <c r="O117" s="572" t="str">
        <f t="shared" si="154"/>
        <v/>
      </c>
      <c r="P117" s="576" t="str">
        <f t="shared" si="155"/>
        <v/>
      </c>
      <c r="Q117" s="528" t="str">
        <f t="shared" si="156"/>
        <v/>
      </c>
      <c r="R117" s="572" t="str">
        <f t="shared" si="157"/>
        <v/>
      </c>
      <c r="S117" s="577" t="str">
        <f t="shared" si="158"/>
        <v/>
      </c>
      <c r="T117" s="578" t="str">
        <f t="shared" si="159"/>
        <v/>
      </c>
      <c r="U117" s="572" t="str">
        <f t="shared" si="160"/>
        <v/>
      </c>
      <c r="V117" s="579" t="str">
        <f t="shared" si="161"/>
        <v/>
      </c>
      <c r="W117" s="528" t="str">
        <f t="shared" si="162"/>
        <v/>
      </c>
      <c r="X117" s="572" t="str">
        <f t="shared" si="163"/>
        <v/>
      </c>
      <c r="Y117" s="573" t="str">
        <f t="shared" si="150"/>
        <v/>
      </c>
      <c r="Z117" s="575" t="str">
        <f t="shared" si="164"/>
        <v/>
      </c>
      <c r="AA117" s="572" t="str">
        <f t="shared" si="165"/>
        <v/>
      </c>
      <c r="AB117" s="572" t="str">
        <f t="shared" si="166"/>
        <v/>
      </c>
      <c r="AC117" s="579" t="str">
        <f t="shared" si="167"/>
        <v/>
      </c>
      <c r="AD117" s="580" t="str">
        <f t="shared" si="168"/>
        <v/>
      </c>
      <c r="AE117" s="572" t="str">
        <f t="shared" si="169"/>
        <v/>
      </c>
      <c r="AF117" s="576" t="str">
        <f t="shared" si="170"/>
        <v/>
      </c>
      <c r="AG117" s="545" t="str">
        <f t="shared" si="171"/>
        <v/>
      </c>
      <c r="AH117" s="546" t="str">
        <f t="shared" si="172"/>
        <v/>
      </c>
      <c r="AI117" s="528" t="str">
        <f t="shared" si="173"/>
        <v/>
      </c>
      <c r="AJ117" s="529" t="str">
        <f t="shared" si="174"/>
        <v/>
      </c>
      <c r="AK117" s="578" t="str">
        <f t="shared" si="175"/>
        <v/>
      </c>
      <c r="AL117" s="572" t="str">
        <f t="shared" si="176"/>
        <v/>
      </c>
      <c r="AM117" s="577" t="str">
        <f t="shared" si="177"/>
        <v/>
      </c>
      <c r="AN117" s="524" t="str">
        <f t="shared" si="151"/>
        <v/>
      </c>
      <c r="AO117" s="525" t="str">
        <f t="shared" si="181"/>
        <v/>
      </c>
      <c r="AP117" s="528" t="str">
        <f t="shared" si="178"/>
        <v/>
      </c>
      <c r="AQ117" s="529" t="str">
        <f t="shared" si="129"/>
        <v/>
      </c>
      <c r="AS117" s="598" t="str">
        <f t="shared" si="179"/>
        <v/>
      </c>
      <c r="AT117" s="602" t="str">
        <f t="shared" si="130"/>
        <v/>
      </c>
      <c r="AU117" s="515" t="str">
        <f t="shared" si="87"/>
        <v/>
      </c>
      <c r="AV117" s="164" t="str">
        <f t="shared" si="180"/>
        <v/>
      </c>
      <c r="AW117" s="545" t="str">
        <f>IF($M117="","",W117-INDEX(Assy.Model!$W$9:$W$150,MATCH('SN#.Run#'!$M117,Assy.Model!$M$9:$M$150,0)))</f>
        <v/>
      </c>
      <c r="AX117" s="628" t="str">
        <f>IF($M117="","",X117-INDEX(Assy.Model!$X$9:$X$150,MATCH('SN#.Run#'!$M117,Assy.Model!$M$9:$M$150,0)))</f>
        <v/>
      </c>
      <c r="AY117" s="629" t="str">
        <f>IF($M117="","",Y117-INDEX(Assy.Model!$Y$9:$Y$150,MATCH('SN#.Run#'!$M117,Assy.Model!$M$9:$M$150,0)))</f>
        <v/>
      </c>
      <c r="AZ117" s="602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10" t="str">
        <f>IF($M117="","",AN117-INDEX(Assy.Model!$AN$9:$AN$150,MATCH('SN#.Run#'!$M117,Assy.Model!$M$9:$M$150,0)))</f>
        <v/>
      </c>
      <c r="BB117" s="525" t="str">
        <f>IF($M117="","",AO117-INDEX(Assy.Model!$AO$9:$AO$150,MATCH('SN#.Run#'!$M117,Assy.Model!$M$9:$M$150,0)))</f>
        <v/>
      </c>
      <c r="BC117" s="619" t="str">
        <f>IF($M117="","",AP117-INDEX(Assy.Model!$AP$9:$AP$150,MATCH('SN#.Run#'!$M117,Assy.Model!$M$9:$M$150,0)))</f>
        <v/>
      </c>
      <c r="BD117" s="419"/>
      <c r="BE117" s="699"/>
      <c r="BF117" s="417"/>
      <c r="BG117" s="417"/>
      <c r="BH117" s="417"/>
      <c r="IE117" s="790" t="str">
        <f>IFERROR(IF($IU117="","",IF($IU117&lt;(((Settings!$C$19/2)*-1)*$IE$8),"Taper","Nose")),"")</f>
        <v/>
      </c>
      <c r="IF117" s="482" t="str">
        <f>IFERROR(IF((((($IW117*COS(RADIANS(180-$IY117)))*COS(RADIANS($IY117)))-(($IX117*SIN(RADIANS(180-$IY117)))*SIN(RADIANS($IY117))))+$IU117)&lt;(((Settings!$C$19+$IF$8)/2)*-1),"Gage",""),"")</f>
        <v/>
      </c>
      <c r="IG117" s="788" t="str">
        <f t="shared" si="132"/>
        <v/>
      </c>
      <c r="IH117" s="674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677" t="str" cm="1">
        <f t="array" ref="II117">IFERROR(IF($IH117&lt;1,$IH117+LARGE((IF($M$9:$M$150="",0,$M$9:$M$150)-MOD(IF($M$9:$M$150="",0,$M$9:$M$150),1)),1),$IH117),"")</f>
        <v/>
      </c>
      <c r="IJ117" s="482" t="str">
        <f t="shared" si="131"/>
        <v/>
      </c>
      <c r="IK117" s="482" t="str">
        <f t="shared" si="117"/>
        <v/>
      </c>
      <c r="IL117" s="670" t="str">
        <f t="shared" si="134"/>
        <v/>
      </c>
      <c r="IM117" s="702"/>
      <c r="IN117" s="5" t="str">
        <f t="shared" si="135"/>
        <v/>
      </c>
      <c r="IO117" s="714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670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05" t="str">
        <f t="shared" si="143"/>
        <v/>
      </c>
    </row>
    <row r="118" spans="1:259" ht="15" customHeight="1" x14ac:dyDescent="0.25">
      <c r="A118" s="82"/>
      <c r="B118" s="578" t="str">
        <f t="shared" si="144"/>
        <v/>
      </c>
      <c r="C118" s="572" t="str">
        <f t="shared" si="145"/>
        <v/>
      </c>
      <c r="D118" s="576" t="str">
        <f t="shared" si="146"/>
        <v/>
      </c>
      <c r="E118" s="580" t="str">
        <f t="shared" si="147"/>
        <v/>
      </c>
      <c r="F118" s="572" t="str">
        <f t="shared" si="148"/>
        <v/>
      </c>
      <c r="G118" s="579" t="str">
        <f t="shared" si="149"/>
        <v/>
      </c>
      <c r="H118" s="580" t="str">
        <f t="shared" si="128"/>
        <v/>
      </c>
      <c r="I118" s="482"/>
      <c r="J118" s="483" t="str">
        <v/>
      </c>
      <c r="K118" s="806" t="str">
        <f t="shared" si="133"/>
        <v/>
      </c>
      <c r="M118" s="164" t="str">
        <f t="shared" si="152"/>
        <v/>
      </c>
      <c r="N118" s="575" t="str">
        <f t="shared" si="153"/>
        <v/>
      </c>
      <c r="O118" s="572" t="str">
        <f t="shared" si="154"/>
        <v/>
      </c>
      <c r="P118" s="576" t="str">
        <f t="shared" si="155"/>
        <v/>
      </c>
      <c r="Q118" s="528" t="str">
        <f t="shared" si="156"/>
        <v/>
      </c>
      <c r="R118" s="572" t="str">
        <f t="shared" si="157"/>
        <v/>
      </c>
      <c r="S118" s="577" t="str">
        <f t="shared" si="158"/>
        <v/>
      </c>
      <c r="T118" s="578" t="str">
        <f t="shared" si="159"/>
        <v/>
      </c>
      <c r="U118" s="572" t="str">
        <f t="shared" si="160"/>
        <v/>
      </c>
      <c r="V118" s="579" t="str">
        <f t="shared" si="161"/>
        <v/>
      </c>
      <c r="W118" s="528" t="str">
        <f t="shared" si="162"/>
        <v/>
      </c>
      <c r="X118" s="572" t="str">
        <f t="shared" si="163"/>
        <v/>
      </c>
      <c r="Y118" s="573" t="str">
        <f t="shared" si="150"/>
        <v/>
      </c>
      <c r="Z118" s="575" t="str">
        <f t="shared" si="164"/>
        <v/>
      </c>
      <c r="AA118" s="572" t="str">
        <f t="shared" si="165"/>
        <v/>
      </c>
      <c r="AB118" s="572" t="str">
        <f t="shared" si="166"/>
        <v/>
      </c>
      <c r="AC118" s="579" t="str">
        <f t="shared" si="167"/>
        <v/>
      </c>
      <c r="AD118" s="580" t="str">
        <f t="shared" si="168"/>
        <v/>
      </c>
      <c r="AE118" s="572" t="str">
        <f t="shared" si="169"/>
        <v/>
      </c>
      <c r="AF118" s="576" t="str">
        <f t="shared" si="170"/>
        <v/>
      </c>
      <c r="AG118" s="545" t="str">
        <f t="shared" si="171"/>
        <v/>
      </c>
      <c r="AH118" s="546" t="str">
        <f t="shared" si="172"/>
        <v/>
      </c>
      <c r="AI118" s="528" t="str">
        <f t="shared" si="173"/>
        <v/>
      </c>
      <c r="AJ118" s="529" t="str">
        <f t="shared" si="174"/>
        <v/>
      </c>
      <c r="AK118" s="578" t="str">
        <f t="shared" si="175"/>
        <v/>
      </c>
      <c r="AL118" s="572" t="str">
        <f t="shared" si="176"/>
        <v/>
      </c>
      <c r="AM118" s="577" t="str">
        <f t="shared" si="177"/>
        <v/>
      </c>
      <c r="AN118" s="524" t="str">
        <f t="shared" si="151"/>
        <v/>
      </c>
      <c r="AO118" s="525" t="str">
        <f t="shared" si="181"/>
        <v/>
      </c>
      <c r="AP118" s="528" t="str">
        <f t="shared" si="178"/>
        <v/>
      </c>
      <c r="AQ118" s="529" t="str">
        <f t="shared" si="129"/>
        <v/>
      </c>
      <c r="AS118" s="598" t="str">
        <f t="shared" si="179"/>
        <v/>
      </c>
      <c r="AT118" s="602" t="str">
        <f t="shared" si="130"/>
        <v/>
      </c>
      <c r="AU118" s="515" t="str">
        <f>IFERROR(ROUNDDOWN(AV118,1),"")</f>
        <v/>
      </c>
      <c r="AV118" s="164" t="str">
        <f t="shared" si="180"/>
        <v/>
      </c>
      <c r="AW118" s="545" t="str">
        <f>IF($M118="","",W118-INDEX(Assy.Model!$W$9:$W$150,MATCH('SN#.Run#'!$M118,Assy.Model!$M$9:$M$150,0)))</f>
        <v/>
      </c>
      <c r="AX118" s="628" t="str">
        <f>IF($M118="","",X118-INDEX(Assy.Model!$X$9:$X$150,MATCH('SN#.Run#'!$M118,Assy.Model!$M$9:$M$150,0)))</f>
        <v/>
      </c>
      <c r="AY118" s="629" t="str">
        <f>IF($M118="","",Y118-INDEX(Assy.Model!$Y$9:$Y$150,MATCH('SN#.Run#'!$M118,Assy.Model!$M$9:$M$150,0)))</f>
        <v/>
      </c>
      <c r="AZ118" s="602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10" t="str">
        <f>IF($M118="","",AN118-INDEX(Assy.Model!$AN$9:$AN$150,MATCH('SN#.Run#'!$M118,Assy.Model!$M$9:$M$150,0)))</f>
        <v/>
      </c>
      <c r="BB118" s="525" t="str">
        <f>IF($M118="","",AO118-INDEX(Assy.Model!$AO$9:$AO$150,MATCH('SN#.Run#'!$M118,Assy.Model!$M$9:$M$150,0)))</f>
        <v/>
      </c>
      <c r="BC118" s="619" t="str">
        <f>IF($M118="","",AP118-INDEX(Assy.Model!$AP$9:$AP$150,MATCH('SN#.Run#'!$M118,Assy.Model!$M$9:$M$150,0)))</f>
        <v/>
      </c>
      <c r="BD118" s="419"/>
      <c r="BE118" s="699"/>
      <c r="BF118" s="417"/>
      <c r="BG118" s="417"/>
      <c r="BH118" s="417"/>
      <c r="IE118" s="790" t="str">
        <f>IFERROR(IF($IU118="","",IF($IU118&lt;(((Settings!$C$19/2)*-1)*$IE$8),"Taper","Nose")),"")</f>
        <v/>
      </c>
      <c r="IF118" s="482" t="str">
        <f>IFERROR(IF((((($IW118*COS(RADIANS(180-$IY118)))*COS(RADIANS($IY118)))-(($IX118*SIN(RADIANS(180-$IY118)))*SIN(RADIANS($IY118))))+$IU118)&lt;(((Settings!$C$19+$IF$8)/2)*-1),"Gage",""),"")</f>
        <v/>
      </c>
      <c r="IG118" s="788" t="str">
        <f t="shared" si="132"/>
        <v/>
      </c>
      <c r="IH118" s="674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677" t="str" cm="1">
        <f t="array" ref="II118">IFERROR(IF($IH118&lt;1,$IH118+LARGE((IF($M$9:$M$150="",0,$M$9:$M$150)-MOD(IF($M$9:$M$150="",0,$M$9:$M$150),1)),1),$IH118),"")</f>
        <v/>
      </c>
      <c r="IJ118" s="482" t="str">
        <f t="shared" si="131"/>
        <v/>
      </c>
      <c r="IK118" s="482" t="str">
        <f t="shared" si="117"/>
        <v/>
      </c>
      <c r="IL118" s="670" t="str">
        <f t="shared" si="134"/>
        <v/>
      </c>
      <c r="IM118" s="702"/>
      <c r="IN118" s="5" t="str">
        <f t="shared" si="135"/>
        <v/>
      </c>
      <c r="IO118" s="714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670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05" t="str">
        <f t="shared" si="143"/>
        <v/>
      </c>
    </row>
    <row r="119" spans="1:259" ht="15" customHeight="1" x14ac:dyDescent="0.25">
      <c r="A119" s="82"/>
      <c r="B119" s="578" t="str">
        <f t="shared" si="144"/>
        <v/>
      </c>
      <c r="C119" s="572" t="str">
        <f t="shared" si="145"/>
        <v/>
      </c>
      <c r="D119" s="576" t="str">
        <f t="shared" si="146"/>
        <v/>
      </c>
      <c r="E119" s="580" t="str">
        <f t="shared" si="147"/>
        <v/>
      </c>
      <c r="F119" s="572" t="str">
        <f t="shared" si="148"/>
        <v/>
      </c>
      <c r="G119" s="579" t="str">
        <f t="shared" si="149"/>
        <v/>
      </c>
      <c r="H119" s="580" t="str">
        <f t="shared" si="128"/>
        <v/>
      </c>
      <c r="I119" s="482"/>
      <c r="J119" s="483" t="str">
        <v/>
      </c>
      <c r="K119" s="806" t="str">
        <f t="shared" si="133"/>
        <v/>
      </c>
      <c r="M119" s="164" t="str">
        <f t="shared" si="152"/>
        <v/>
      </c>
      <c r="N119" s="575" t="str">
        <f t="shared" si="153"/>
        <v/>
      </c>
      <c r="O119" s="572" t="str">
        <f t="shared" si="154"/>
        <v/>
      </c>
      <c r="P119" s="576" t="str">
        <f t="shared" si="155"/>
        <v/>
      </c>
      <c r="Q119" s="528" t="str">
        <f t="shared" si="156"/>
        <v/>
      </c>
      <c r="R119" s="572" t="str">
        <f t="shared" si="157"/>
        <v/>
      </c>
      <c r="S119" s="577" t="str">
        <f t="shared" si="158"/>
        <v/>
      </c>
      <c r="T119" s="578" t="str">
        <f t="shared" si="159"/>
        <v/>
      </c>
      <c r="U119" s="572" t="str">
        <f t="shared" si="160"/>
        <v/>
      </c>
      <c r="V119" s="579" t="str">
        <f t="shared" si="161"/>
        <v/>
      </c>
      <c r="W119" s="528" t="str">
        <f t="shared" si="162"/>
        <v/>
      </c>
      <c r="X119" s="572" t="str">
        <f t="shared" si="163"/>
        <v/>
      </c>
      <c r="Y119" s="573" t="str">
        <f t="shared" si="150"/>
        <v/>
      </c>
      <c r="Z119" s="575" t="str">
        <f t="shared" si="164"/>
        <v/>
      </c>
      <c r="AA119" s="572" t="str">
        <f t="shared" si="165"/>
        <v/>
      </c>
      <c r="AB119" s="572" t="str">
        <f t="shared" si="166"/>
        <v/>
      </c>
      <c r="AC119" s="579" t="str">
        <f t="shared" si="167"/>
        <v/>
      </c>
      <c r="AD119" s="580" t="str">
        <f t="shared" si="168"/>
        <v/>
      </c>
      <c r="AE119" s="572" t="str">
        <f t="shared" si="169"/>
        <v/>
      </c>
      <c r="AF119" s="576" t="str">
        <f t="shared" si="170"/>
        <v/>
      </c>
      <c r="AG119" s="545" t="str">
        <f t="shared" si="171"/>
        <v/>
      </c>
      <c r="AH119" s="546" t="str">
        <f t="shared" si="172"/>
        <v/>
      </c>
      <c r="AI119" s="528" t="str">
        <f t="shared" si="173"/>
        <v/>
      </c>
      <c r="AJ119" s="529" t="str">
        <f t="shared" si="174"/>
        <v/>
      </c>
      <c r="AK119" s="578" t="str">
        <f t="shared" si="175"/>
        <v/>
      </c>
      <c r="AL119" s="572" t="str">
        <f t="shared" si="176"/>
        <v/>
      </c>
      <c r="AM119" s="577" t="str">
        <f t="shared" si="177"/>
        <v/>
      </c>
      <c r="AN119" s="524" t="str">
        <f t="shared" si="151"/>
        <v/>
      </c>
      <c r="AO119" s="525" t="str">
        <f t="shared" si="181"/>
        <v/>
      </c>
      <c r="AP119" s="528" t="str">
        <f t="shared" si="178"/>
        <v/>
      </c>
      <c r="AQ119" s="529" t="str">
        <f t="shared" si="129"/>
        <v/>
      </c>
      <c r="AS119" s="598" t="str">
        <f t="shared" si="179"/>
        <v/>
      </c>
      <c r="AT119" s="602" t="str">
        <f t="shared" si="130"/>
        <v/>
      </c>
      <c r="AU119" s="515" t="str">
        <f>IFERROR(ROUNDDOWN(AV119,1),"")</f>
        <v/>
      </c>
      <c r="AV119" s="164" t="str">
        <f t="shared" si="180"/>
        <v/>
      </c>
      <c r="AW119" s="545" t="str">
        <f>IF($M119="","",W119-INDEX(Assy.Model!$W$9:$W$150,MATCH('SN#.Run#'!$M119,Assy.Model!$M$9:$M$150,0)))</f>
        <v/>
      </c>
      <c r="AX119" s="628" t="str">
        <f>IF($M119="","",X119-INDEX(Assy.Model!$X$9:$X$150,MATCH('SN#.Run#'!$M119,Assy.Model!$M$9:$M$150,0)))</f>
        <v/>
      </c>
      <c r="AY119" s="629" t="str">
        <f>IF($M119="","",Y119-INDEX(Assy.Model!$Y$9:$Y$150,MATCH('SN#.Run#'!$M119,Assy.Model!$M$9:$M$150,0)))</f>
        <v/>
      </c>
      <c r="AZ119" s="602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10" t="str">
        <f>IF($M119="","",AN119-INDEX(Assy.Model!$AN$9:$AN$150,MATCH('SN#.Run#'!$M119,Assy.Model!$M$9:$M$150,0)))</f>
        <v/>
      </c>
      <c r="BB119" s="525" t="str">
        <f>IF($M119="","",AO119-INDEX(Assy.Model!$AO$9:$AO$150,MATCH('SN#.Run#'!$M119,Assy.Model!$M$9:$M$150,0)))</f>
        <v/>
      </c>
      <c r="BC119" s="619" t="str">
        <f>IF($M119="","",AP119-INDEX(Assy.Model!$AP$9:$AP$150,MATCH('SN#.Run#'!$M119,Assy.Model!$M$9:$M$150,0)))</f>
        <v/>
      </c>
      <c r="BD119" s="419"/>
      <c r="BE119" s="699"/>
      <c r="BF119" s="417"/>
      <c r="BG119" s="417"/>
      <c r="BH119" s="417"/>
      <c r="IE119" s="790" t="str">
        <f>IFERROR(IF($IU119="","",IF($IU119&lt;(((Settings!$C$19/2)*-1)*$IE$8),"Taper","Nose")),"")</f>
        <v/>
      </c>
      <c r="IF119" s="482" t="str">
        <f>IFERROR(IF((((($IW119*COS(RADIANS(180-$IY119)))*COS(RADIANS($IY119)))-(($IX119*SIN(RADIANS(180-$IY119)))*SIN(RADIANS($IY119))))+$IU119)&lt;(((Settings!$C$19+$IF$8)/2)*-1),"Gage",""),"")</f>
        <v/>
      </c>
      <c r="IG119" s="788" t="str">
        <f t="shared" si="132"/>
        <v/>
      </c>
      <c r="IH119" s="674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677" t="str" cm="1">
        <f t="array" ref="II119">IFERROR(IF($IH119&lt;1,$IH119+LARGE((IF($M$9:$M$150="",0,$M$9:$M$150)-MOD(IF($M$9:$M$150="",0,$M$9:$M$150),1)),1),$IH119),"")</f>
        <v/>
      </c>
      <c r="IJ119" s="482" t="str">
        <f t="shared" si="131"/>
        <v/>
      </c>
      <c r="IK119" s="482" t="str">
        <f t="shared" si="117"/>
        <v/>
      </c>
      <c r="IL119" s="670" t="str">
        <f t="shared" si="134"/>
        <v/>
      </c>
      <c r="IM119" s="702"/>
      <c r="IN119" s="5" t="str">
        <f t="shared" si="135"/>
        <v/>
      </c>
      <c r="IO119" s="714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670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05" t="str">
        <f t="shared" si="143"/>
        <v/>
      </c>
    </row>
    <row r="120" spans="1:259" ht="15" customHeight="1" x14ac:dyDescent="0.25">
      <c r="A120" s="82"/>
      <c r="B120" s="578" t="str">
        <f t="shared" si="144"/>
        <v/>
      </c>
      <c r="C120" s="572" t="str">
        <f t="shared" si="145"/>
        <v/>
      </c>
      <c r="D120" s="576" t="str">
        <f t="shared" si="146"/>
        <v/>
      </c>
      <c r="E120" s="580" t="str">
        <f t="shared" si="147"/>
        <v/>
      </c>
      <c r="F120" s="572" t="str">
        <f t="shared" si="148"/>
        <v/>
      </c>
      <c r="G120" s="579" t="str">
        <f t="shared" si="149"/>
        <v/>
      </c>
      <c r="H120" s="580" t="str">
        <f t="shared" si="128"/>
        <v/>
      </c>
      <c r="I120" s="482"/>
      <c r="J120" s="483" t="str">
        <v/>
      </c>
      <c r="K120" s="806" t="str">
        <f t="shared" si="133"/>
        <v/>
      </c>
      <c r="M120" s="164" t="str">
        <f t="shared" si="152"/>
        <v/>
      </c>
      <c r="N120" s="575" t="str">
        <f t="shared" si="153"/>
        <v/>
      </c>
      <c r="O120" s="572" t="str">
        <f t="shared" si="154"/>
        <v/>
      </c>
      <c r="P120" s="576" t="str">
        <f t="shared" si="155"/>
        <v/>
      </c>
      <c r="Q120" s="528" t="str">
        <f t="shared" si="156"/>
        <v/>
      </c>
      <c r="R120" s="572" t="str">
        <f t="shared" si="157"/>
        <v/>
      </c>
      <c r="S120" s="577" t="str">
        <f t="shared" si="158"/>
        <v/>
      </c>
      <c r="T120" s="578" t="str">
        <f t="shared" si="159"/>
        <v/>
      </c>
      <c r="U120" s="572" t="str">
        <f t="shared" si="160"/>
        <v/>
      </c>
      <c r="V120" s="579" t="str">
        <f t="shared" si="161"/>
        <v/>
      </c>
      <c r="W120" s="528" t="str">
        <f t="shared" si="162"/>
        <v/>
      </c>
      <c r="X120" s="572" t="str">
        <f t="shared" si="163"/>
        <v/>
      </c>
      <c r="Y120" s="573" t="str">
        <f t="shared" si="150"/>
        <v/>
      </c>
      <c r="Z120" s="575" t="str">
        <f t="shared" si="164"/>
        <v/>
      </c>
      <c r="AA120" s="572" t="str">
        <f t="shared" si="165"/>
        <v/>
      </c>
      <c r="AB120" s="572" t="str">
        <f t="shared" si="166"/>
        <v/>
      </c>
      <c r="AC120" s="579" t="str">
        <f t="shared" si="167"/>
        <v/>
      </c>
      <c r="AD120" s="580" t="str">
        <f t="shared" si="168"/>
        <v/>
      </c>
      <c r="AE120" s="572" t="str">
        <f t="shared" si="169"/>
        <v/>
      </c>
      <c r="AF120" s="576" t="str">
        <f t="shared" si="170"/>
        <v/>
      </c>
      <c r="AG120" s="545" t="str">
        <f t="shared" si="171"/>
        <v/>
      </c>
      <c r="AH120" s="546" t="str">
        <f t="shared" si="172"/>
        <v/>
      </c>
      <c r="AI120" s="528" t="str">
        <f t="shared" si="173"/>
        <v/>
      </c>
      <c r="AJ120" s="529" t="str">
        <f t="shared" si="174"/>
        <v/>
      </c>
      <c r="AK120" s="578" t="str">
        <f t="shared" si="175"/>
        <v/>
      </c>
      <c r="AL120" s="572" t="str">
        <f t="shared" si="176"/>
        <v/>
      </c>
      <c r="AM120" s="577" t="str">
        <f t="shared" si="177"/>
        <v/>
      </c>
      <c r="AN120" s="524" t="str">
        <f t="shared" si="151"/>
        <v/>
      </c>
      <c r="AO120" s="525" t="str">
        <f t="shared" si="181"/>
        <v/>
      </c>
      <c r="AP120" s="528" t="str">
        <f t="shared" si="178"/>
        <v/>
      </c>
      <c r="AQ120" s="529" t="str">
        <f t="shared" si="129"/>
        <v/>
      </c>
      <c r="AS120" s="598" t="str">
        <f t="shared" si="179"/>
        <v/>
      </c>
      <c r="AT120" s="602" t="str">
        <f t="shared" si="130"/>
        <v/>
      </c>
      <c r="AU120" s="515" t="str">
        <f>IFERROR(ROUNDDOWN(AV120,1),"")</f>
        <v/>
      </c>
      <c r="AV120" s="164" t="str">
        <f t="shared" si="180"/>
        <v/>
      </c>
      <c r="AW120" s="545" t="str">
        <f>IF($M120="","",W120-INDEX(Assy.Model!$W$9:$W$150,MATCH('SN#.Run#'!$M120,Assy.Model!$M$9:$M$150,0)))</f>
        <v/>
      </c>
      <c r="AX120" s="628" t="str">
        <f>IF($M120="","",X120-INDEX(Assy.Model!$X$9:$X$150,MATCH('SN#.Run#'!$M120,Assy.Model!$M$9:$M$150,0)))</f>
        <v/>
      </c>
      <c r="AY120" s="629" t="str">
        <f>IF($M120="","",Y120-INDEX(Assy.Model!$Y$9:$Y$150,MATCH('SN#.Run#'!$M120,Assy.Model!$M$9:$M$150,0)))</f>
        <v/>
      </c>
      <c r="AZ120" s="602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10" t="str">
        <f>IF($M120="","",AN120-INDEX(Assy.Model!$AN$9:$AN$150,MATCH('SN#.Run#'!$M120,Assy.Model!$M$9:$M$150,0)))</f>
        <v/>
      </c>
      <c r="BB120" s="525" t="str">
        <f>IF($M120="","",AO120-INDEX(Assy.Model!$AO$9:$AO$150,MATCH('SN#.Run#'!$M120,Assy.Model!$M$9:$M$150,0)))</f>
        <v/>
      </c>
      <c r="BC120" s="619" t="str">
        <f>IF($M120="","",AP120-INDEX(Assy.Model!$AP$9:$AP$150,MATCH('SN#.Run#'!$M120,Assy.Model!$M$9:$M$150,0)))</f>
        <v/>
      </c>
      <c r="BD120" s="419"/>
      <c r="BE120" s="699"/>
      <c r="BF120" s="417"/>
      <c r="BG120" s="417"/>
      <c r="BH120" s="417"/>
      <c r="IE120" s="790" t="str">
        <f>IFERROR(IF($IU120="","",IF($IU120&lt;(((Settings!$C$19/2)*-1)*$IE$8),"Taper","Nose")),"")</f>
        <v/>
      </c>
      <c r="IF120" s="482" t="str">
        <f>IFERROR(IF((((($IW120*COS(RADIANS(180-$IY120)))*COS(RADIANS($IY120)))-(($IX120*SIN(RADIANS(180-$IY120)))*SIN(RADIANS($IY120))))+$IU120)&lt;(((Settings!$C$19+$IF$8)/2)*-1),"Gage",""),"")</f>
        <v/>
      </c>
      <c r="IG120" s="788" t="str">
        <f t="shared" si="132"/>
        <v/>
      </c>
      <c r="IH120" s="674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677" t="str" cm="1">
        <f t="array" ref="II120">IFERROR(IF($IH120&lt;1,$IH120+LARGE((IF($M$9:$M$150="",0,$M$9:$M$150)-MOD(IF($M$9:$M$150="",0,$M$9:$M$150),1)),1),$IH120),"")</f>
        <v/>
      </c>
      <c r="IJ120" s="482" t="str">
        <f t="shared" si="131"/>
        <v/>
      </c>
      <c r="IK120" s="482" t="str">
        <f t="shared" si="117"/>
        <v/>
      </c>
      <c r="IL120" s="670" t="str">
        <f t="shared" si="134"/>
        <v/>
      </c>
      <c r="IM120" s="702"/>
      <c r="IN120" s="5" t="str">
        <f t="shared" si="135"/>
        <v/>
      </c>
      <c r="IO120" s="714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670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05" t="str">
        <f t="shared" si="143"/>
        <v/>
      </c>
    </row>
    <row r="121" spans="1:259" ht="15" customHeight="1" x14ac:dyDescent="0.25">
      <c r="A121" s="82"/>
      <c r="B121" s="578" t="str">
        <f t="shared" si="144"/>
        <v/>
      </c>
      <c r="C121" s="572" t="str">
        <f t="shared" si="145"/>
        <v/>
      </c>
      <c r="D121" s="576" t="str">
        <f t="shared" si="146"/>
        <v/>
      </c>
      <c r="E121" s="580" t="str">
        <f t="shared" si="147"/>
        <v/>
      </c>
      <c r="F121" s="572" t="str">
        <f t="shared" si="148"/>
        <v/>
      </c>
      <c r="G121" s="579" t="str">
        <f t="shared" si="149"/>
        <v/>
      </c>
      <c r="H121" s="580" t="str">
        <f t="shared" si="128"/>
        <v/>
      </c>
      <c r="I121" s="482"/>
      <c r="J121" s="483" t="str">
        <v/>
      </c>
      <c r="K121" s="806" t="str">
        <f t="shared" si="133"/>
        <v/>
      </c>
      <c r="M121" s="164" t="str">
        <f t="shared" ref="M121:M150" si="182">IF(J121="","",J121)</f>
        <v/>
      </c>
      <c r="N121" s="575" t="str">
        <f t="shared" ref="N121:N150" si="183">IF(M121="","",B121)</f>
        <v/>
      </c>
      <c r="O121" s="572" t="str">
        <f t="shared" ref="O121:O150" si="184">IF(M121="","",C121)</f>
        <v/>
      </c>
      <c r="P121" s="576" t="str">
        <f t="shared" ref="P121:P150" si="185">IF(M121="","",D121)</f>
        <v/>
      </c>
      <c r="Q121" s="528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572" t="str">
        <f t="shared" ref="R121:R150" si="187">IF(M121="","",SQRT(N121^2+O121^2))</f>
        <v/>
      </c>
      <c r="S121" s="577" t="str">
        <f t="shared" ref="S121:S150" si="188">IF(M121="","",P121)</f>
        <v/>
      </c>
      <c r="T121" s="578" t="str">
        <f t="shared" ref="T121:T150" si="189">IF(M121="","",X121*COS(RADIANS(W121)))</f>
        <v/>
      </c>
      <c r="U121" s="572" t="str">
        <f t="shared" ref="U121:U150" si="190">IF(M121="","",X121*SIN(RADIANS(W121)))</f>
        <v/>
      </c>
      <c r="V121" s="579" t="str">
        <f t="shared" ref="V121:V150" si="191">IF(M121="","",Y121)</f>
        <v/>
      </c>
      <c r="W121" s="528" t="str">
        <f t="shared" ref="W121:W150" si="192">IF(M121="","",IF(Q121-$Q$8&lt;0,360+Q121-$Q$8,Q121-$Q$8))</f>
        <v/>
      </c>
      <c r="X121" s="572" t="str">
        <f t="shared" ref="X121:X150" si="193">IF(M121="","",R121)</f>
        <v/>
      </c>
      <c r="Y121" s="573" t="str">
        <f t="shared" si="150"/>
        <v/>
      </c>
      <c r="Z121" s="575" t="str">
        <f t="shared" ref="Z121:Z150" si="194">IF(M121="","",-E121)</f>
        <v/>
      </c>
      <c r="AA121" s="572" t="str">
        <f t="shared" ref="AA121:AA150" si="195">IF(M121="","",-F121)</f>
        <v/>
      </c>
      <c r="AB121" s="572" t="str">
        <f t="shared" ref="AB121:AB150" si="196">IF(M121="","",-G121)</f>
        <v/>
      </c>
      <c r="AC121" s="579" t="str">
        <f t="shared" ref="AC121:AC150" si="197">IF(M121="","",SQRT(Z121^2+AA121^2+AB121^2))</f>
        <v/>
      </c>
      <c r="AD121" s="580" t="str">
        <f t="shared" ref="AD121:AD150" si="198">IF(M121="","",Z121*(1/SQRT(Z121^2+AA121^2+AB121^2)))</f>
        <v/>
      </c>
      <c r="AE121" s="572" t="str">
        <f t="shared" ref="AE121:AE150" si="199">IF(M121="","",AA121*(1/SQRT(Z121^2+AA121^2+AB121^2)))</f>
        <v/>
      </c>
      <c r="AF121" s="576" t="str">
        <f t="shared" ref="AF121:AF150" si="200">IF(M121="","",AB121*(1/SQRT(Z121^2+AA121^2+AB121^2)))</f>
        <v/>
      </c>
      <c r="AG121" s="545" t="str">
        <f t="shared" ref="AG121:AG150" si="201">IF(M121="","",DEGREES(ATAN2(-AF121,AE121)))</f>
        <v/>
      </c>
      <c r="AH121" s="546" t="str">
        <f t="shared" ref="AH121:AH150" si="202">IF(M121="","",DEGREES(ACOS(AD121)))</f>
        <v/>
      </c>
      <c r="AI121" s="528" t="str">
        <f t="shared" ref="AI121:AI150" si="203">IF(M121="","",DEGREES(-ACOS(-AF121)))</f>
        <v/>
      </c>
      <c r="AJ121" s="529" t="str">
        <f t="shared" ref="AJ121:AJ150" si="204">IF(M121="","",DEGREES(ATAN2(-AE121,AD121)))</f>
        <v/>
      </c>
      <c r="AK121" s="578" t="str">
        <f t="shared" ref="AK121:AK150" si="205">IF(M121="","",(COS(RADIANS((90-$Q$8)-W121))*AD121)+(-SIN(RADIANS((90-$Q$8)-W121))*AE121))</f>
        <v/>
      </c>
      <c r="AL121" s="572" t="str">
        <f t="shared" ref="AL121:AL150" si="206">IF(M121="","",(SIN(RADIANS((90-$Q$8)-W121))*AD121)+(COS(RADIANS((90-$Q$8)-W121))*AE121))</f>
        <v/>
      </c>
      <c r="AM121" s="577" t="str">
        <f t="shared" ref="AM121:AM150" si="207">IF(M121="","",AF121)</f>
        <v/>
      </c>
      <c r="AN121" s="524" t="str">
        <f t="shared" si="151"/>
        <v/>
      </c>
      <c r="AO121" s="525" t="str">
        <f t="shared" si="181"/>
        <v/>
      </c>
      <c r="AP121" s="528" t="str">
        <f t="shared" ref="AP121:AP150" si="208">IF(M121="","",DEGREES(ATAN2(AK121,AL121)))</f>
        <v/>
      </c>
      <c r="AQ121" s="529" t="str">
        <f t="shared" si="129"/>
        <v/>
      </c>
      <c r="AS121" s="598" t="str">
        <f t="shared" ref="AS121:AS150" si="209">IF(M121="","",IF(W121&lt;=LARGE($W$9:$W$17,1),W121,W121-360))</f>
        <v/>
      </c>
      <c r="AT121" s="602" t="str">
        <f t="shared" si="130"/>
        <v/>
      </c>
      <c r="AU121" s="515" t="str">
        <f t="shared" ref="AU121:AU150" si="210">IFERROR(ROUNDDOWN(AV121,1),"")</f>
        <v/>
      </c>
      <c r="AV121" s="164" t="str">
        <f t="shared" ref="AV121:AV150" si="211">M121</f>
        <v/>
      </c>
      <c r="AW121" s="545" t="str">
        <f>IF($M121="","",W121-INDEX(Assy.Model!$W$9:$W$150,MATCH('SN#.Run#'!$M121,Assy.Model!$M$9:$M$150,0)))</f>
        <v/>
      </c>
      <c r="AX121" s="628" t="str">
        <f>IF($M121="","",X121-INDEX(Assy.Model!$X$9:$X$150,MATCH('SN#.Run#'!$M121,Assy.Model!$M$9:$M$150,0)))</f>
        <v/>
      </c>
      <c r="AY121" s="629" t="str">
        <f>IF($M121="","",Y121-INDEX(Assy.Model!$Y$9:$Y$150,MATCH('SN#.Run#'!$M121,Assy.Model!$M$9:$M$150,0)))</f>
        <v/>
      </c>
      <c r="AZ121" s="602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10" t="str">
        <f>IF($M121="","",AN121-INDEX(Assy.Model!$AN$9:$AN$150,MATCH('SN#.Run#'!$M121,Assy.Model!$M$9:$M$150,0)))</f>
        <v/>
      </c>
      <c r="BB121" s="525" t="str">
        <f>IF($M121="","",AO121-INDEX(Assy.Model!$AO$9:$AO$150,MATCH('SN#.Run#'!$M121,Assy.Model!$M$9:$M$150,0)))</f>
        <v/>
      </c>
      <c r="BC121" s="619" t="str">
        <f>IF($M121="","",AP121-INDEX(Assy.Model!$AP$9:$AP$150,MATCH('SN#.Run#'!$M121,Assy.Model!$M$9:$M$150,0)))</f>
        <v/>
      </c>
      <c r="BD121" s="419"/>
      <c r="BE121" s="699"/>
      <c r="BF121" s="417"/>
      <c r="BG121" s="417"/>
      <c r="BH121" s="417"/>
      <c r="IE121" s="790" t="str">
        <f>IFERROR(IF($IU121="","",IF($IU121&lt;(((Settings!$C$19/2)*-1)*$IE$8),"Taper","Nose")),"")</f>
        <v/>
      </c>
      <c r="IF121" s="482" t="str">
        <f>IFERROR(IF((((($IW121*COS(RADIANS(180-$IY121)))*COS(RADIANS($IY121)))-(($IX121*SIN(RADIANS(180-$IY121)))*SIN(RADIANS($IY121))))+$IU121)&lt;(((Settings!$C$19+$IF$8)/2)*-1),"Gage",""),"")</f>
        <v/>
      </c>
      <c r="IG121" s="788" t="str">
        <f t="shared" si="132"/>
        <v/>
      </c>
      <c r="IH121" s="674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677" t="str" cm="1">
        <f t="array" ref="II121">IFERROR(IF($IH121&lt;1,$IH121+LARGE((IF($M$9:$M$150="",0,$M$9:$M$150)-MOD(IF($M$9:$M$150="",0,$M$9:$M$150),1)),1),$IH121),"")</f>
        <v/>
      </c>
      <c r="IJ121" s="482" t="str">
        <f t="shared" si="131"/>
        <v/>
      </c>
      <c r="IK121" s="482" t="str">
        <f t="shared" si="117"/>
        <v/>
      </c>
      <c r="IL121" s="670" t="str">
        <f t="shared" si="134"/>
        <v/>
      </c>
      <c r="IM121" s="702"/>
      <c r="IN121" s="5" t="str">
        <f t="shared" si="135"/>
        <v/>
      </c>
      <c r="IO121" s="714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670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05" t="str">
        <f t="shared" si="143"/>
        <v/>
      </c>
    </row>
    <row r="122" spans="1:259" ht="15" customHeight="1" x14ac:dyDescent="0.25">
      <c r="A122" s="82"/>
      <c r="B122" s="578" t="str">
        <f t="shared" si="144"/>
        <v/>
      </c>
      <c r="C122" s="572" t="str">
        <f t="shared" si="145"/>
        <v/>
      </c>
      <c r="D122" s="576" t="str">
        <f t="shared" si="146"/>
        <v/>
      </c>
      <c r="E122" s="580" t="str">
        <f t="shared" si="147"/>
        <v/>
      </c>
      <c r="F122" s="572" t="str">
        <f t="shared" si="148"/>
        <v/>
      </c>
      <c r="G122" s="579" t="str">
        <f t="shared" si="149"/>
        <v/>
      </c>
      <c r="H122" s="580" t="str">
        <f t="shared" si="128"/>
        <v/>
      </c>
      <c r="I122" s="482"/>
      <c r="J122" s="483" t="str">
        <v/>
      </c>
      <c r="K122" s="806" t="str">
        <f t="shared" si="133"/>
        <v/>
      </c>
      <c r="M122" s="164" t="str">
        <f t="shared" si="182"/>
        <v/>
      </c>
      <c r="N122" s="575" t="str">
        <f t="shared" si="183"/>
        <v/>
      </c>
      <c r="O122" s="572" t="str">
        <f t="shared" si="184"/>
        <v/>
      </c>
      <c r="P122" s="576" t="str">
        <f t="shared" si="185"/>
        <v/>
      </c>
      <c r="Q122" s="528" t="str">
        <f t="shared" si="186"/>
        <v/>
      </c>
      <c r="R122" s="572" t="str">
        <f t="shared" si="187"/>
        <v/>
      </c>
      <c r="S122" s="577" t="str">
        <f t="shared" si="188"/>
        <v/>
      </c>
      <c r="T122" s="578" t="str">
        <f t="shared" si="189"/>
        <v/>
      </c>
      <c r="U122" s="572" t="str">
        <f t="shared" si="190"/>
        <v/>
      </c>
      <c r="V122" s="579" t="str">
        <f t="shared" si="191"/>
        <v/>
      </c>
      <c r="W122" s="528" t="str">
        <f t="shared" si="192"/>
        <v/>
      </c>
      <c r="X122" s="572" t="str">
        <f t="shared" si="193"/>
        <v/>
      </c>
      <c r="Y122" s="573" t="str">
        <f t="shared" si="150"/>
        <v/>
      </c>
      <c r="Z122" s="575" t="str">
        <f t="shared" si="194"/>
        <v/>
      </c>
      <c r="AA122" s="572" t="str">
        <f t="shared" si="195"/>
        <v/>
      </c>
      <c r="AB122" s="572" t="str">
        <f t="shared" si="196"/>
        <v/>
      </c>
      <c r="AC122" s="579" t="str">
        <f t="shared" si="197"/>
        <v/>
      </c>
      <c r="AD122" s="580" t="str">
        <f t="shared" si="198"/>
        <v/>
      </c>
      <c r="AE122" s="572" t="str">
        <f t="shared" si="199"/>
        <v/>
      </c>
      <c r="AF122" s="576" t="str">
        <f t="shared" si="200"/>
        <v/>
      </c>
      <c r="AG122" s="545" t="str">
        <f t="shared" si="201"/>
        <v/>
      </c>
      <c r="AH122" s="546" t="str">
        <f t="shared" si="202"/>
        <v/>
      </c>
      <c r="AI122" s="528" t="str">
        <f t="shared" si="203"/>
        <v/>
      </c>
      <c r="AJ122" s="529" t="str">
        <f t="shared" si="204"/>
        <v/>
      </c>
      <c r="AK122" s="578" t="str">
        <f t="shared" si="205"/>
        <v/>
      </c>
      <c r="AL122" s="572" t="str">
        <f t="shared" si="206"/>
        <v/>
      </c>
      <c r="AM122" s="577" t="str">
        <f t="shared" si="207"/>
        <v/>
      </c>
      <c r="AN122" s="524" t="str">
        <f t="shared" si="151"/>
        <v/>
      </c>
      <c r="AO122" s="525" t="str">
        <f t="shared" si="181"/>
        <v/>
      </c>
      <c r="AP122" s="528" t="str">
        <f t="shared" si="208"/>
        <v/>
      </c>
      <c r="AQ122" s="529" t="str">
        <f t="shared" si="129"/>
        <v/>
      </c>
      <c r="AS122" s="598" t="str">
        <f t="shared" si="209"/>
        <v/>
      </c>
      <c r="AT122" s="602" t="str">
        <f t="shared" si="130"/>
        <v/>
      </c>
      <c r="AU122" s="515" t="str">
        <f t="shared" si="210"/>
        <v/>
      </c>
      <c r="AV122" s="164" t="str">
        <f t="shared" si="211"/>
        <v/>
      </c>
      <c r="AW122" s="545" t="str">
        <f>IF($M122="","",W122-INDEX(Assy.Model!$W$9:$W$150,MATCH('SN#.Run#'!$M122,Assy.Model!$M$9:$M$150,0)))</f>
        <v/>
      </c>
      <c r="AX122" s="628" t="str">
        <f>IF($M122="","",X122-INDEX(Assy.Model!$X$9:$X$150,MATCH('SN#.Run#'!$M122,Assy.Model!$M$9:$M$150,0)))</f>
        <v/>
      </c>
      <c r="AY122" s="629" t="str">
        <f>IF($M122="","",Y122-INDEX(Assy.Model!$Y$9:$Y$150,MATCH('SN#.Run#'!$M122,Assy.Model!$M$9:$M$150,0)))</f>
        <v/>
      </c>
      <c r="AZ122" s="602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10" t="str">
        <f>IF($M122="","",AN122-INDEX(Assy.Model!$AN$9:$AN$150,MATCH('SN#.Run#'!$M122,Assy.Model!$M$9:$M$150,0)))</f>
        <v/>
      </c>
      <c r="BB122" s="525" t="str">
        <f>IF($M122="","",AO122-INDEX(Assy.Model!$AO$9:$AO$150,MATCH('SN#.Run#'!$M122,Assy.Model!$M$9:$M$150,0)))</f>
        <v/>
      </c>
      <c r="BC122" s="619" t="str">
        <f>IF($M122="","",AP122-INDEX(Assy.Model!$AP$9:$AP$150,MATCH('SN#.Run#'!$M122,Assy.Model!$M$9:$M$150,0)))</f>
        <v/>
      </c>
      <c r="BD122" s="419"/>
      <c r="BE122" s="699"/>
      <c r="BF122" s="417"/>
      <c r="BG122" s="417"/>
      <c r="BH122" s="417"/>
      <c r="IE122" s="790" t="str">
        <f>IFERROR(IF($IU122="","",IF($IU122&lt;(((Settings!$C$19/2)*-1)*$IE$8),"Taper","Nose")),"")</f>
        <v/>
      </c>
      <c r="IF122" s="482" t="str">
        <f>IFERROR(IF((((($IW122*COS(RADIANS(180-$IY122)))*COS(RADIANS($IY122)))-(($IX122*SIN(RADIANS(180-$IY122)))*SIN(RADIANS($IY122))))+$IU122)&lt;(((Settings!$C$19+$IF$8)/2)*-1),"Gage",""),"")</f>
        <v/>
      </c>
      <c r="IG122" s="788" t="str">
        <f t="shared" si="132"/>
        <v/>
      </c>
      <c r="IH122" s="674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677" t="str" cm="1">
        <f t="array" ref="II122">IFERROR(IF($IH122&lt;1,$IH122+LARGE((IF($M$9:$M$150="",0,$M$9:$M$150)-MOD(IF($M$9:$M$150="",0,$M$9:$M$150),1)),1),$IH122),"")</f>
        <v/>
      </c>
      <c r="IJ122" s="482" t="str">
        <f t="shared" si="131"/>
        <v/>
      </c>
      <c r="IK122" s="482" t="str">
        <f t="shared" si="117"/>
        <v/>
      </c>
      <c r="IL122" s="670" t="str">
        <f t="shared" si="134"/>
        <v/>
      </c>
      <c r="IM122" s="702"/>
      <c r="IN122" s="5" t="str">
        <f t="shared" si="135"/>
        <v/>
      </c>
      <c r="IO122" s="714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670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05" t="str">
        <f t="shared" si="143"/>
        <v/>
      </c>
    </row>
    <row r="123" spans="1:259" ht="15" customHeight="1" x14ac:dyDescent="0.25">
      <c r="A123" s="82"/>
      <c r="B123" s="578" t="str">
        <f t="shared" si="144"/>
        <v/>
      </c>
      <c r="C123" s="572" t="str">
        <f t="shared" si="145"/>
        <v/>
      </c>
      <c r="D123" s="576" t="str">
        <f t="shared" si="146"/>
        <v/>
      </c>
      <c r="E123" s="580" t="str">
        <f t="shared" si="147"/>
        <v/>
      </c>
      <c r="F123" s="572" t="str">
        <f t="shared" si="148"/>
        <v/>
      </c>
      <c r="G123" s="579" t="str">
        <f t="shared" si="149"/>
        <v/>
      </c>
      <c r="H123" s="580" t="str">
        <f t="shared" si="128"/>
        <v/>
      </c>
      <c r="I123" s="482"/>
      <c r="J123" s="483" t="str">
        <v/>
      </c>
      <c r="K123" s="806" t="str">
        <f t="shared" si="133"/>
        <v/>
      </c>
      <c r="M123" s="164" t="str">
        <f t="shared" si="182"/>
        <v/>
      </c>
      <c r="N123" s="575" t="str">
        <f t="shared" si="183"/>
        <v/>
      </c>
      <c r="O123" s="572" t="str">
        <f t="shared" si="184"/>
        <v/>
      </c>
      <c r="P123" s="576" t="str">
        <f t="shared" si="185"/>
        <v/>
      </c>
      <c r="Q123" s="528" t="str">
        <f t="shared" si="186"/>
        <v/>
      </c>
      <c r="R123" s="572" t="str">
        <f t="shared" si="187"/>
        <v/>
      </c>
      <c r="S123" s="577" t="str">
        <f t="shared" si="188"/>
        <v/>
      </c>
      <c r="T123" s="578" t="str">
        <f t="shared" si="189"/>
        <v/>
      </c>
      <c r="U123" s="572" t="str">
        <f t="shared" si="190"/>
        <v/>
      </c>
      <c r="V123" s="579" t="str">
        <f t="shared" si="191"/>
        <v/>
      </c>
      <c r="W123" s="528" t="str">
        <f t="shared" si="192"/>
        <v/>
      </c>
      <c r="X123" s="572" t="str">
        <f t="shared" si="193"/>
        <v/>
      </c>
      <c r="Y123" s="573" t="str">
        <f t="shared" si="150"/>
        <v/>
      </c>
      <c r="Z123" s="575" t="str">
        <f t="shared" si="194"/>
        <v/>
      </c>
      <c r="AA123" s="572" t="str">
        <f t="shared" si="195"/>
        <v/>
      </c>
      <c r="AB123" s="572" t="str">
        <f t="shared" si="196"/>
        <v/>
      </c>
      <c r="AC123" s="579" t="str">
        <f t="shared" si="197"/>
        <v/>
      </c>
      <c r="AD123" s="580" t="str">
        <f t="shared" si="198"/>
        <v/>
      </c>
      <c r="AE123" s="572" t="str">
        <f t="shared" si="199"/>
        <v/>
      </c>
      <c r="AF123" s="576" t="str">
        <f t="shared" si="200"/>
        <v/>
      </c>
      <c r="AG123" s="545" t="str">
        <f t="shared" si="201"/>
        <v/>
      </c>
      <c r="AH123" s="546" t="str">
        <f t="shared" si="202"/>
        <v/>
      </c>
      <c r="AI123" s="528" t="str">
        <f t="shared" si="203"/>
        <v/>
      </c>
      <c r="AJ123" s="529" t="str">
        <f t="shared" si="204"/>
        <v/>
      </c>
      <c r="AK123" s="578" t="str">
        <f t="shared" si="205"/>
        <v/>
      </c>
      <c r="AL123" s="572" t="str">
        <f t="shared" si="206"/>
        <v/>
      </c>
      <c r="AM123" s="577" t="str">
        <f t="shared" si="207"/>
        <v/>
      </c>
      <c r="AN123" s="524" t="str">
        <f t="shared" si="151"/>
        <v/>
      </c>
      <c r="AO123" s="525" t="str">
        <f t="shared" si="181"/>
        <v/>
      </c>
      <c r="AP123" s="528" t="str">
        <f t="shared" si="208"/>
        <v/>
      </c>
      <c r="AQ123" s="529" t="str">
        <f t="shared" si="129"/>
        <v/>
      </c>
      <c r="AS123" s="598" t="str">
        <f t="shared" si="209"/>
        <v/>
      </c>
      <c r="AT123" s="602" t="str">
        <f t="shared" si="130"/>
        <v/>
      </c>
      <c r="AU123" s="515" t="str">
        <f t="shared" si="210"/>
        <v/>
      </c>
      <c r="AV123" s="164" t="str">
        <f t="shared" si="211"/>
        <v/>
      </c>
      <c r="AW123" s="545" t="str">
        <f>IF($M123="","",W123-INDEX(Assy.Model!$W$9:$W$150,MATCH('SN#.Run#'!$M123,Assy.Model!$M$9:$M$150,0)))</f>
        <v/>
      </c>
      <c r="AX123" s="628" t="str">
        <f>IF($M123="","",X123-INDEX(Assy.Model!$X$9:$X$150,MATCH('SN#.Run#'!$M123,Assy.Model!$M$9:$M$150,0)))</f>
        <v/>
      </c>
      <c r="AY123" s="629" t="str">
        <f>IF($M123="","",Y123-INDEX(Assy.Model!$Y$9:$Y$150,MATCH('SN#.Run#'!$M123,Assy.Model!$M$9:$M$150,0)))</f>
        <v/>
      </c>
      <c r="AZ123" s="602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10" t="str">
        <f>IF($M123="","",AN123-INDEX(Assy.Model!$AN$9:$AN$150,MATCH('SN#.Run#'!$M123,Assy.Model!$M$9:$M$150,0)))</f>
        <v/>
      </c>
      <c r="BB123" s="525" t="str">
        <f>IF($M123="","",AO123-INDEX(Assy.Model!$AO$9:$AO$150,MATCH('SN#.Run#'!$M123,Assy.Model!$M$9:$M$150,0)))</f>
        <v/>
      </c>
      <c r="BC123" s="619" t="str">
        <f>IF($M123="","",AP123-INDEX(Assy.Model!$AP$9:$AP$150,MATCH('SN#.Run#'!$M123,Assy.Model!$M$9:$M$150,0)))</f>
        <v/>
      </c>
      <c r="BD123" s="419"/>
      <c r="BE123" s="699"/>
      <c r="BF123" s="417"/>
      <c r="BG123" s="417"/>
      <c r="BH123" s="417"/>
      <c r="IE123" s="790" t="str">
        <f>IFERROR(IF($IU123="","",IF($IU123&lt;(((Settings!$C$19/2)*-1)*$IE$8),"Taper","Nose")),"")</f>
        <v/>
      </c>
      <c r="IF123" s="482" t="str">
        <f>IFERROR(IF((((($IW123*COS(RADIANS(180-$IY123)))*COS(RADIANS($IY123)))-(($IX123*SIN(RADIANS(180-$IY123)))*SIN(RADIANS($IY123))))+$IU123)&lt;(((Settings!$C$19+$IF$8)/2)*-1),"Gage",""),"")</f>
        <v/>
      </c>
      <c r="IG123" s="788" t="str">
        <f t="shared" si="132"/>
        <v/>
      </c>
      <c r="IH123" s="674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677" t="str" cm="1">
        <f t="array" ref="II123">IFERROR(IF($IH123&lt;1,$IH123+LARGE((IF($M$9:$M$150="",0,$M$9:$M$150)-MOD(IF($M$9:$M$150="",0,$M$9:$M$150),1)),1),$IH123),"")</f>
        <v/>
      </c>
      <c r="IJ123" s="482" t="str">
        <f t="shared" si="131"/>
        <v/>
      </c>
      <c r="IK123" s="482" t="str">
        <f t="shared" si="117"/>
        <v/>
      </c>
      <c r="IL123" s="670" t="str">
        <f t="shared" si="134"/>
        <v/>
      </c>
      <c r="IM123" s="702"/>
      <c r="IN123" s="5" t="str">
        <f t="shared" si="135"/>
        <v/>
      </c>
      <c r="IO123" s="714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670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05" t="str">
        <f t="shared" si="143"/>
        <v/>
      </c>
    </row>
    <row r="124" spans="1:259" ht="15" customHeight="1" x14ac:dyDescent="0.25">
      <c r="A124" s="82"/>
      <c r="B124" s="578" t="str">
        <f t="shared" si="144"/>
        <v/>
      </c>
      <c r="C124" s="572" t="str">
        <f t="shared" si="145"/>
        <v/>
      </c>
      <c r="D124" s="576" t="str">
        <f t="shared" si="146"/>
        <v/>
      </c>
      <c r="E124" s="580" t="str">
        <f t="shared" si="147"/>
        <v/>
      </c>
      <c r="F124" s="572" t="str">
        <f t="shared" si="148"/>
        <v/>
      </c>
      <c r="G124" s="579" t="str">
        <f t="shared" si="149"/>
        <v/>
      </c>
      <c r="H124" s="580" t="str">
        <f t="shared" si="128"/>
        <v/>
      </c>
      <c r="I124" s="482"/>
      <c r="J124" s="483" t="str">
        <v/>
      </c>
      <c r="K124" s="806" t="str">
        <f t="shared" si="133"/>
        <v/>
      </c>
      <c r="M124" s="164" t="str">
        <f t="shared" si="182"/>
        <v/>
      </c>
      <c r="N124" s="575" t="str">
        <f t="shared" si="183"/>
        <v/>
      </c>
      <c r="O124" s="572" t="str">
        <f t="shared" si="184"/>
        <v/>
      </c>
      <c r="P124" s="576" t="str">
        <f t="shared" si="185"/>
        <v/>
      </c>
      <c r="Q124" s="528" t="str">
        <f t="shared" si="186"/>
        <v/>
      </c>
      <c r="R124" s="572" t="str">
        <f t="shared" si="187"/>
        <v/>
      </c>
      <c r="S124" s="577" t="str">
        <f t="shared" si="188"/>
        <v/>
      </c>
      <c r="T124" s="578" t="str">
        <f t="shared" si="189"/>
        <v/>
      </c>
      <c r="U124" s="572" t="str">
        <f t="shared" si="190"/>
        <v/>
      </c>
      <c r="V124" s="579" t="str">
        <f t="shared" si="191"/>
        <v/>
      </c>
      <c r="W124" s="528" t="str">
        <f t="shared" si="192"/>
        <v/>
      </c>
      <c r="X124" s="572" t="str">
        <f t="shared" si="193"/>
        <v/>
      </c>
      <c r="Y124" s="573" t="str">
        <f t="shared" si="150"/>
        <v/>
      </c>
      <c r="Z124" s="575" t="str">
        <f t="shared" si="194"/>
        <v/>
      </c>
      <c r="AA124" s="572" t="str">
        <f t="shared" si="195"/>
        <v/>
      </c>
      <c r="AB124" s="572" t="str">
        <f t="shared" si="196"/>
        <v/>
      </c>
      <c r="AC124" s="579" t="str">
        <f t="shared" si="197"/>
        <v/>
      </c>
      <c r="AD124" s="580" t="str">
        <f t="shared" si="198"/>
        <v/>
      </c>
      <c r="AE124" s="572" t="str">
        <f t="shared" si="199"/>
        <v/>
      </c>
      <c r="AF124" s="576" t="str">
        <f t="shared" si="200"/>
        <v/>
      </c>
      <c r="AG124" s="545" t="str">
        <f t="shared" si="201"/>
        <v/>
      </c>
      <c r="AH124" s="546" t="str">
        <f t="shared" si="202"/>
        <v/>
      </c>
      <c r="AI124" s="528" t="str">
        <f t="shared" si="203"/>
        <v/>
      </c>
      <c r="AJ124" s="529" t="str">
        <f t="shared" si="204"/>
        <v/>
      </c>
      <c r="AK124" s="578" t="str">
        <f t="shared" si="205"/>
        <v/>
      </c>
      <c r="AL124" s="572" t="str">
        <f t="shared" si="206"/>
        <v/>
      </c>
      <c r="AM124" s="577" t="str">
        <f t="shared" si="207"/>
        <v/>
      </c>
      <c r="AN124" s="524" t="str">
        <f t="shared" si="151"/>
        <v/>
      </c>
      <c r="AO124" s="525" t="str">
        <f t="shared" si="181"/>
        <v/>
      </c>
      <c r="AP124" s="528" t="str">
        <f t="shared" si="208"/>
        <v/>
      </c>
      <c r="AQ124" s="529" t="str">
        <f t="shared" si="129"/>
        <v/>
      </c>
      <c r="AS124" s="598" t="str">
        <f t="shared" si="209"/>
        <v/>
      </c>
      <c r="AT124" s="602" t="str">
        <f t="shared" si="130"/>
        <v/>
      </c>
      <c r="AU124" s="515" t="str">
        <f t="shared" si="210"/>
        <v/>
      </c>
      <c r="AV124" s="164" t="str">
        <f t="shared" si="211"/>
        <v/>
      </c>
      <c r="AW124" s="545" t="str">
        <f>IF($M124="","",W124-INDEX(Assy.Model!$W$9:$W$150,MATCH('SN#.Run#'!$M124,Assy.Model!$M$9:$M$150,0)))</f>
        <v/>
      </c>
      <c r="AX124" s="628" t="str">
        <f>IF($M124="","",X124-INDEX(Assy.Model!$X$9:$X$150,MATCH('SN#.Run#'!$M124,Assy.Model!$M$9:$M$150,0)))</f>
        <v/>
      </c>
      <c r="AY124" s="629" t="str">
        <f>IF($M124="","",Y124-INDEX(Assy.Model!$Y$9:$Y$150,MATCH('SN#.Run#'!$M124,Assy.Model!$M$9:$M$150,0)))</f>
        <v/>
      </c>
      <c r="AZ124" s="602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10" t="str">
        <f>IF($M124="","",AN124-INDEX(Assy.Model!$AN$9:$AN$150,MATCH('SN#.Run#'!$M124,Assy.Model!$M$9:$M$150,0)))</f>
        <v/>
      </c>
      <c r="BB124" s="525" t="str">
        <f>IF($M124="","",AO124-INDEX(Assy.Model!$AO$9:$AO$150,MATCH('SN#.Run#'!$M124,Assy.Model!$M$9:$M$150,0)))</f>
        <v/>
      </c>
      <c r="BC124" s="619" t="str">
        <f>IF($M124="","",AP124-INDEX(Assy.Model!$AP$9:$AP$150,MATCH('SN#.Run#'!$M124,Assy.Model!$M$9:$M$150,0)))</f>
        <v/>
      </c>
      <c r="BD124" s="419"/>
      <c r="BE124" s="699"/>
      <c r="BF124" s="417"/>
      <c r="BG124" s="417"/>
      <c r="BH124" s="417"/>
      <c r="IE124" s="790" t="str">
        <f>IFERROR(IF($IU124="","",IF($IU124&lt;(((Settings!$C$19/2)*-1)*$IE$8),"Taper","Nose")),"")</f>
        <v/>
      </c>
      <c r="IF124" s="482" t="str">
        <f>IFERROR(IF((((($IW124*COS(RADIANS(180-$IY124)))*COS(RADIANS($IY124)))-(($IX124*SIN(RADIANS(180-$IY124)))*SIN(RADIANS($IY124))))+$IU124)&lt;(((Settings!$C$19+$IF$8)/2)*-1),"Gage",""),"")</f>
        <v/>
      </c>
      <c r="IG124" s="788" t="str">
        <f t="shared" si="132"/>
        <v/>
      </c>
      <c r="IH124" s="674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677" t="str" cm="1">
        <f t="array" ref="II124">IFERROR(IF($IH124&lt;1,$IH124+LARGE((IF($M$9:$M$150="",0,$M$9:$M$150)-MOD(IF($M$9:$M$150="",0,$M$9:$M$150),1)),1),$IH124),"")</f>
        <v/>
      </c>
      <c r="IJ124" s="482" t="str">
        <f t="shared" si="131"/>
        <v/>
      </c>
      <c r="IK124" s="482" t="str">
        <f t="shared" ref="IK124:IK150" si="212">IF(ISNUMBER($II124),INDEX($K$9:$K$150,MATCH($IG124,$M$9:$M$150,0)),"")</f>
        <v/>
      </c>
      <c r="IL124" s="670" t="str">
        <f t="shared" si="134"/>
        <v/>
      </c>
      <c r="IM124" s="702"/>
      <c r="IN124" s="5" t="str">
        <f t="shared" si="135"/>
        <v/>
      </c>
      <c r="IO124" s="714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670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05" t="str">
        <f t="shared" si="143"/>
        <v/>
      </c>
    </row>
    <row r="125" spans="1:259" ht="15" customHeight="1" x14ac:dyDescent="0.25">
      <c r="A125" s="82"/>
      <c r="B125" s="578" t="str">
        <f t="shared" si="144"/>
        <v/>
      </c>
      <c r="C125" s="572" t="str">
        <f t="shared" si="145"/>
        <v/>
      </c>
      <c r="D125" s="576" t="str">
        <f t="shared" si="146"/>
        <v/>
      </c>
      <c r="E125" s="580" t="str">
        <f t="shared" si="147"/>
        <v/>
      </c>
      <c r="F125" s="572" t="str">
        <f t="shared" si="148"/>
        <v/>
      </c>
      <c r="G125" s="579" t="str">
        <f t="shared" si="149"/>
        <v/>
      </c>
      <c r="H125" s="580" t="str">
        <f t="shared" si="128"/>
        <v/>
      </c>
      <c r="I125" s="482"/>
      <c r="J125" s="483" t="str">
        <v/>
      </c>
      <c r="K125" s="806" t="str">
        <f t="shared" si="133"/>
        <v/>
      </c>
      <c r="M125" s="164" t="str">
        <f t="shared" si="182"/>
        <v/>
      </c>
      <c r="N125" s="575" t="str">
        <f t="shared" si="183"/>
        <v/>
      </c>
      <c r="O125" s="572" t="str">
        <f t="shared" si="184"/>
        <v/>
      </c>
      <c r="P125" s="576" t="str">
        <f t="shared" si="185"/>
        <v/>
      </c>
      <c r="Q125" s="528" t="str">
        <f t="shared" si="186"/>
        <v/>
      </c>
      <c r="R125" s="572" t="str">
        <f t="shared" si="187"/>
        <v/>
      </c>
      <c r="S125" s="577" t="str">
        <f t="shared" si="188"/>
        <v/>
      </c>
      <c r="T125" s="578" t="str">
        <f t="shared" si="189"/>
        <v/>
      </c>
      <c r="U125" s="572" t="str">
        <f t="shared" si="190"/>
        <v/>
      </c>
      <c r="V125" s="579" t="str">
        <f t="shared" si="191"/>
        <v/>
      </c>
      <c r="W125" s="528" t="str">
        <f t="shared" si="192"/>
        <v/>
      </c>
      <c r="X125" s="572" t="str">
        <f t="shared" si="193"/>
        <v/>
      </c>
      <c r="Y125" s="573" t="str">
        <f t="shared" si="150"/>
        <v/>
      </c>
      <c r="Z125" s="575" t="str">
        <f t="shared" si="194"/>
        <v/>
      </c>
      <c r="AA125" s="572" t="str">
        <f t="shared" si="195"/>
        <v/>
      </c>
      <c r="AB125" s="572" t="str">
        <f t="shared" si="196"/>
        <v/>
      </c>
      <c r="AC125" s="579" t="str">
        <f t="shared" si="197"/>
        <v/>
      </c>
      <c r="AD125" s="580" t="str">
        <f t="shared" si="198"/>
        <v/>
      </c>
      <c r="AE125" s="572" t="str">
        <f t="shared" si="199"/>
        <v/>
      </c>
      <c r="AF125" s="576" t="str">
        <f t="shared" si="200"/>
        <v/>
      </c>
      <c r="AG125" s="545" t="str">
        <f t="shared" si="201"/>
        <v/>
      </c>
      <c r="AH125" s="546" t="str">
        <f t="shared" si="202"/>
        <v/>
      </c>
      <c r="AI125" s="528" t="str">
        <f t="shared" si="203"/>
        <v/>
      </c>
      <c r="AJ125" s="529" t="str">
        <f t="shared" si="204"/>
        <v/>
      </c>
      <c r="AK125" s="578" t="str">
        <f t="shared" si="205"/>
        <v/>
      </c>
      <c r="AL125" s="572" t="str">
        <f t="shared" si="206"/>
        <v/>
      </c>
      <c r="AM125" s="577" t="str">
        <f t="shared" si="207"/>
        <v/>
      </c>
      <c r="AN125" s="524" t="str">
        <f t="shared" si="151"/>
        <v/>
      </c>
      <c r="AO125" s="525" t="str">
        <f t="shared" si="181"/>
        <v/>
      </c>
      <c r="AP125" s="528" t="str">
        <f t="shared" si="208"/>
        <v/>
      </c>
      <c r="AQ125" s="529" t="str">
        <f t="shared" si="129"/>
        <v/>
      </c>
      <c r="AS125" s="598" t="str">
        <f t="shared" si="209"/>
        <v/>
      </c>
      <c r="AT125" s="602" t="str">
        <f t="shared" si="130"/>
        <v/>
      </c>
      <c r="AU125" s="515" t="str">
        <f t="shared" si="210"/>
        <v/>
      </c>
      <c r="AV125" s="164" t="str">
        <f t="shared" si="211"/>
        <v/>
      </c>
      <c r="AW125" s="545" t="str">
        <f>IF($M125="","",W125-INDEX(Assy.Model!$W$9:$W$150,MATCH('SN#.Run#'!$M125,Assy.Model!$M$9:$M$150,0)))</f>
        <v/>
      </c>
      <c r="AX125" s="628" t="str">
        <f>IF($M125="","",X125-INDEX(Assy.Model!$X$9:$X$150,MATCH('SN#.Run#'!$M125,Assy.Model!$M$9:$M$150,0)))</f>
        <v/>
      </c>
      <c r="AY125" s="629" t="str">
        <f>IF($M125="","",Y125-INDEX(Assy.Model!$Y$9:$Y$150,MATCH('SN#.Run#'!$M125,Assy.Model!$M$9:$M$150,0)))</f>
        <v/>
      </c>
      <c r="AZ125" s="602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10" t="str">
        <f>IF($M125="","",AN125-INDEX(Assy.Model!$AN$9:$AN$150,MATCH('SN#.Run#'!$M125,Assy.Model!$M$9:$M$150,0)))</f>
        <v/>
      </c>
      <c r="BB125" s="525" t="str">
        <f>IF($M125="","",AO125-INDEX(Assy.Model!$AO$9:$AO$150,MATCH('SN#.Run#'!$M125,Assy.Model!$M$9:$M$150,0)))</f>
        <v/>
      </c>
      <c r="BC125" s="619" t="str">
        <f>IF($M125="","",AP125-INDEX(Assy.Model!$AP$9:$AP$150,MATCH('SN#.Run#'!$M125,Assy.Model!$M$9:$M$150,0)))</f>
        <v/>
      </c>
      <c r="BD125" s="419"/>
      <c r="BE125" s="699"/>
      <c r="BF125" s="417"/>
      <c r="BG125" s="417"/>
      <c r="BH125" s="417"/>
      <c r="IE125" s="790" t="str">
        <f>IFERROR(IF($IU125="","",IF($IU125&lt;(((Settings!$C$19/2)*-1)*$IE$8),"Taper","Nose")),"")</f>
        <v/>
      </c>
      <c r="IF125" s="482" t="str">
        <f>IFERROR(IF((((($IW125*COS(RADIANS(180-$IY125)))*COS(RADIANS($IY125)))-(($IX125*SIN(RADIANS(180-$IY125)))*SIN(RADIANS($IY125))))+$IU125)&lt;(((Settings!$C$19+$IF$8)/2)*-1),"Gage",""),"")</f>
        <v/>
      </c>
      <c r="IG125" s="788" t="str">
        <f t="shared" si="132"/>
        <v/>
      </c>
      <c r="IH125" s="674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677" t="str" cm="1">
        <f t="array" ref="II125">IFERROR(IF($IH125&lt;1,$IH125+LARGE((IF($M$9:$M$150="",0,$M$9:$M$150)-MOD(IF($M$9:$M$150="",0,$M$9:$M$150),1)),1),$IH125),"")</f>
        <v/>
      </c>
      <c r="IJ125" s="482" t="str">
        <f t="shared" si="131"/>
        <v/>
      </c>
      <c r="IK125" s="482" t="str">
        <f t="shared" si="212"/>
        <v/>
      </c>
      <c r="IL125" s="670" t="str">
        <f t="shared" si="134"/>
        <v/>
      </c>
      <c r="IM125" s="702"/>
      <c r="IN125" s="5" t="str">
        <f t="shared" si="135"/>
        <v/>
      </c>
      <c r="IO125" s="714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670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05" t="str">
        <f t="shared" si="143"/>
        <v/>
      </c>
    </row>
    <row r="126" spans="1:259" ht="15" customHeight="1" x14ac:dyDescent="0.25">
      <c r="A126" s="82"/>
      <c r="B126" s="578" t="str">
        <f t="shared" si="144"/>
        <v/>
      </c>
      <c r="C126" s="572" t="str">
        <f t="shared" si="145"/>
        <v/>
      </c>
      <c r="D126" s="576" t="str">
        <f t="shared" si="146"/>
        <v/>
      </c>
      <c r="E126" s="580" t="str">
        <f t="shared" si="147"/>
        <v/>
      </c>
      <c r="F126" s="572" t="str">
        <f t="shared" si="148"/>
        <v/>
      </c>
      <c r="G126" s="579" t="str">
        <f t="shared" si="149"/>
        <v/>
      </c>
      <c r="H126" s="580" t="str">
        <f t="shared" si="128"/>
        <v/>
      </c>
      <c r="I126" s="482"/>
      <c r="J126" s="483" t="str">
        <v/>
      </c>
      <c r="K126" s="806" t="str">
        <f t="shared" si="133"/>
        <v/>
      </c>
      <c r="M126" s="164" t="str">
        <f t="shared" si="182"/>
        <v/>
      </c>
      <c r="N126" s="575" t="str">
        <f t="shared" si="183"/>
        <v/>
      </c>
      <c r="O126" s="572" t="str">
        <f t="shared" si="184"/>
        <v/>
      </c>
      <c r="P126" s="576" t="str">
        <f t="shared" si="185"/>
        <v/>
      </c>
      <c r="Q126" s="528" t="str">
        <f t="shared" si="186"/>
        <v/>
      </c>
      <c r="R126" s="572" t="str">
        <f t="shared" si="187"/>
        <v/>
      </c>
      <c r="S126" s="577" t="str">
        <f t="shared" si="188"/>
        <v/>
      </c>
      <c r="T126" s="578" t="str">
        <f t="shared" si="189"/>
        <v/>
      </c>
      <c r="U126" s="572" t="str">
        <f t="shared" si="190"/>
        <v/>
      </c>
      <c r="V126" s="579" t="str">
        <f t="shared" si="191"/>
        <v/>
      </c>
      <c r="W126" s="528" t="str">
        <f t="shared" si="192"/>
        <v/>
      </c>
      <c r="X126" s="572" t="str">
        <f t="shared" si="193"/>
        <v/>
      </c>
      <c r="Y126" s="573" t="str">
        <f t="shared" si="150"/>
        <v/>
      </c>
      <c r="Z126" s="575" t="str">
        <f t="shared" si="194"/>
        <v/>
      </c>
      <c r="AA126" s="572" t="str">
        <f t="shared" si="195"/>
        <v/>
      </c>
      <c r="AB126" s="572" t="str">
        <f t="shared" si="196"/>
        <v/>
      </c>
      <c r="AC126" s="579" t="str">
        <f t="shared" si="197"/>
        <v/>
      </c>
      <c r="AD126" s="580" t="str">
        <f t="shared" si="198"/>
        <v/>
      </c>
      <c r="AE126" s="572" t="str">
        <f t="shared" si="199"/>
        <v/>
      </c>
      <c r="AF126" s="576" t="str">
        <f t="shared" si="200"/>
        <v/>
      </c>
      <c r="AG126" s="545" t="str">
        <f t="shared" si="201"/>
        <v/>
      </c>
      <c r="AH126" s="546" t="str">
        <f t="shared" si="202"/>
        <v/>
      </c>
      <c r="AI126" s="528" t="str">
        <f t="shared" si="203"/>
        <v/>
      </c>
      <c r="AJ126" s="529" t="str">
        <f t="shared" si="204"/>
        <v/>
      </c>
      <c r="AK126" s="578" t="str">
        <f t="shared" si="205"/>
        <v/>
      </c>
      <c r="AL126" s="572" t="str">
        <f t="shared" si="206"/>
        <v/>
      </c>
      <c r="AM126" s="577" t="str">
        <f t="shared" si="207"/>
        <v/>
      </c>
      <c r="AN126" s="524" t="str">
        <f t="shared" si="151"/>
        <v/>
      </c>
      <c r="AO126" s="525" t="str">
        <f t="shared" si="181"/>
        <v/>
      </c>
      <c r="AP126" s="528" t="str">
        <f t="shared" si="208"/>
        <v/>
      </c>
      <c r="AQ126" s="529" t="str">
        <f t="shared" si="129"/>
        <v/>
      </c>
      <c r="AS126" s="598" t="str">
        <f t="shared" si="209"/>
        <v/>
      </c>
      <c r="AT126" s="602" t="str">
        <f t="shared" si="130"/>
        <v/>
      </c>
      <c r="AU126" s="515" t="str">
        <f t="shared" si="210"/>
        <v/>
      </c>
      <c r="AV126" s="164" t="str">
        <f t="shared" si="211"/>
        <v/>
      </c>
      <c r="AW126" s="545" t="str">
        <f>IF($M126="","",W126-INDEX(Assy.Model!$W$9:$W$150,MATCH('SN#.Run#'!$M126,Assy.Model!$M$9:$M$150,0)))</f>
        <v/>
      </c>
      <c r="AX126" s="628" t="str">
        <f>IF($M126="","",X126-INDEX(Assy.Model!$X$9:$X$150,MATCH('SN#.Run#'!$M126,Assy.Model!$M$9:$M$150,0)))</f>
        <v/>
      </c>
      <c r="AY126" s="629" t="str">
        <f>IF($M126="","",Y126-INDEX(Assy.Model!$Y$9:$Y$150,MATCH('SN#.Run#'!$M126,Assy.Model!$M$9:$M$150,0)))</f>
        <v/>
      </c>
      <c r="AZ126" s="602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10" t="str">
        <f>IF($M126="","",AN126-INDEX(Assy.Model!$AN$9:$AN$150,MATCH('SN#.Run#'!$M126,Assy.Model!$M$9:$M$150,0)))</f>
        <v/>
      </c>
      <c r="BB126" s="525" t="str">
        <f>IF($M126="","",AO126-INDEX(Assy.Model!$AO$9:$AO$150,MATCH('SN#.Run#'!$M126,Assy.Model!$M$9:$M$150,0)))</f>
        <v/>
      </c>
      <c r="BC126" s="619" t="str">
        <f>IF($M126="","",AP126-INDEX(Assy.Model!$AP$9:$AP$150,MATCH('SN#.Run#'!$M126,Assy.Model!$M$9:$M$150,0)))</f>
        <v/>
      </c>
      <c r="BD126" s="419"/>
      <c r="BE126" s="699"/>
      <c r="BF126" s="417"/>
      <c r="BG126" s="417"/>
      <c r="BH126" s="417"/>
      <c r="IE126" s="790" t="str">
        <f>IFERROR(IF($IU126="","",IF($IU126&lt;(((Settings!$C$19/2)*-1)*$IE$8),"Taper","Nose")),"")</f>
        <v/>
      </c>
      <c r="IF126" s="482" t="str">
        <f>IFERROR(IF((((($IW126*COS(RADIANS(180-$IY126)))*COS(RADIANS($IY126)))-(($IX126*SIN(RADIANS(180-$IY126)))*SIN(RADIANS($IY126))))+$IU126)&lt;(((Settings!$C$19+$IF$8)/2)*-1),"Gage",""),"")</f>
        <v/>
      </c>
      <c r="IG126" s="788" t="str">
        <f t="shared" si="132"/>
        <v/>
      </c>
      <c r="IH126" s="674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677" t="str" cm="1">
        <f t="array" ref="II126">IFERROR(IF($IH126&lt;1,$IH126+LARGE((IF($M$9:$M$150="",0,$M$9:$M$150)-MOD(IF($M$9:$M$150="",0,$M$9:$M$150),1)),1),$IH126),"")</f>
        <v/>
      </c>
      <c r="IJ126" s="482" t="str">
        <f t="shared" si="131"/>
        <v/>
      </c>
      <c r="IK126" s="482" t="str">
        <f t="shared" si="212"/>
        <v/>
      </c>
      <c r="IL126" s="670" t="str">
        <f t="shared" si="134"/>
        <v/>
      </c>
      <c r="IM126" s="702"/>
      <c r="IN126" s="5" t="str">
        <f t="shared" si="135"/>
        <v/>
      </c>
      <c r="IO126" s="714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670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05" t="str">
        <f t="shared" si="143"/>
        <v/>
      </c>
    </row>
    <row r="127" spans="1:259" ht="15" customHeight="1" x14ac:dyDescent="0.25">
      <c r="A127" s="82"/>
      <c r="B127" s="578" t="str">
        <f t="shared" si="144"/>
        <v/>
      </c>
      <c r="C127" s="572" t="str">
        <f t="shared" si="145"/>
        <v/>
      </c>
      <c r="D127" s="576" t="str">
        <f t="shared" si="146"/>
        <v/>
      </c>
      <c r="E127" s="580" t="str">
        <f t="shared" si="147"/>
        <v/>
      </c>
      <c r="F127" s="572" t="str">
        <f t="shared" si="148"/>
        <v/>
      </c>
      <c r="G127" s="579" t="str">
        <f t="shared" si="149"/>
        <v/>
      </c>
      <c r="H127" s="580" t="str">
        <f t="shared" si="128"/>
        <v/>
      </c>
      <c r="I127" s="482"/>
      <c r="J127" s="483" t="str">
        <v/>
      </c>
      <c r="K127" s="806" t="str">
        <f t="shared" si="133"/>
        <v/>
      </c>
      <c r="M127" s="164" t="str">
        <f t="shared" si="182"/>
        <v/>
      </c>
      <c r="N127" s="575" t="str">
        <f t="shared" si="183"/>
        <v/>
      </c>
      <c r="O127" s="572" t="str">
        <f t="shared" si="184"/>
        <v/>
      </c>
      <c r="P127" s="576" t="str">
        <f t="shared" si="185"/>
        <v/>
      </c>
      <c r="Q127" s="528" t="str">
        <f t="shared" si="186"/>
        <v/>
      </c>
      <c r="R127" s="572" t="str">
        <f t="shared" si="187"/>
        <v/>
      </c>
      <c r="S127" s="577" t="str">
        <f t="shared" si="188"/>
        <v/>
      </c>
      <c r="T127" s="578" t="str">
        <f t="shared" si="189"/>
        <v/>
      </c>
      <c r="U127" s="572" t="str">
        <f t="shared" si="190"/>
        <v/>
      </c>
      <c r="V127" s="579" t="str">
        <f t="shared" si="191"/>
        <v/>
      </c>
      <c r="W127" s="528" t="str">
        <f t="shared" si="192"/>
        <v/>
      </c>
      <c r="X127" s="572" t="str">
        <f t="shared" si="193"/>
        <v/>
      </c>
      <c r="Y127" s="573" t="str">
        <f t="shared" si="150"/>
        <v/>
      </c>
      <c r="Z127" s="575" t="str">
        <f t="shared" si="194"/>
        <v/>
      </c>
      <c r="AA127" s="572" t="str">
        <f t="shared" si="195"/>
        <v/>
      </c>
      <c r="AB127" s="572" t="str">
        <f t="shared" si="196"/>
        <v/>
      </c>
      <c r="AC127" s="579" t="str">
        <f t="shared" si="197"/>
        <v/>
      </c>
      <c r="AD127" s="580" t="str">
        <f t="shared" si="198"/>
        <v/>
      </c>
      <c r="AE127" s="572" t="str">
        <f t="shared" si="199"/>
        <v/>
      </c>
      <c r="AF127" s="576" t="str">
        <f t="shared" si="200"/>
        <v/>
      </c>
      <c r="AG127" s="545" t="str">
        <f t="shared" si="201"/>
        <v/>
      </c>
      <c r="AH127" s="546" t="str">
        <f t="shared" si="202"/>
        <v/>
      </c>
      <c r="AI127" s="528" t="str">
        <f t="shared" si="203"/>
        <v/>
      </c>
      <c r="AJ127" s="529" t="str">
        <f t="shared" si="204"/>
        <v/>
      </c>
      <c r="AK127" s="578" t="str">
        <f t="shared" si="205"/>
        <v/>
      </c>
      <c r="AL127" s="572" t="str">
        <f t="shared" si="206"/>
        <v/>
      </c>
      <c r="AM127" s="577" t="str">
        <f t="shared" si="207"/>
        <v/>
      </c>
      <c r="AN127" s="524" t="str">
        <f t="shared" si="151"/>
        <v/>
      </c>
      <c r="AO127" s="525" t="str">
        <f t="shared" si="181"/>
        <v/>
      </c>
      <c r="AP127" s="528" t="str">
        <f t="shared" si="208"/>
        <v/>
      </c>
      <c r="AQ127" s="529" t="str">
        <f t="shared" si="129"/>
        <v/>
      </c>
      <c r="AS127" s="598" t="str">
        <f t="shared" si="209"/>
        <v/>
      </c>
      <c r="AT127" s="602" t="str">
        <f t="shared" si="130"/>
        <v/>
      </c>
      <c r="AU127" s="515" t="str">
        <f t="shared" si="210"/>
        <v/>
      </c>
      <c r="AV127" s="164" t="str">
        <f t="shared" si="211"/>
        <v/>
      </c>
      <c r="AW127" s="545" t="str">
        <f>IF($M127="","",W127-INDEX(Assy.Model!$W$9:$W$150,MATCH('SN#.Run#'!$M127,Assy.Model!$M$9:$M$150,0)))</f>
        <v/>
      </c>
      <c r="AX127" s="628" t="str">
        <f>IF($M127="","",X127-INDEX(Assy.Model!$X$9:$X$150,MATCH('SN#.Run#'!$M127,Assy.Model!$M$9:$M$150,0)))</f>
        <v/>
      </c>
      <c r="AY127" s="629" t="str">
        <f>IF($M127="","",Y127-INDEX(Assy.Model!$Y$9:$Y$150,MATCH('SN#.Run#'!$M127,Assy.Model!$M$9:$M$150,0)))</f>
        <v/>
      </c>
      <c r="AZ127" s="602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10" t="str">
        <f>IF($M127="","",AN127-INDEX(Assy.Model!$AN$9:$AN$150,MATCH('SN#.Run#'!$M127,Assy.Model!$M$9:$M$150,0)))</f>
        <v/>
      </c>
      <c r="BB127" s="525" t="str">
        <f>IF($M127="","",AO127-INDEX(Assy.Model!$AO$9:$AO$150,MATCH('SN#.Run#'!$M127,Assy.Model!$M$9:$M$150,0)))</f>
        <v/>
      </c>
      <c r="BC127" s="619" t="str">
        <f>IF($M127="","",AP127-INDEX(Assy.Model!$AP$9:$AP$150,MATCH('SN#.Run#'!$M127,Assy.Model!$M$9:$M$150,0)))</f>
        <v/>
      </c>
      <c r="BD127" s="419"/>
      <c r="BE127" s="699"/>
      <c r="BF127" s="417"/>
      <c r="BG127" s="417"/>
      <c r="BH127" s="417"/>
      <c r="IE127" s="790" t="str">
        <f>IFERROR(IF($IU127="","",IF($IU127&lt;(((Settings!$C$19/2)*-1)*$IE$8),"Taper","Nose")),"")</f>
        <v/>
      </c>
      <c r="IF127" s="482" t="str">
        <f>IFERROR(IF((((($IW127*COS(RADIANS(180-$IY127)))*COS(RADIANS($IY127)))-(($IX127*SIN(RADIANS(180-$IY127)))*SIN(RADIANS($IY127))))+$IU127)&lt;(((Settings!$C$19+$IF$8)/2)*-1),"Gage",""),"")</f>
        <v/>
      </c>
      <c r="IG127" s="788" t="str">
        <f t="shared" si="132"/>
        <v/>
      </c>
      <c r="IH127" s="674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677" t="str" cm="1">
        <f t="array" ref="II127">IFERROR(IF($IH127&lt;1,$IH127+LARGE((IF($M$9:$M$150="",0,$M$9:$M$150)-MOD(IF($M$9:$M$150="",0,$M$9:$M$150),1)),1),$IH127),"")</f>
        <v/>
      </c>
      <c r="IJ127" s="482" t="str">
        <f t="shared" si="131"/>
        <v/>
      </c>
      <c r="IK127" s="482" t="str">
        <f t="shared" si="212"/>
        <v/>
      </c>
      <c r="IL127" s="670" t="str">
        <f t="shared" si="134"/>
        <v/>
      </c>
      <c r="IM127" s="702"/>
      <c r="IN127" s="5" t="str">
        <f t="shared" si="135"/>
        <v/>
      </c>
      <c r="IO127" s="714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670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05" t="str">
        <f t="shared" si="143"/>
        <v/>
      </c>
    </row>
    <row r="128" spans="1:259" ht="15" customHeight="1" x14ac:dyDescent="0.25">
      <c r="A128" s="82"/>
      <c r="B128" s="578" t="str">
        <f t="shared" si="144"/>
        <v/>
      </c>
      <c r="C128" s="572" t="str">
        <f t="shared" si="145"/>
        <v/>
      </c>
      <c r="D128" s="576" t="str">
        <f t="shared" si="146"/>
        <v/>
      </c>
      <c r="E128" s="580" t="str">
        <f t="shared" si="147"/>
        <v/>
      </c>
      <c r="F128" s="572" t="str">
        <f t="shared" si="148"/>
        <v/>
      </c>
      <c r="G128" s="579" t="str">
        <f t="shared" si="149"/>
        <v/>
      </c>
      <c r="H128" s="580" t="str">
        <f t="shared" si="128"/>
        <v/>
      </c>
      <c r="I128" s="482"/>
      <c r="J128" s="483" t="str">
        <v/>
      </c>
      <c r="K128" s="806" t="str">
        <f t="shared" si="133"/>
        <v/>
      </c>
      <c r="M128" s="164" t="str">
        <f t="shared" si="182"/>
        <v/>
      </c>
      <c r="N128" s="575" t="str">
        <f t="shared" si="183"/>
        <v/>
      </c>
      <c r="O128" s="572" t="str">
        <f t="shared" si="184"/>
        <v/>
      </c>
      <c r="P128" s="576" t="str">
        <f t="shared" si="185"/>
        <v/>
      </c>
      <c r="Q128" s="528" t="str">
        <f t="shared" si="186"/>
        <v/>
      </c>
      <c r="R128" s="572" t="str">
        <f t="shared" si="187"/>
        <v/>
      </c>
      <c r="S128" s="577" t="str">
        <f t="shared" si="188"/>
        <v/>
      </c>
      <c r="T128" s="578" t="str">
        <f t="shared" si="189"/>
        <v/>
      </c>
      <c r="U128" s="572" t="str">
        <f t="shared" si="190"/>
        <v/>
      </c>
      <c r="V128" s="579" t="str">
        <f t="shared" si="191"/>
        <v/>
      </c>
      <c r="W128" s="528" t="str">
        <f t="shared" si="192"/>
        <v/>
      </c>
      <c r="X128" s="572" t="str">
        <f t="shared" si="193"/>
        <v/>
      </c>
      <c r="Y128" s="573" t="str">
        <f t="shared" si="150"/>
        <v/>
      </c>
      <c r="Z128" s="575" t="str">
        <f t="shared" si="194"/>
        <v/>
      </c>
      <c r="AA128" s="572" t="str">
        <f t="shared" si="195"/>
        <v/>
      </c>
      <c r="AB128" s="572" t="str">
        <f t="shared" si="196"/>
        <v/>
      </c>
      <c r="AC128" s="579" t="str">
        <f t="shared" si="197"/>
        <v/>
      </c>
      <c r="AD128" s="580" t="str">
        <f t="shared" si="198"/>
        <v/>
      </c>
      <c r="AE128" s="572" t="str">
        <f t="shared" si="199"/>
        <v/>
      </c>
      <c r="AF128" s="576" t="str">
        <f t="shared" si="200"/>
        <v/>
      </c>
      <c r="AG128" s="545" t="str">
        <f t="shared" si="201"/>
        <v/>
      </c>
      <c r="AH128" s="546" t="str">
        <f t="shared" si="202"/>
        <v/>
      </c>
      <c r="AI128" s="528" t="str">
        <f t="shared" si="203"/>
        <v/>
      </c>
      <c r="AJ128" s="529" t="str">
        <f t="shared" si="204"/>
        <v/>
      </c>
      <c r="AK128" s="578" t="str">
        <f t="shared" si="205"/>
        <v/>
      </c>
      <c r="AL128" s="572" t="str">
        <f t="shared" si="206"/>
        <v/>
      </c>
      <c r="AM128" s="577" t="str">
        <f t="shared" si="207"/>
        <v/>
      </c>
      <c r="AN128" s="524" t="str">
        <f t="shared" si="151"/>
        <v/>
      </c>
      <c r="AO128" s="525" t="str">
        <f t="shared" si="181"/>
        <v/>
      </c>
      <c r="AP128" s="528" t="str">
        <f t="shared" si="208"/>
        <v/>
      </c>
      <c r="AQ128" s="529" t="str">
        <f t="shared" si="129"/>
        <v/>
      </c>
      <c r="AS128" s="598" t="str">
        <f t="shared" si="209"/>
        <v/>
      </c>
      <c r="AT128" s="602" t="str">
        <f t="shared" si="130"/>
        <v/>
      </c>
      <c r="AU128" s="515" t="str">
        <f t="shared" si="210"/>
        <v/>
      </c>
      <c r="AV128" s="164" t="str">
        <f t="shared" si="211"/>
        <v/>
      </c>
      <c r="AW128" s="545" t="str">
        <f>IF($M128="","",W128-INDEX(Assy.Model!$W$9:$W$150,MATCH('SN#.Run#'!$M128,Assy.Model!$M$9:$M$150,0)))</f>
        <v/>
      </c>
      <c r="AX128" s="628" t="str">
        <f>IF($M128="","",X128-INDEX(Assy.Model!$X$9:$X$150,MATCH('SN#.Run#'!$M128,Assy.Model!$M$9:$M$150,0)))</f>
        <v/>
      </c>
      <c r="AY128" s="629" t="str">
        <f>IF($M128="","",Y128-INDEX(Assy.Model!$Y$9:$Y$150,MATCH('SN#.Run#'!$M128,Assy.Model!$M$9:$M$150,0)))</f>
        <v/>
      </c>
      <c r="AZ128" s="602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10" t="str">
        <f>IF($M128="","",AN128-INDEX(Assy.Model!$AN$9:$AN$150,MATCH('SN#.Run#'!$M128,Assy.Model!$M$9:$M$150,0)))</f>
        <v/>
      </c>
      <c r="BB128" s="525" t="str">
        <f>IF($M128="","",AO128-INDEX(Assy.Model!$AO$9:$AO$150,MATCH('SN#.Run#'!$M128,Assy.Model!$M$9:$M$150,0)))</f>
        <v/>
      </c>
      <c r="BC128" s="619" t="str">
        <f>IF($M128="","",AP128-INDEX(Assy.Model!$AP$9:$AP$150,MATCH('SN#.Run#'!$M128,Assy.Model!$M$9:$M$150,0)))</f>
        <v/>
      </c>
      <c r="BD128" s="419"/>
      <c r="BE128" s="699"/>
      <c r="BF128" s="417"/>
      <c r="BG128" s="417"/>
      <c r="BH128" s="417"/>
      <c r="IE128" s="790" t="str">
        <f>IFERROR(IF($IU128="","",IF($IU128&lt;(((Settings!$C$19/2)*-1)*$IE$8),"Taper","Nose")),"")</f>
        <v/>
      </c>
      <c r="IF128" s="482" t="str">
        <f>IFERROR(IF((((($IW128*COS(RADIANS(180-$IY128)))*COS(RADIANS($IY128)))-(($IX128*SIN(RADIANS(180-$IY128)))*SIN(RADIANS($IY128))))+$IU128)&lt;(((Settings!$C$19+$IF$8)/2)*-1),"Gage",""),"")</f>
        <v/>
      </c>
      <c r="IG128" s="788" t="str">
        <f t="shared" si="132"/>
        <v/>
      </c>
      <c r="IH128" s="674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677" t="str" cm="1">
        <f t="array" ref="II128">IFERROR(IF($IH128&lt;1,$IH128+LARGE((IF($M$9:$M$150="",0,$M$9:$M$150)-MOD(IF($M$9:$M$150="",0,$M$9:$M$150),1)),1),$IH128),"")</f>
        <v/>
      </c>
      <c r="IJ128" s="482" t="str">
        <f t="shared" si="131"/>
        <v/>
      </c>
      <c r="IK128" s="482" t="str">
        <f t="shared" si="212"/>
        <v/>
      </c>
      <c r="IL128" s="670" t="str">
        <f t="shared" si="134"/>
        <v/>
      </c>
      <c r="IM128" s="702"/>
      <c r="IN128" s="5" t="str">
        <f t="shared" si="135"/>
        <v/>
      </c>
      <c r="IO128" s="714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670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05" t="str">
        <f t="shared" si="143"/>
        <v/>
      </c>
    </row>
    <row r="129" spans="1:259" ht="15" customHeight="1" x14ac:dyDescent="0.25">
      <c r="A129" s="82"/>
      <c r="B129" s="578" t="str">
        <f t="shared" si="144"/>
        <v/>
      </c>
      <c r="C129" s="572" t="str">
        <f t="shared" si="145"/>
        <v/>
      </c>
      <c r="D129" s="576" t="str">
        <f t="shared" si="146"/>
        <v/>
      </c>
      <c r="E129" s="580" t="str">
        <f t="shared" si="147"/>
        <v/>
      </c>
      <c r="F129" s="572" t="str">
        <f t="shared" si="148"/>
        <v/>
      </c>
      <c r="G129" s="579" t="str">
        <f t="shared" si="149"/>
        <v/>
      </c>
      <c r="H129" s="580" t="str">
        <f t="shared" si="128"/>
        <v/>
      </c>
      <c r="I129" s="482"/>
      <c r="J129" s="483" t="str">
        <v/>
      </c>
      <c r="K129" s="806" t="str">
        <f t="shared" si="133"/>
        <v/>
      </c>
      <c r="M129" s="164" t="str">
        <f t="shared" si="182"/>
        <v/>
      </c>
      <c r="N129" s="575" t="str">
        <f t="shared" si="183"/>
        <v/>
      </c>
      <c r="O129" s="572" t="str">
        <f t="shared" si="184"/>
        <v/>
      </c>
      <c r="P129" s="576" t="str">
        <f t="shared" si="185"/>
        <v/>
      </c>
      <c r="Q129" s="528" t="str">
        <f t="shared" si="186"/>
        <v/>
      </c>
      <c r="R129" s="572" t="str">
        <f t="shared" si="187"/>
        <v/>
      </c>
      <c r="S129" s="577" t="str">
        <f t="shared" si="188"/>
        <v/>
      </c>
      <c r="T129" s="578" t="str">
        <f t="shared" si="189"/>
        <v/>
      </c>
      <c r="U129" s="572" t="str">
        <f t="shared" si="190"/>
        <v/>
      </c>
      <c r="V129" s="579" t="str">
        <f t="shared" si="191"/>
        <v/>
      </c>
      <c r="W129" s="528" t="str">
        <f t="shared" si="192"/>
        <v/>
      </c>
      <c r="X129" s="572" t="str">
        <f t="shared" si="193"/>
        <v/>
      </c>
      <c r="Y129" s="573" t="str">
        <f t="shared" si="150"/>
        <v/>
      </c>
      <c r="Z129" s="575" t="str">
        <f t="shared" si="194"/>
        <v/>
      </c>
      <c r="AA129" s="572" t="str">
        <f t="shared" si="195"/>
        <v/>
      </c>
      <c r="AB129" s="572" t="str">
        <f t="shared" si="196"/>
        <v/>
      </c>
      <c r="AC129" s="579" t="str">
        <f t="shared" si="197"/>
        <v/>
      </c>
      <c r="AD129" s="580" t="str">
        <f t="shared" si="198"/>
        <v/>
      </c>
      <c r="AE129" s="572" t="str">
        <f t="shared" si="199"/>
        <v/>
      </c>
      <c r="AF129" s="576" t="str">
        <f t="shared" si="200"/>
        <v/>
      </c>
      <c r="AG129" s="545" t="str">
        <f t="shared" si="201"/>
        <v/>
      </c>
      <c r="AH129" s="546" t="str">
        <f t="shared" si="202"/>
        <v/>
      </c>
      <c r="AI129" s="528" t="str">
        <f t="shared" si="203"/>
        <v/>
      </c>
      <c r="AJ129" s="529" t="str">
        <f t="shared" si="204"/>
        <v/>
      </c>
      <c r="AK129" s="578" t="str">
        <f t="shared" si="205"/>
        <v/>
      </c>
      <c r="AL129" s="572" t="str">
        <f t="shared" si="206"/>
        <v/>
      </c>
      <c r="AM129" s="577" t="str">
        <f t="shared" si="207"/>
        <v/>
      </c>
      <c r="AN129" s="524" t="str">
        <f t="shared" si="151"/>
        <v/>
      </c>
      <c r="AO129" s="525" t="str">
        <f t="shared" si="181"/>
        <v/>
      </c>
      <c r="AP129" s="528" t="str">
        <f t="shared" si="208"/>
        <v/>
      </c>
      <c r="AQ129" s="529" t="str">
        <f t="shared" si="129"/>
        <v/>
      </c>
      <c r="AS129" s="598" t="str">
        <f t="shared" si="209"/>
        <v/>
      </c>
      <c r="AT129" s="602" t="str">
        <f t="shared" si="130"/>
        <v/>
      </c>
      <c r="AU129" s="515" t="str">
        <f t="shared" si="210"/>
        <v/>
      </c>
      <c r="AV129" s="164" t="str">
        <f t="shared" si="211"/>
        <v/>
      </c>
      <c r="AW129" s="545" t="str">
        <f>IF($M129="","",W129-INDEX(Assy.Model!$W$9:$W$150,MATCH('SN#.Run#'!$M129,Assy.Model!$M$9:$M$150,0)))</f>
        <v/>
      </c>
      <c r="AX129" s="628" t="str">
        <f>IF($M129="","",X129-INDEX(Assy.Model!$X$9:$X$150,MATCH('SN#.Run#'!$M129,Assy.Model!$M$9:$M$150,0)))</f>
        <v/>
      </c>
      <c r="AY129" s="629" t="str">
        <f>IF($M129="","",Y129-INDEX(Assy.Model!$Y$9:$Y$150,MATCH('SN#.Run#'!$M129,Assy.Model!$M$9:$M$150,0)))</f>
        <v/>
      </c>
      <c r="AZ129" s="602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10" t="str">
        <f>IF($M129="","",AN129-INDEX(Assy.Model!$AN$9:$AN$150,MATCH('SN#.Run#'!$M129,Assy.Model!$M$9:$M$150,0)))</f>
        <v/>
      </c>
      <c r="BB129" s="525" t="str">
        <f>IF($M129="","",AO129-INDEX(Assy.Model!$AO$9:$AO$150,MATCH('SN#.Run#'!$M129,Assy.Model!$M$9:$M$150,0)))</f>
        <v/>
      </c>
      <c r="BC129" s="619" t="str">
        <f>IF($M129="","",AP129-INDEX(Assy.Model!$AP$9:$AP$150,MATCH('SN#.Run#'!$M129,Assy.Model!$M$9:$M$150,0)))</f>
        <v/>
      </c>
      <c r="BD129" s="419"/>
      <c r="BE129" s="699"/>
      <c r="BF129" s="417"/>
      <c r="BG129" s="417"/>
      <c r="BH129" s="417"/>
      <c r="IE129" s="790" t="str">
        <f>IFERROR(IF($IU129="","",IF($IU129&lt;(((Settings!$C$19/2)*-1)*$IE$8),"Taper","Nose")),"")</f>
        <v/>
      </c>
      <c r="IF129" s="482" t="str">
        <f>IFERROR(IF((((($IW129*COS(RADIANS(180-$IY129)))*COS(RADIANS($IY129)))-(($IX129*SIN(RADIANS(180-$IY129)))*SIN(RADIANS($IY129))))+$IU129)&lt;(((Settings!$C$19+$IF$8)/2)*-1),"Gage",""),"")</f>
        <v/>
      </c>
      <c r="IG129" s="788" t="str">
        <f t="shared" si="132"/>
        <v/>
      </c>
      <c r="IH129" s="674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677" t="str" cm="1">
        <f t="array" ref="II129">IFERROR(IF($IH129&lt;1,$IH129+LARGE((IF($M$9:$M$150="",0,$M$9:$M$150)-MOD(IF($M$9:$M$150="",0,$M$9:$M$150),1)),1),$IH129),"")</f>
        <v/>
      </c>
      <c r="IJ129" s="482" t="str">
        <f t="shared" si="131"/>
        <v/>
      </c>
      <c r="IK129" s="482" t="str">
        <f t="shared" si="212"/>
        <v/>
      </c>
      <c r="IL129" s="670" t="str">
        <f t="shared" si="134"/>
        <v/>
      </c>
      <c r="IM129" s="702"/>
      <c r="IN129" s="5" t="str">
        <f t="shared" si="135"/>
        <v/>
      </c>
      <c r="IO129" s="714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670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05" t="str">
        <f t="shared" si="143"/>
        <v/>
      </c>
    </row>
    <row r="130" spans="1:259" ht="15" customHeight="1" x14ac:dyDescent="0.25">
      <c r="A130" s="82"/>
      <c r="B130" s="585" t="str">
        <f t="shared" si="144"/>
        <v/>
      </c>
      <c r="C130" s="582" t="str">
        <f t="shared" si="145"/>
        <v/>
      </c>
      <c r="D130" s="583" t="str">
        <f t="shared" si="146"/>
        <v/>
      </c>
      <c r="E130" s="588" t="str">
        <f t="shared" si="147"/>
        <v/>
      </c>
      <c r="F130" s="582" t="str">
        <f t="shared" si="148"/>
        <v/>
      </c>
      <c r="G130" s="586" t="str">
        <f t="shared" si="149"/>
        <v/>
      </c>
      <c r="H130" s="588" t="str">
        <f t="shared" si="128"/>
        <v/>
      </c>
      <c r="I130" s="490"/>
      <c r="J130" s="491" t="str">
        <v/>
      </c>
      <c r="K130" s="807" t="str">
        <f t="shared" si="133"/>
        <v/>
      </c>
      <c r="M130" s="492" t="str">
        <f t="shared" si="182"/>
        <v/>
      </c>
      <c r="N130" s="581" t="str">
        <f t="shared" si="183"/>
        <v/>
      </c>
      <c r="O130" s="582" t="str">
        <f t="shared" si="184"/>
        <v/>
      </c>
      <c r="P130" s="583" t="str">
        <f t="shared" si="185"/>
        <v/>
      </c>
      <c r="Q130" s="536" t="str">
        <f t="shared" si="186"/>
        <v/>
      </c>
      <c r="R130" s="582" t="str">
        <f t="shared" si="187"/>
        <v/>
      </c>
      <c r="S130" s="584" t="str">
        <f t="shared" si="188"/>
        <v/>
      </c>
      <c r="T130" s="585" t="str">
        <f t="shared" si="189"/>
        <v/>
      </c>
      <c r="U130" s="582" t="str">
        <f t="shared" si="190"/>
        <v/>
      </c>
      <c r="V130" s="586" t="str">
        <f t="shared" si="191"/>
        <v/>
      </c>
      <c r="W130" s="536" t="str">
        <f t="shared" si="192"/>
        <v/>
      </c>
      <c r="X130" s="582" t="str">
        <f t="shared" si="193"/>
        <v/>
      </c>
      <c r="Y130" s="587" t="str">
        <f t="shared" si="150"/>
        <v/>
      </c>
      <c r="Z130" s="581" t="str">
        <f t="shared" si="194"/>
        <v/>
      </c>
      <c r="AA130" s="582" t="str">
        <f t="shared" si="195"/>
        <v/>
      </c>
      <c r="AB130" s="582" t="str">
        <f t="shared" si="196"/>
        <v/>
      </c>
      <c r="AC130" s="586" t="str">
        <f t="shared" si="197"/>
        <v/>
      </c>
      <c r="AD130" s="588" t="str">
        <f t="shared" si="198"/>
        <v/>
      </c>
      <c r="AE130" s="582" t="str">
        <f t="shared" si="199"/>
        <v/>
      </c>
      <c r="AF130" s="583" t="str">
        <f t="shared" si="200"/>
        <v/>
      </c>
      <c r="AG130" s="547" t="str">
        <f t="shared" si="201"/>
        <v/>
      </c>
      <c r="AH130" s="548" t="str">
        <f t="shared" si="202"/>
        <v/>
      </c>
      <c r="AI130" s="536" t="str">
        <f t="shared" si="203"/>
        <v/>
      </c>
      <c r="AJ130" s="537" t="str">
        <f t="shared" si="204"/>
        <v/>
      </c>
      <c r="AK130" s="585" t="str">
        <f t="shared" si="205"/>
        <v/>
      </c>
      <c r="AL130" s="582" t="str">
        <f t="shared" si="206"/>
        <v/>
      </c>
      <c r="AM130" s="584" t="str">
        <f t="shared" si="207"/>
        <v/>
      </c>
      <c r="AN130" s="534" t="str">
        <f t="shared" si="151"/>
        <v/>
      </c>
      <c r="AO130" s="535" t="str">
        <f t="shared" si="181"/>
        <v/>
      </c>
      <c r="AP130" s="536" t="str">
        <f t="shared" si="208"/>
        <v/>
      </c>
      <c r="AQ130" s="537" t="str">
        <f t="shared" si="129"/>
        <v/>
      </c>
      <c r="AS130" s="599" t="str">
        <f t="shared" si="209"/>
        <v/>
      </c>
      <c r="AT130" s="603" t="str">
        <f t="shared" si="130"/>
        <v/>
      </c>
      <c r="AU130" s="515" t="str">
        <f t="shared" si="210"/>
        <v/>
      </c>
      <c r="AV130" s="492" t="str">
        <f t="shared" si="211"/>
        <v/>
      </c>
      <c r="AW130" s="547" t="str">
        <f>IF($M130="","",W130-INDEX(Assy.Model!$W$9:$W$150,MATCH('SN#.Run#'!$M130,Assy.Model!$M$9:$M$150,0)))</f>
        <v/>
      </c>
      <c r="AX130" s="630" t="str">
        <f>IF($M130="","",X130-INDEX(Assy.Model!$X$9:$X$150,MATCH('SN#.Run#'!$M130,Assy.Model!$M$9:$M$150,0)))</f>
        <v/>
      </c>
      <c r="AY130" s="631" t="str">
        <f>IF($M130="","",Y130-INDEX(Assy.Model!$Y$9:$Y$150,MATCH('SN#.Run#'!$M130,Assy.Model!$M$9:$M$150,0)))</f>
        <v/>
      </c>
      <c r="AZ130" s="603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11" t="str">
        <f>IF($M130="","",AN130-INDEX(Assy.Model!$AN$9:$AN$150,MATCH('SN#.Run#'!$M130,Assy.Model!$M$9:$M$150,0)))</f>
        <v/>
      </c>
      <c r="BB130" s="535" t="str">
        <f>IF($M130="","",AO130-INDEX(Assy.Model!$AO$9:$AO$150,MATCH('SN#.Run#'!$M130,Assy.Model!$M$9:$M$150,0)))</f>
        <v/>
      </c>
      <c r="BC130" s="620" t="str">
        <f>IF($M130="","",AP130-INDEX(Assy.Model!$AP$9:$AP$150,MATCH('SN#.Run#'!$M130,Assy.Model!$M$9:$M$150,0)))</f>
        <v/>
      </c>
      <c r="BD130" s="419"/>
      <c r="BE130" s="699"/>
      <c r="BF130" s="417"/>
      <c r="BG130" s="417"/>
      <c r="BH130" s="417"/>
      <c r="IE130" s="790" t="str">
        <f>IFERROR(IF($IU130="","",IF($IU130&lt;(((Settings!$C$19/2)*-1)*$IE$8),"Taper","Nose")),"")</f>
        <v/>
      </c>
      <c r="IF130" s="482" t="str">
        <f>IFERROR(IF((((($IW130*COS(RADIANS(180-$IY130)))*COS(RADIANS($IY130)))-(($IX130*SIN(RADIANS(180-$IY130)))*SIN(RADIANS($IY130))))+$IU130)&lt;(((Settings!$C$19+$IF$8)/2)*-1),"Gage",""),"")</f>
        <v/>
      </c>
      <c r="IG130" s="788" t="str">
        <f t="shared" si="132"/>
        <v/>
      </c>
      <c r="IH130" s="674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677" t="str" cm="1">
        <f t="array" ref="II130">IFERROR(IF($IH130&lt;1,$IH130+LARGE((IF($M$9:$M$150="",0,$M$9:$M$150)-MOD(IF($M$9:$M$150="",0,$M$9:$M$150),1)),1),$IH130),"")</f>
        <v/>
      </c>
      <c r="IJ130" s="482" t="str">
        <f t="shared" si="131"/>
        <v/>
      </c>
      <c r="IK130" s="482" t="str">
        <f t="shared" si="212"/>
        <v/>
      </c>
      <c r="IL130" s="670" t="str">
        <f t="shared" si="134"/>
        <v/>
      </c>
      <c r="IM130" s="702"/>
      <c r="IN130" s="5" t="str">
        <f t="shared" si="135"/>
        <v/>
      </c>
      <c r="IO130" s="714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670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05" t="str">
        <f t="shared" si="143"/>
        <v/>
      </c>
    </row>
    <row r="131" spans="1:259" ht="15" customHeight="1" x14ac:dyDescent="0.25">
      <c r="A131" s="82"/>
      <c r="B131" s="585" t="str">
        <f t="shared" si="144"/>
        <v/>
      </c>
      <c r="C131" s="582" t="str">
        <f t="shared" si="145"/>
        <v/>
      </c>
      <c r="D131" s="583" t="str">
        <f t="shared" si="146"/>
        <v/>
      </c>
      <c r="E131" s="588" t="str">
        <f t="shared" si="147"/>
        <v/>
      </c>
      <c r="F131" s="582" t="str">
        <f t="shared" si="148"/>
        <v/>
      </c>
      <c r="G131" s="586" t="str">
        <f t="shared" si="149"/>
        <v/>
      </c>
      <c r="H131" s="588" t="str">
        <f t="shared" si="128"/>
        <v/>
      </c>
      <c r="I131" s="490"/>
      <c r="J131" s="491" t="str">
        <v/>
      </c>
      <c r="K131" s="807" t="str">
        <f t="shared" si="133"/>
        <v/>
      </c>
      <c r="M131" s="492" t="str">
        <f t="shared" si="182"/>
        <v/>
      </c>
      <c r="N131" s="581" t="str">
        <f t="shared" si="183"/>
        <v/>
      </c>
      <c r="O131" s="582" t="str">
        <f t="shared" si="184"/>
        <v/>
      </c>
      <c r="P131" s="583" t="str">
        <f t="shared" si="185"/>
        <v/>
      </c>
      <c r="Q131" s="536" t="str">
        <f t="shared" si="186"/>
        <v/>
      </c>
      <c r="R131" s="582" t="str">
        <f t="shared" si="187"/>
        <v/>
      </c>
      <c r="S131" s="584" t="str">
        <f t="shared" si="188"/>
        <v/>
      </c>
      <c r="T131" s="585" t="str">
        <f t="shared" si="189"/>
        <v/>
      </c>
      <c r="U131" s="582" t="str">
        <f t="shared" si="190"/>
        <v/>
      </c>
      <c r="V131" s="586" t="str">
        <f t="shared" si="191"/>
        <v/>
      </c>
      <c r="W131" s="536" t="str">
        <f t="shared" si="192"/>
        <v/>
      </c>
      <c r="X131" s="582" t="str">
        <f t="shared" si="193"/>
        <v/>
      </c>
      <c r="Y131" s="587" t="str">
        <f t="shared" si="150"/>
        <v/>
      </c>
      <c r="Z131" s="581" t="str">
        <f t="shared" si="194"/>
        <v/>
      </c>
      <c r="AA131" s="582" t="str">
        <f t="shared" si="195"/>
        <v/>
      </c>
      <c r="AB131" s="582" t="str">
        <f t="shared" si="196"/>
        <v/>
      </c>
      <c r="AC131" s="586" t="str">
        <f t="shared" si="197"/>
        <v/>
      </c>
      <c r="AD131" s="588" t="str">
        <f t="shared" si="198"/>
        <v/>
      </c>
      <c r="AE131" s="582" t="str">
        <f t="shared" si="199"/>
        <v/>
      </c>
      <c r="AF131" s="583" t="str">
        <f t="shared" si="200"/>
        <v/>
      </c>
      <c r="AG131" s="547" t="str">
        <f t="shared" si="201"/>
        <v/>
      </c>
      <c r="AH131" s="548" t="str">
        <f t="shared" si="202"/>
        <v/>
      </c>
      <c r="AI131" s="536" t="str">
        <f t="shared" si="203"/>
        <v/>
      </c>
      <c r="AJ131" s="537" t="str">
        <f t="shared" si="204"/>
        <v/>
      </c>
      <c r="AK131" s="585" t="str">
        <f t="shared" si="205"/>
        <v/>
      </c>
      <c r="AL131" s="582" t="str">
        <f t="shared" si="206"/>
        <v/>
      </c>
      <c r="AM131" s="584" t="str">
        <f t="shared" si="207"/>
        <v/>
      </c>
      <c r="AN131" s="534" t="str">
        <f t="shared" si="151"/>
        <v/>
      </c>
      <c r="AO131" s="535" t="str">
        <f t="shared" si="181"/>
        <v/>
      </c>
      <c r="AP131" s="536" t="str">
        <f t="shared" si="208"/>
        <v/>
      </c>
      <c r="AQ131" s="537" t="str">
        <f t="shared" si="129"/>
        <v/>
      </c>
      <c r="AS131" s="599" t="str">
        <f t="shared" si="209"/>
        <v/>
      </c>
      <c r="AT131" s="603" t="str">
        <f t="shared" si="130"/>
        <v/>
      </c>
      <c r="AU131" s="515" t="str">
        <f t="shared" si="210"/>
        <v/>
      </c>
      <c r="AV131" s="492" t="str">
        <f t="shared" si="211"/>
        <v/>
      </c>
      <c r="AW131" s="547" t="str">
        <f>IF($M131="","",W131-INDEX(Assy.Model!$W$9:$W$150,MATCH('SN#.Run#'!$M131,Assy.Model!$M$9:$M$150,0)))</f>
        <v/>
      </c>
      <c r="AX131" s="630" t="str">
        <f>IF($M131="","",X131-INDEX(Assy.Model!$X$9:$X$150,MATCH('SN#.Run#'!$M131,Assy.Model!$M$9:$M$150,0)))</f>
        <v/>
      </c>
      <c r="AY131" s="631" t="str">
        <f>IF($M131="","",Y131-INDEX(Assy.Model!$Y$9:$Y$150,MATCH('SN#.Run#'!$M131,Assy.Model!$M$9:$M$150,0)))</f>
        <v/>
      </c>
      <c r="AZ131" s="603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11" t="str">
        <f>IF($M131="","",AN131-INDEX(Assy.Model!$AN$9:$AN$150,MATCH('SN#.Run#'!$M131,Assy.Model!$M$9:$M$150,0)))</f>
        <v/>
      </c>
      <c r="BB131" s="535" t="str">
        <f>IF($M131="","",AO131-INDEX(Assy.Model!$AO$9:$AO$150,MATCH('SN#.Run#'!$M131,Assy.Model!$M$9:$M$150,0)))</f>
        <v/>
      </c>
      <c r="BC131" s="620" t="str">
        <f>IF($M131="","",AP131-INDEX(Assy.Model!$AP$9:$AP$150,MATCH('SN#.Run#'!$M131,Assy.Model!$M$9:$M$150,0)))</f>
        <v/>
      </c>
      <c r="BD131" s="419"/>
      <c r="BE131" s="699"/>
      <c r="BF131" s="417"/>
      <c r="BG131" s="417"/>
      <c r="BH131" s="417"/>
      <c r="IE131" s="790" t="str">
        <f>IFERROR(IF($IU131="","",IF($IU131&lt;(((Settings!$C$19/2)*-1)*$IE$8),"Taper","Nose")),"")</f>
        <v/>
      </c>
      <c r="IF131" s="482" t="str">
        <f>IFERROR(IF((((($IW131*COS(RADIANS(180-$IY131)))*COS(RADIANS($IY131)))-(($IX131*SIN(RADIANS(180-$IY131)))*SIN(RADIANS($IY131))))+$IU131)&lt;(((Settings!$C$19+$IF$8)/2)*-1),"Gage",""),"")</f>
        <v/>
      </c>
      <c r="IG131" s="788" t="str">
        <f t="shared" si="132"/>
        <v/>
      </c>
      <c r="IH131" s="674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677" t="str" cm="1">
        <f t="array" ref="II131">IFERROR(IF($IH131&lt;1,$IH131+LARGE((IF($M$9:$M$150="",0,$M$9:$M$150)-MOD(IF($M$9:$M$150="",0,$M$9:$M$150),1)),1),$IH131),"")</f>
        <v/>
      </c>
      <c r="IJ131" s="482" t="str">
        <f t="shared" si="131"/>
        <v/>
      </c>
      <c r="IK131" s="482" t="str">
        <f t="shared" si="212"/>
        <v/>
      </c>
      <c r="IL131" s="670" t="str">
        <f t="shared" si="134"/>
        <v/>
      </c>
      <c r="IM131" s="702"/>
      <c r="IN131" s="5" t="str">
        <f t="shared" si="135"/>
        <v/>
      </c>
      <c r="IO131" s="714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670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05" t="str">
        <f t="shared" si="143"/>
        <v/>
      </c>
    </row>
    <row r="132" spans="1:259" ht="15" customHeight="1" x14ac:dyDescent="0.25">
      <c r="A132" s="82"/>
      <c r="B132" s="585" t="str">
        <f t="shared" si="144"/>
        <v/>
      </c>
      <c r="C132" s="582" t="str">
        <f t="shared" si="145"/>
        <v/>
      </c>
      <c r="D132" s="583" t="str">
        <f t="shared" si="146"/>
        <v/>
      </c>
      <c r="E132" s="588" t="str">
        <f t="shared" si="147"/>
        <v/>
      </c>
      <c r="F132" s="582" t="str">
        <f t="shared" si="148"/>
        <v/>
      </c>
      <c r="G132" s="586" t="str">
        <f t="shared" si="149"/>
        <v/>
      </c>
      <c r="H132" s="588" t="str">
        <f t="shared" si="128"/>
        <v/>
      </c>
      <c r="I132" s="490"/>
      <c r="J132" s="491" t="str">
        <v/>
      </c>
      <c r="K132" s="807" t="str">
        <f t="shared" si="133"/>
        <v/>
      </c>
      <c r="M132" s="492" t="str">
        <f t="shared" si="182"/>
        <v/>
      </c>
      <c r="N132" s="581" t="str">
        <f t="shared" si="183"/>
        <v/>
      </c>
      <c r="O132" s="582" t="str">
        <f t="shared" si="184"/>
        <v/>
      </c>
      <c r="P132" s="583" t="str">
        <f t="shared" si="185"/>
        <v/>
      </c>
      <c r="Q132" s="536" t="str">
        <f t="shared" si="186"/>
        <v/>
      </c>
      <c r="R132" s="582" t="str">
        <f t="shared" si="187"/>
        <v/>
      </c>
      <c r="S132" s="584" t="str">
        <f t="shared" si="188"/>
        <v/>
      </c>
      <c r="T132" s="585" t="str">
        <f t="shared" si="189"/>
        <v/>
      </c>
      <c r="U132" s="582" t="str">
        <f t="shared" si="190"/>
        <v/>
      </c>
      <c r="V132" s="586" t="str">
        <f t="shared" si="191"/>
        <v/>
      </c>
      <c r="W132" s="536" t="str">
        <f t="shared" si="192"/>
        <v/>
      </c>
      <c r="X132" s="582" t="str">
        <f t="shared" si="193"/>
        <v/>
      </c>
      <c r="Y132" s="587" t="str">
        <f t="shared" si="150"/>
        <v/>
      </c>
      <c r="Z132" s="581" t="str">
        <f t="shared" si="194"/>
        <v/>
      </c>
      <c r="AA132" s="582" t="str">
        <f t="shared" si="195"/>
        <v/>
      </c>
      <c r="AB132" s="582" t="str">
        <f t="shared" si="196"/>
        <v/>
      </c>
      <c r="AC132" s="586" t="str">
        <f t="shared" si="197"/>
        <v/>
      </c>
      <c r="AD132" s="588" t="str">
        <f t="shared" si="198"/>
        <v/>
      </c>
      <c r="AE132" s="582" t="str">
        <f t="shared" si="199"/>
        <v/>
      </c>
      <c r="AF132" s="583" t="str">
        <f t="shared" si="200"/>
        <v/>
      </c>
      <c r="AG132" s="547" t="str">
        <f t="shared" si="201"/>
        <v/>
      </c>
      <c r="AH132" s="548" t="str">
        <f t="shared" si="202"/>
        <v/>
      </c>
      <c r="AI132" s="536" t="str">
        <f t="shared" si="203"/>
        <v/>
      </c>
      <c r="AJ132" s="537" t="str">
        <f t="shared" si="204"/>
        <v/>
      </c>
      <c r="AK132" s="585" t="str">
        <f t="shared" si="205"/>
        <v/>
      </c>
      <c r="AL132" s="582" t="str">
        <f t="shared" si="206"/>
        <v/>
      </c>
      <c r="AM132" s="584" t="str">
        <f t="shared" si="207"/>
        <v/>
      </c>
      <c r="AN132" s="534" t="str">
        <f t="shared" si="151"/>
        <v/>
      </c>
      <c r="AO132" s="535" t="str">
        <f t="shared" si="181"/>
        <v/>
      </c>
      <c r="AP132" s="536" t="str">
        <f t="shared" si="208"/>
        <v/>
      </c>
      <c r="AQ132" s="537" t="str">
        <f t="shared" si="129"/>
        <v/>
      </c>
      <c r="AS132" s="599" t="str">
        <f t="shared" si="209"/>
        <v/>
      </c>
      <c r="AT132" s="603" t="str">
        <f t="shared" si="130"/>
        <v/>
      </c>
      <c r="AU132" s="515" t="str">
        <f t="shared" si="210"/>
        <v/>
      </c>
      <c r="AV132" s="492" t="str">
        <f t="shared" si="211"/>
        <v/>
      </c>
      <c r="AW132" s="547" t="str">
        <f>IF($M132="","",W132-INDEX(Assy.Model!$W$9:$W$150,MATCH('SN#.Run#'!$M132,Assy.Model!$M$9:$M$150,0)))</f>
        <v/>
      </c>
      <c r="AX132" s="630" t="str">
        <f>IF($M132="","",X132-INDEX(Assy.Model!$X$9:$X$150,MATCH('SN#.Run#'!$M132,Assy.Model!$M$9:$M$150,0)))</f>
        <v/>
      </c>
      <c r="AY132" s="631" t="str">
        <f>IF($M132="","",Y132-INDEX(Assy.Model!$Y$9:$Y$150,MATCH('SN#.Run#'!$M132,Assy.Model!$M$9:$M$150,0)))</f>
        <v/>
      </c>
      <c r="AZ132" s="603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11" t="str">
        <f>IF($M132="","",AN132-INDEX(Assy.Model!$AN$9:$AN$150,MATCH('SN#.Run#'!$M132,Assy.Model!$M$9:$M$150,0)))</f>
        <v/>
      </c>
      <c r="BB132" s="535" t="str">
        <f>IF($M132="","",AO132-INDEX(Assy.Model!$AO$9:$AO$150,MATCH('SN#.Run#'!$M132,Assy.Model!$M$9:$M$150,0)))</f>
        <v/>
      </c>
      <c r="BC132" s="620" t="str">
        <f>IF($M132="","",AP132-INDEX(Assy.Model!$AP$9:$AP$150,MATCH('SN#.Run#'!$M132,Assy.Model!$M$9:$M$150,0)))</f>
        <v/>
      </c>
      <c r="BD132" s="419"/>
      <c r="BE132" s="699"/>
      <c r="BF132" s="417"/>
      <c r="BG132" s="417"/>
      <c r="BH132" s="417"/>
      <c r="IE132" s="790" t="str">
        <f>IFERROR(IF($IU132="","",IF($IU132&lt;(((Settings!$C$19/2)*-1)*$IE$8),"Taper","Nose")),"")</f>
        <v/>
      </c>
      <c r="IF132" s="482" t="str">
        <f>IFERROR(IF((((($IW132*COS(RADIANS(180-$IY132)))*COS(RADIANS($IY132)))-(($IX132*SIN(RADIANS(180-$IY132)))*SIN(RADIANS($IY132))))+$IU132)&lt;(((Settings!$C$19+$IF$8)/2)*-1),"Gage",""),"")</f>
        <v/>
      </c>
      <c r="IG132" s="788" t="str">
        <f t="shared" si="132"/>
        <v/>
      </c>
      <c r="IH132" s="674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677" t="str" cm="1">
        <f t="array" ref="II132">IFERROR(IF($IH132&lt;1,$IH132+LARGE((IF($M$9:$M$150="",0,$M$9:$M$150)-MOD(IF($M$9:$M$150="",0,$M$9:$M$150),1)),1),$IH132),"")</f>
        <v/>
      </c>
      <c r="IJ132" s="482" t="str">
        <f t="shared" si="131"/>
        <v/>
      </c>
      <c r="IK132" s="482" t="str">
        <f t="shared" si="212"/>
        <v/>
      </c>
      <c r="IL132" s="670" t="str">
        <f t="shared" si="134"/>
        <v/>
      </c>
      <c r="IM132" s="702"/>
      <c r="IN132" s="5" t="str">
        <f t="shared" si="135"/>
        <v/>
      </c>
      <c r="IO132" s="714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670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05" t="str">
        <f t="shared" si="143"/>
        <v/>
      </c>
    </row>
    <row r="133" spans="1:259" ht="15" customHeight="1" x14ac:dyDescent="0.25">
      <c r="A133" s="82"/>
      <c r="B133" s="585" t="str">
        <f t="shared" si="144"/>
        <v/>
      </c>
      <c r="C133" s="582" t="str">
        <f t="shared" si="145"/>
        <v/>
      </c>
      <c r="D133" s="583" t="str">
        <f t="shared" si="146"/>
        <v/>
      </c>
      <c r="E133" s="588" t="str">
        <f t="shared" si="147"/>
        <v/>
      </c>
      <c r="F133" s="582" t="str">
        <f t="shared" si="148"/>
        <v/>
      </c>
      <c r="G133" s="586" t="str">
        <f t="shared" si="149"/>
        <v/>
      </c>
      <c r="H133" s="588" t="str">
        <f t="shared" si="128"/>
        <v/>
      </c>
      <c r="I133" s="490"/>
      <c r="J133" s="491" t="str">
        <v/>
      </c>
      <c r="K133" s="807" t="str">
        <f t="shared" si="133"/>
        <v/>
      </c>
      <c r="M133" s="492" t="str">
        <f t="shared" si="182"/>
        <v/>
      </c>
      <c r="N133" s="581" t="str">
        <f t="shared" si="183"/>
        <v/>
      </c>
      <c r="O133" s="582" t="str">
        <f t="shared" si="184"/>
        <v/>
      </c>
      <c r="P133" s="583" t="str">
        <f t="shared" si="185"/>
        <v/>
      </c>
      <c r="Q133" s="536" t="str">
        <f t="shared" si="186"/>
        <v/>
      </c>
      <c r="R133" s="582" t="str">
        <f t="shared" si="187"/>
        <v/>
      </c>
      <c r="S133" s="584" t="str">
        <f t="shared" si="188"/>
        <v/>
      </c>
      <c r="T133" s="585" t="str">
        <f t="shared" si="189"/>
        <v/>
      </c>
      <c r="U133" s="582" t="str">
        <f t="shared" si="190"/>
        <v/>
      </c>
      <c r="V133" s="586" t="str">
        <f t="shared" si="191"/>
        <v/>
      </c>
      <c r="W133" s="536" t="str">
        <f t="shared" si="192"/>
        <v/>
      </c>
      <c r="X133" s="582" t="str">
        <f t="shared" si="193"/>
        <v/>
      </c>
      <c r="Y133" s="587" t="str">
        <f t="shared" si="150"/>
        <v/>
      </c>
      <c r="Z133" s="581" t="str">
        <f t="shared" si="194"/>
        <v/>
      </c>
      <c r="AA133" s="582" t="str">
        <f t="shared" si="195"/>
        <v/>
      </c>
      <c r="AB133" s="582" t="str">
        <f t="shared" si="196"/>
        <v/>
      </c>
      <c r="AC133" s="586" t="str">
        <f t="shared" si="197"/>
        <v/>
      </c>
      <c r="AD133" s="588" t="str">
        <f t="shared" si="198"/>
        <v/>
      </c>
      <c r="AE133" s="582" t="str">
        <f t="shared" si="199"/>
        <v/>
      </c>
      <c r="AF133" s="583" t="str">
        <f t="shared" si="200"/>
        <v/>
      </c>
      <c r="AG133" s="547" t="str">
        <f t="shared" si="201"/>
        <v/>
      </c>
      <c r="AH133" s="548" t="str">
        <f t="shared" si="202"/>
        <v/>
      </c>
      <c r="AI133" s="536" t="str">
        <f t="shared" si="203"/>
        <v/>
      </c>
      <c r="AJ133" s="537" t="str">
        <f t="shared" si="204"/>
        <v/>
      </c>
      <c r="AK133" s="585" t="str">
        <f t="shared" si="205"/>
        <v/>
      </c>
      <c r="AL133" s="582" t="str">
        <f t="shared" si="206"/>
        <v/>
      </c>
      <c r="AM133" s="584" t="str">
        <f t="shared" si="207"/>
        <v/>
      </c>
      <c r="AN133" s="534" t="str">
        <f t="shared" si="151"/>
        <v/>
      </c>
      <c r="AO133" s="535" t="str">
        <f t="shared" si="181"/>
        <v/>
      </c>
      <c r="AP133" s="536" t="str">
        <f t="shared" si="208"/>
        <v/>
      </c>
      <c r="AQ133" s="537" t="str">
        <f t="shared" si="129"/>
        <v/>
      </c>
      <c r="AS133" s="599" t="str">
        <f t="shared" si="209"/>
        <v/>
      </c>
      <c r="AT133" s="603" t="str">
        <f t="shared" si="130"/>
        <v/>
      </c>
      <c r="AU133" s="515" t="str">
        <f t="shared" si="210"/>
        <v/>
      </c>
      <c r="AV133" s="492" t="str">
        <f t="shared" si="211"/>
        <v/>
      </c>
      <c r="AW133" s="547" t="str">
        <f>IF($M133="","",W133-INDEX(Assy.Model!$W$9:$W$150,MATCH('SN#.Run#'!$M133,Assy.Model!$M$9:$M$150,0)))</f>
        <v/>
      </c>
      <c r="AX133" s="630" t="str">
        <f>IF($M133="","",X133-INDEX(Assy.Model!$X$9:$X$150,MATCH('SN#.Run#'!$M133,Assy.Model!$M$9:$M$150,0)))</f>
        <v/>
      </c>
      <c r="AY133" s="631" t="str">
        <f>IF($M133="","",Y133-INDEX(Assy.Model!$Y$9:$Y$150,MATCH('SN#.Run#'!$M133,Assy.Model!$M$9:$M$150,0)))</f>
        <v/>
      </c>
      <c r="AZ133" s="603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11" t="str">
        <f>IF($M133="","",AN133-INDEX(Assy.Model!$AN$9:$AN$150,MATCH('SN#.Run#'!$M133,Assy.Model!$M$9:$M$150,0)))</f>
        <v/>
      </c>
      <c r="BB133" s="535" t="str">
        <f>IF($M133="","",AO133-INDEX(Assy.Model!$AO$9:$AO$150,MATCH('SN#.Run#'!$M133,Assy.Model!$M$9:$M$150,0)))</f>
        <v/>
      </c>
      <c r="BC133" s="620" t="str">
        <f>IF($M133="","",AP133-INDEX(Assy.Model!$AP$9:$AP$150,MATCH('SN#.Run#'!$M133,Assy.Model!$M$9:$M$150,0)))</f>
        <v/>
      </c>
      <c r="BD133" s="419"/>
      <c r="BE133" s="699"/>
      <c r="BF133" s="417"/>
      <c r="BG133" s="417"/>
      <c r="BH133" s="417"/>
      <c r="IE133" s="790" t="str">
        <f>IFERROR(IF($IU133="","",IF($IU133&lt;(((Settings!$C$19/2)*-1)*$IE$8),"Taper","Nose")),"")</f>
        <v/>
      </c>
      <c r="IF133" s="482" t="str">
        <f>IFERROR(IF((((($IW133*COS(RADIANS(180-$IY133)))*COS(RADIANS($IY133)))-(($IX133*SIN(RADIANS(180-$IY133)))*SIN(RADIANS($IY133))))+$IU133)&lt;(((Settings!$C$19+$IF$8)/2)*-1),"Gage",""),"")</f>
        <v/>
      </c>
      <c r="IG133" s="788" t="str">
        <f t="shared" si="132"/>
        <v/>
      </c>
      <c r="IH133" s="674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677" t="str" cm="1">
        <f t="array" ref="II133">IFERROR(IF($IH133&lt;1,$IH133+LARGE((IF($M$9:$M$150="",0,$M$9:$M$150)-MOD(IF($M$9:$M$150="",0,$M$9:$M$150),1)),1),$IH133),"")</f>
        <v/>
      </c>
      <c r="IJ133" s="482" t="str">
        <f t="shared" si="131"/>
        <v/>
      </c>
      <c r="IK133" s="482" t="str">
        <f t="shared" si="212"/>
        <v/>
      </c>
      <c r="IL133" s="670" t="str">
        <f t="shared" si="134"/>
        <v/>
      </c>
      <c r="IM133" s="702"/>
      <c r="IN133" s="5" t="str">
        <f t="shared" si="135"/>
        <v/>
      </c>
      <c r="IO133" s="714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670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05" t="str">
        <f t="shared" si="143"/>
        <v/>
      </c>
    </row>
    <row r="134" spans="1:259" ht="15" customHeight="1" x14ac:dyDescent="0.25">
      <c r="A134" s="82"/>
      <c r="B134" s="585" t="str">
        <f t="shared" si="144"/>
        <v/>
      </c>
      <c r="C134" s="582" t="str">
        <f t="shared" si="145"/>
        <v/>
      </c>
      <c r="D134" s="583" t="str">
        <f t="shared" si="146"/>
        <v/>
      </c>
      <c r="E134" s="588" t="str">
        <f t="shared" si="147"/>
        <v/>
      </c>
      <c r="F134" s="582" t="str">
        <f t="shared" si="148"/>
        <v/>
      </c>
      <c r="G134" s="586" t="str">
        <f t="shared" si="149"/>
        <v/>
      </c>
      <c r="H134" s="588" t="str">
        <f t="shared" si="128"/>
        <v/>
      </c>
      <c r="I134" s="490"/>
      <c r="J134" s="491" t="str">
        <v/>
      </c>
      <c r="K134" s="807" t="str">
        <f t="shared" si="133"/>
        <v/>
      </c>
      <c r="M134" s="492" t="str">
        <f t="shared" si="182"/>
        <v/>
      </c>
      <c r="N134" s="581" t="str">
        <f t="shared" si="183"/>
        <v/>
      </c>
      <c r="O134" s="582" t="str">
        <f t="shared" si="184"/>
        <v/>
      </c>
      <c r="P134" s="583" t="str">
        <f t="shared" si="185"/>
        <v/>
      </c>
      <c r="Q134" s="536" t="str">
        <f t="shared" si="186"/>
        <v/>
      </c>
      <c r="R134" s="582" t="str">
        <f t="shared" si="187"/>
        <v/>
      </c>
      <c r="S134" s="584" t="str">
        <f t="shared" si="188"/>
        <v/>
      </c>
      <c r="T134" s="585" t="str">
        <f t="shared" si="189"/>
        <v/>
      </c>
      <c r="U134" s="582" t="str">
        <f t="shared" si="190"/>
        <v/>
      </c>
      <c r="V134" s="586" t="str">
        <f t="shared" si="191"/>
        <v/>
      </c>
      <c r="W134" s="536" t="str">
        <f t="shared" si="192"/>
        <v/>
      </c>
      <c r="X134" s="582" t="str">
        <f t="shared" si="193"/>
        <v/>
      </c>
      <c r="Y134" s="587" t="str">
        <f t="shared" si="150"/>
        <v/>
      </c>
      <c r="Z134" s="581" t="str">
        <f t="shared" si="194"/>
        <v/>
      </c>
      <c r="AA134" s="582" t="str">
        <f t="shared" si="195"/>
        <v/>
      </c>
      <c r="AB134" s="582" t="str">
        <f t="shared" si="196"/>
        <v/>
      </c>
      <c r="AC134" s="586" t="str">
        <f t="shared" si="197"/>
        <v/>
      </c>
      <c r="AD134" s="588" t="str">
        <f t="shared" si="198"/>
        <v/>
      </c>
      <c r="AE134" s="582" t="str">
        <f t="shared" si="199"/>
        <v/>
      </c>
      <c r="AF134" s="583" t="str">
        <f t="shared" si="200"/>
        <v/>
      </c>
      <c r="AG134" s="547" t="str">
        <f t="shared" si="201"/>
        <v/>
      </c>
      <c r="AH134" s="548" t="str">
        <f t="shared" si="202"/>
        <v/>
      </c>
      <c r="AI134" s="536" t="str">
        <f t="shared" si="203"/>
        <v/>
      </c>
      <c r="AJ134" s="537" t="str">
        <f t="shared" si="204"/>
        <v/>
      </c>
      <c r="AK134" s="585" t="str">
        <f t="shared" si="205"/>
        <v/>
      </c>
      <c r="AL134" s="582" t="str">
        <f t="shared" si="206"/>
        <v/>
      </c>
      <c r="AM134" s="584" t="str">
        <f t="shared" si="207"/>
        <v/>
      </c>
      <c r="AN134" s="534" t="str">
        <f t="shared" si="151"/>
        <v/>
      </c>
      <c r="AO134" s="535" t="str">
        <f t="shared" si="181"/>
        <v/>
      </c>
      <c r="AP134" s="536" t="str">
        <f t="shared" si="208"/>
        <v/>
      </c>
      <c r="AQ134" s="537" t="str">
        <f t="shared" si="129"/>
        <v/>
      </c>
      <c r="AS134" s="599" t="str">
        <f t="shared" si="209"/>
        <v/>
      </c>
      <c r="AT134" s="603" t="str">
        <f t="shared" si="130"/>
        <v/>
      </c>
      <c r="AU134" s="515" t="str">
        <f t="shared" si="210"/>
        <v/>
      </c>
      <c r="AV134" s="492" t="str">
        <f t="shared" si="211"/>
        <v/>
      </c>
      <c r="AW134" s="547" t="str">
        <f>IF($M134="","",W134-INDEX(Assy.Model!$W$9:$W$150,MATCH('SN#.Run#'!$M134,Assy.Model!$M$9:$M$150,0)))</f>
        <v/>
      </c>
      <c r="AX134" s="630" t="str">
        <f>IF($M134="","",X134-INDEX(Assy.Model!$X$9:$X$150,MATCH('SN#.Run#'!$M134,Assy.Model!$M$9:$M$150,0)))</f>
        <v/>
      </c>
      <c r="AY134" s="631" t="str">
        <f>IF($M134="","",Y134-INDEX(Assy.Model!$Y$9:$Y$150,MATCH('SN#.Run#'!$M134,Assy.Model!$M$9:$M$150,0)))</f>
        <v/>
      </c>
      <c r="AZ134" s="603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11" t="str">
        <f>IF($M134="","",AN134-INDEX(Assy.Model!$AN$9:$AN$150,MATCH('SN#.Run#'!$M134,Assy.Model!$M$9:$M$150,0)))</f>
        <v/>
      </c>
      <c r="BB134" s="535" t="str">
        <f>IF($M134="","",AO134-INDEX(Assy.Model!$AO$9:$AO$150,MATCH('SN#.Run#'!$M134,Assy.Model!$M$9:$M$150,0)))</f>
        <v/>
      </c>
      <c r="BC134" s="620" t="str">
        <f>IF($M134="","",AP134-INDEX(Assy.Model!$AP$9:$AP$150,MATCH('SN#.Run#'!$M134,Assy.Model!$M$9:$M$150,0)))</f>
        <v/>
      </c>
      <c r="BD134" s="419"/>
      <c r="BE134" s="699"/>
      <c r="BF134" s="417"/>
      <c r="BG134" s="417"/>
      <c r="BH134" s="417"/>
      <c r="IE134" s="790" t="str">
        <f>IFERROR(IF($IU134="","",IF($IU134&lt;(((Settings!$C$19/2)*-1)*$IE$8),"Taper","Nose")),"")</f>
        <v/>
      </c>
      <c r="IF134" s="482" t="str">
        <f>IFERROR(IF((((($IW134*COS(RADIANS(180-$IY134)))*COS(RADIANS($IY134)))-(($IX134*SIN(RADIANS(180-$IY134)))*SIN(RADIANS($IY134))))+$IU134)&lt;(((Settings!$C$19+$IF$8)/2)*-1),"Gage",""),"")</f>
        <v/>
      </c>
      <c r="IG134" s="788" t="str">
        <f t="shared" si="132"/>
        <v/>
      </c>
      <c r="IH134" s="674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677" t="str" cm="1">
        <f t="array" ref="II134">IFERROR(IF($IH134&lt;1,$IH134+LARGE((IF($M$9:$M$150="",0,$M$9:$M$150)-MOD(IF($M$9:$M$150="",0,$M$9:$M$150),1)),1),$IH134),"")</f>
        <v/>
      </c>
      <c r="IJ134" s="482" t="str">
        <f t="shared" si="131"/>
        <v/>
      </c>
      <c r="IK134" s="482" t="str">
        <f t="shared" si="212"/>
        <v/>
      </c>
      <c r="IL134" s="670" t="str">
        <f t="shared" si="134"/>
        <v/>
      </c>
      <c r="IM134" s="702"/>
      <c r="IN134" s="5" t="str">
        <f t="shared" si="135"/>
        <v/>
      </c>
      <c r="IO134" s="714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670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05" t="str">
        <f t="shared" si="143"/>
        <v/>
      </c>
    </row>
    <row r="135" spans="1:259" ht="15" customHeight="1" x14ac:dyDescent="0.25">
      <c r="A135" s="82"/>
      <c r="B135" s="585" t="str">
        <f t="shared" si="144"/>
        <v/>
      </c>
      <c r="C135" s="582" t="str">
        <f t="shared" si="145"/>
        <v/>
      </c>
      <c r="D135" s="583" t="str">
        <f t="shared" si="146"/>
        <v/>
      </c>
      <c r="E135" s="588" t="str">
        <f t="shared" si="147"/>
        <v/>
      </c>
      <c r="F135" s="582" t="str">
        <f t="shared" si="148"/>
        <v/>
      </c>
      <c r="G135" s="586" t="str">
        <f t="shared" si="149"/>
        <v/>
      </c>
      <c r="H135" s="588" t="str">
        <f t="shared" si="128"/>
        <v/>
      </c>
      <c r="I135" s="490"/>
      <c r="J135" s="491" t="str">
        <v/>
      </c>
      <c r="K135" s="807" t="str">
        <f t="shared" si="133"/>
        <v/>
      </c>
      <c r="M135" s="492" t="str">
        <f t="shared" si="182"/>
        <v/>
      </c>
      <c r="N135" s="581" t="str">
        <f t="shared" si="183"/>
        <v/>
      </c>
      <c r="O135" s="582" t="str">
        <f t="shared" si="184"/>
        <v/>
      </c>
      <c r="P135" s="583" t="str">
        <f t="shared" si="185"/>
        <v/>
      </c>
      <c r="Q135" s="536" t="str">
        <f t="shared" si="186"/>
        <v/>
      </c>
      <c r="R135" s="582" t="str">
        <f t="shared" si="187"/>
        <v/>
      </c>
      <c r="S135" s="584" t="str">
        <f t="shared" si="188"/>
        <v/>
      </c>
      <c r="T135" s="585" t="str">
        <f t="shared" si="189"/>
        <v/>
      </c>
      <c r="U135" s="582" t="str">
        <f t="shared" si="190"/>
        <v/>
      </c>
      <c r="V135" s="586" t="str">
        <f t="shared" si="191"/>
        <v/>
      </c>
      <c r="W135" s="536" t="str">
        <f t="shared" si="192"/>
        <v/>
      </c>
      <c r="X135" s="582" t="str">
        <f t="shared" si="193"/>
        <v/>
      </c>
      <c r="Y135" s="587" t="str">
        <f t="shared" si="150"/>
        <v/>
      </c>
      <c r="Z135" s="581" t="str">
        <f t="shared" si="194"/>
        <v/>
      </c>
      <c r="AA135" s="582" t="str">
        <f t="shared" si="195"/>
        <v/>
      </c>
      <c r="AB135" s="582" t="str">
        <f t="shared" si="196"/>
        <v/>
      </c>
      <c r="AC135" s="586" t="str">
        <f t="shared" si="197"/>
        <v/>
      </c>
      <c r="AD135" s="588" t="str">
        <f t="shared" si="198"/>
        <v/>
      </c>
      <c r="AE135" s="582" t="str">
        <f t="shared" si="199"/>
        <v/>
      </c>
      <c r="AF135" s="583" t="str">
        <f t="shared" si="200"/>
        <v/>
      </c>
      <c r="AG135" s="547" t="str">
        <f t="shared" si="201"/>
        <v/>
      </c>
      <c r="AH135" s="548" t="str">
        <f t="shared" si="202"/>
        <v/>
      </c>
      <c r="AI135" s="536" t="str">
        <f t="shared" si="203"/>
        <v/>
      </c>
      <c r="AJ135" s="537" t="str">
        <f t="shared" si="204"/>
        <v/>
      </c>
      <c r="AK135" s="585" t="str">
        <f t="shared" si="205"/>
        <v/>
      </c>
      <c r="AL135" s="582" t="str">
        <f t="shared" si="206"/>
        <v/>
      </c>
      <c r="AM135" s="584" t="str">
        <f t="shared" si="207"/>
        <v/>
      </c>
      <c r="AN135" s="534" t="str">
        <f t="shared" si="151"/>
        <v/>
      </c>
      <c r="AO135" s="535" t="str">
        <f t="shared" si="181"/>
        <v/>
      </c>
      <c r="AP135" s="536" t="str">
        <f t="shared" si="208"/>
        <v/>
      </c>
      <c r="AQ135" s="537" t="str">
        <f t="shared" si="129"/>
        <v/>
      </c>
      <c r="AS135" s="599" t="str">
        <f t="shared" si="209"/>
        <v/>
      </c>
      <c r="AT135" s="603" t="str">
        <f t="shared" si="130"/>
        <v/>
      </c>
      <c r="AU135" s="515" t="str">
        <f t="shared" si="210"/>
        <v/>
      </c>
      <c r="AV135" s="492" t="str">
        <f t="shared" si="211"/>
        <v/>
      </c>
      <c r="AW135" s="547" t="str">
        <f>IF($M135="","",W135-INDEX(Assy.Model!$W$9:$W$150,MATCH('SN#.Run#'!$M135,Assy.Model!$M$9:$M$150,0)))</f>
        <v/>
      </c>
      <c r="AX135" s="630" t="str">
        <f>IF($M135="","",X135-INDEX(Assy.Model!$X$9:$X$150,MATCH('SN#.Run#'!$M135,Assy.Model!$M$9:$M$150,0)))</f>
        <v/>
      </c>
      <c r="AY135" s="631" t="str">
        <f>IF($M135="","",Y135-INDEX(Assy.Model!$Y$9:$Y$150,MATCH('SN#.Run#'!$M135,Assy.Model!$M$9:$M$150,0)))</f>
        <v/>
      </c>
      <c r="AZ135" s="603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11" t="str">
        <f>IF($M135="","",AN135-INDEX(Assy.Model!$AN$9:$AN$150,MATCH('SN#.Run#'!$M135,Assy.Model!$M$9:$M$150,0)))</f>
        <v/>
      </c>
      <c r="BB135" s="535" t="str">
        <f>IF($M135="","",AO135-INDEX(Assy.Model!$AO$9:$AO$150,MATCH('SN#.Run#'!$M135,Assy.Model!$M$9:$M$150,0)))</f>
        <v/>
      </c>
      <c r="BC135" s="620" t="str">
        <f>IF($M135="","",AP135-INDEX(Assy.Model!$AP$9:$AP$150,MATCH('SN#.Run#'!$M135,Assy.Model!$M$9:$M$150,0)))</f>
        <v/>
      </c>
      <c r="BD135" s="419"/>
      <c r="BE135" s="699"/>
      <c r="BF135" s="417"/>
      <c r="BG135" s="417"/>
      <c r="BH135" s="417"/>
      <c r="IE135" s="790" t="str">
        <f>IFERROR(IF($IU135="","",IF($IU135&lt;(((Settings!$C$19/2)*-1)*$IE$8),"Taper","Nose")),"")</f>
        <v/>
      </c>
      <c r="IF135" s="482" t="str">
        <f>IFERROR(IF((((($IW135*COS(RADIANS(180-$IY135)))*COS(RADIANS($IY135)))-(($IX135*SIN(RADIANS(180-$IY135)))*SIN(RADIANS($IY135))))+$IU135)&lt;(((Settings!$C$19+$IF$8)/2)*-1),"Gage",""),"")</f>
        <v/>
      </c>
      <c r="IG135" s="788" t="str">
        <f t="shared" si="132"/>
        <v/>
      </c>
      <c r="IH135" s="674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677" t="str" cm="1">
        <f t="array" ref="II135">IFERROR(IF($IH135&lt;1,$IH135+LARGE((IF($M$9:$M$150="",0,$M$9:$M$150)-MOD(IF($M$9:$M$150="",0,$M$9:$M$150),1)),1),$IH135),"")</f>
        <v/>
      </c>
      <c r="IJ135" s="482" t="str">
        <f t="shared" si="131"/>
        <v/>
      </c>
      <c r="IK135" s="482" t="str">
        <f t="shared" si="212"/>
        <v/>
      </c>
      <c r="IL135" s="670" t="str">
        <f t="shared" si="134"/>
        <v/>
      </c>
      <c r="IM135" s="702"/>
      <c r="IN135" s="5" t="str">
        <f t="shared" si="135"/>
        <v/>
      </c>
      <c r="IO135" s="714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670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05" t="str">
        <f t="shared" si="143"/>
        <v/>
      </c>
    </row>
    <row r="136" spans="1:259" ht="15" customHeight="1" x14ac:dyDescent="0.25">
      <c r="A136" s="82"/>
      <c r="B136" s="585" t="str">
        <f t="shared" si="144"/>
        <v/>
      </c>
      <c r="C136" s="582" t="str">
        <f t="shared" si="145"/>
        <v/>
      </c>
      <c r="D136" s="583" t="str">
        <f t="shared" si="146"/>
        <v/>
      </c>
      <c r="E136" s="588" t="str">
        <f t="shared" si="147"/>
        <v/>
      </c>
      <c r="F136" s="582" t="str">
        <f t="shared" si="148"/>
        <v/>
      </c>
      <c r="G136" s="586" t="str">
        <f t="shared" si="149"/>
        <v/>
      </c>
      <c r="H136" s="588" t="str">
        <f t="shared" si="128"/>
        <v/>
      </c>
      <c r="I136" s="490"/>
      <c r="J136" s="491" t="str">
        <v/>
      </c>
      <c r="K136" s="807" t="str">
        <f t="shared" si="133"/>
        <v/>
      </c>
      <c r="M136" s="492" t="str">
        <f t="shared" si="182"/>
        <v/>
      </c>
      <c r="N136" s="581" t="str">
        <f t="shared" si="183"/>
        <v/>
      </c>
      <c r="O136" s="582" t="str">
        <f t="shared" si="184"/>
        <v/>
      </c>
      <c r="P136" s="583" t="str">
        <f t="shared" si="185"/>
        <v/>
      </c>
      <c r="Q136" s="536" t="str">
        <f t="shared" si="186"/>
        <v/>
      </c>
      <c r="R136" s="582" t="str">
        <f t="shared" si="187"/>
        <v/>
      </c>
      <c r="S136" s="584" t="str">
        <f t="shared" si="188"/>
        <v/>
      </c>
      <c r="T136" s="585" t="str">
        <f t="shared" si="189"/>
        <v/>
      </c>
      <c r="U136" s="582" t="str">
        <f t="shared" si="190"/>
        <v/>
      </c>
      <c r="V136" s="586" t="str">
        <f t="shared" si="191"/>
        <v/>
      </c>
      <c r="W136" s="536" t="str">
        <f t="shared" si="192"/>
        <v/>
      </c>
      <c r="X136" s="582" t="str">
        <f t="shared" si="193"/>
        <v/>
      </c>
      <c r="Y136" s="587" t="str">
        <f t="shared" si="150"/>
        <v/>
      </c>
      <c r="Z136" s="581" t="str">
        <f t="shared" si="194"/>
        <v/>
      </c>
      <c r="AA136" s="582" t="str">
        <f t="shared" si="195"/>
        <v/>
      </c>
      <c r="AB136" s="582" t="str">
        <f t="shared" si="196"/>
        <v/>
      </c>
      <c r="AC136" s="586" t="str">
        <f t="shared" si="197"/>
        <v/>
      </c>
      <c r="AD136" s="588" t="str">
        <f t="shared" si="198"/>
        <v/>
      </c>
      <c r="AE136" s="582" t="str">
        <f t="shared" si="199"/>
        <v/>
      </c>
      <c r="AF136" s="583" t="str">
        <f t="shared" si="200"/>
        <v/>
      </c>
      <c r="AG136" s="547" t="str">
        <f t="shared" si="201"/>
        <v/>
      </c>
      <c r="AH136" s="548" t="str">
        <f t="shared" si="202"/>
        <v/>
      </c>
      <c r="AI136" s="536" t="str">
        <f t="shared" si="203"/>
        <v/>
      </c>
      <c r="AJ136" s="537" t="str">
        <f t="shared" si="204"/>
        <v/>
      </c>
      <c r="AK136" s="585" t="str">
        <f t="shared" si="205"/>
        <v/>
      </c>
      <c r="AL136" s="582" t="str">
        <f t="shared" si="206"/>
        <v/>
      </c>
      <c r="AM136" s="584" t="str">
        <f t="shared" si="207"/>
        <v/>
      </c>
      <c r="AN136" s="534" t="str">
        <f t="shared" si="151"/>
        <v/>
      </c>
      <c r="AO136" s="535" t="str">
        <f t="shared" si="181"/>
        <v/>
      </c>
      <c r="AP136" s="536" t="str">
        <f t="shared" si="208"/>
        <v/>
      </c>
      <c r="AQ136" s="537" t="str">
        <f t="shared" si="129"/>
        <v/>
      </c>
      <c r="AS136" s="599" t="str">
        <f t="shared" si="209"/>
        <v/>
      </c>
      <c r="AT136" s="603" t="str">
        <f t="shared" si="130"/>
        <v/>
      </c>
      <c r="AU136" s="515" t="str">
        <f t="shared" si="210"/>
        <v/>
      </c>
      <c r="AV136" s="492" t="str">
        <f t="shared" si="211"/>
        <v/>
      </c>
      <c r="AW136" s="547" t="str">
        <f>IF($M136="","",W136-INDEX(Assy.Model!$W$9:$W$150,MATCH('SN#.Run#'!$M136,Assy.Model!$M$9:$M$150,0)))</f>
        <v/>
      </c>
      <c r="AX136" s="630" t="str">
        <f>IF($M136="","",X136-INDEX(Assy.Model!$X$9:$X$150,MATCH('SN#.Run#'!$M136,Assy.Model!$M$9:$M$150,0)))</f>
        <v/>
      </c>
      <c r="AY136" s="631" t="str">
        <f>IF($M136="","",Y136-INDEX(Assy.Model!$Y$9:$Y$150,MATCH('SN#.Run#'!$M136,Assy.Model!$M$9:$M$150,0)))</f>
        <v/>
      </c>
      <c r="AZ136" s="603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11" t="str">
        <f>IF($M136="","",AN136-INDEX(Assy.Model!$AN$9:$AN$150,MATCH('SN#.Run#'!$M136,Assy.Model!$M$9:$M$150,0)))</f>
        <v/>
      </c>
      <c r="BB136" s="535" t="str">
        <f>IF($M136="","",AO136-INDEX(Assy.Model!$AO$9:$AO$150,MATCH('SN#.Run#'!$M136,Assy.Model!$M$9:$M$150,0)))</f>
        <v/>
      </c>
      <c r="BC136" s="620" t="str">
        <f>IF($M136="","",AP136-INDEX(Assy.Model!$AP$9:$AP$150,MATCH('SN#.Run#'!$M136,Assy.Model!$M$9:$M$150,0)))</f>
        <v/>
      </c>
      <c r="BD136" s="419"/>
      <c r="BE136" s="699"/>
      <c r="BF136" s="417"/>
      <c r="BG136" s="417"/>
      <c r="BH136" s="417"/>
      <c r="IE136" s="790" t="str">
        <f>IFERROR(IF($IU136="","",IF($IU136&lt;(((Settings!$C$19/2)*-1)*$IE$8),"Taper","Nose")),"")</f>
        <v/>
      </c>
      <c r="IF136" s="482" t="str">
        <f>IFERROR(IF((((($IW136*COS(RADIANS(180-$IY136)))*COS(RADIANS($IY136)))-(($IX136*SIN(RADIANS(180-$IY136)))*SIN(RADIANS($IY136))))+$IU136)&lt;(((Settings!$C$19+$IF$8)/2)*-1),"Gage",""),"")</f>
        <v/>
      </c>
      <c r="IG136" s="788" t="str">
        <f t="shared" si="132"/>
        <v/>
      </c>
      <c r="IH136" s="674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677" t="str" cm="1">
        <f t="array" ref="II136">IFERROR(IF($IH136&lt;1,$IH136+LARGE((IF($M$9:$M$150="",0,$M$9:$M$150)-MOD(IF($M$9:$M$150="",0,$M$9:$M$150),1)),1),$IH136),"")</f>
        <v/>
      </c>
      <c r="IJ136" s="482" t="str">
        <f t="shared" si="131"/>
        <v/>
      </c>
      <c r="IK136" s="482" t="str">
        <f t="shared" si="212"/>
        <v/>
      </c>
      <c r="IL136" s="670" t="str">
        <f t="shared" si="134"/>
        <v/>
      </c>
      <c r="IM136" s="702"/>
      <c r="IN136" s="5" t="str">
        <f t="shared" si="135"/>
        <v/>
      </c>
      <c r="IO136" s="714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670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05" t="str">
        <f t="shared" si="143"/>
        <v/>
      </c>
    </row>
    <row r="137" spans="1:259" ht="15" customHeight="1" x14ac:dyDescent="0.25">
      <c r="A137" s="82"/>
      <c r="B137" s="585" t="str">
        <f t="shared" ref="B137:B150" si="213">INDEX(O$164:O$305,MATCH($M137,$M$164:$M$305,0))</f>
        <v/>
      </c>
      <c r="C137" s="582" t="str">
        <f t="shared" ref="C137:C150" si="214">INDEX(P$164:P$305,MATCH($M137,$M$164:$M$305,0))</f>
        <v/>
      </c>
      <c r="D137" s="583" t="str">
        <f t="shared" ref="D137:D150" si="215">INDEX(Q$164:Q$305,MATCH($M137,$M$164:$M$305,0))</f>
        <v/>
      </c>
      <c r="E137" s="588" t="str">
        <f t="shared" ref="E137:E150" si="216">INDEX(R$164:R$305,MATCH($M137,$M$164:$M$305,0))</f>
        <v/>
      </c>
      <c r="F137" s="582" t="str">
        <f t="shared" ref="F137:F150" si="217">INDEX(S$164:S$305,MATCH($M137,$M$164:$M$305,0))</f>
        <v/>
      </c>
      <c r="G137" s="586" t="str">
        <f t="shared" ref="G137:G150" si="218">INDEX(T$164:T$305,MATCH($M137,$M$164:$M$305,0))</f>
        <v/>
      </c>
      <c r="H137" s="588" t="str">
        <f t="shared" si="128"/>
        <v/>
      </c>
      <c r="I137" s="490"/>
      <c r="J137" s="491" t="str">
        <v/>
      </c>
      <c r="K137" s="807" t="str">
        <f t="shared" si="133"/>
        <v/>
      </c>
      <c r="M137" s="492" t="str">
        <f t="shared" si="182"/>
        <v/>
      </c>
      <c r="N137" s="581" t="str">
        <f t="shared" si="183"/>
        <v/>
      </c>
      <c r="O137" s="582" t="str">
        <f t="shared" si="184"/>
        <v/>
      </c>
      <c r="P137" s="583" t="str">
        <f t="shared" si="185"/>
        <v/>
      </c>
      <c r="Q137" s="536" t="str">
        <f t="shared" si="186"/>
        <v/>
      </c>
      <c r="R137" s="582" t="str">
        <f t="shared" si="187"/>
        <v/>
      </c>
      <c r="S137" s="584" t="str">
        <f t="shared" si="188"/>
        <v/>
      </c>
      <c r="T137" s="585" t="str">
        <f t="shared" si="189"/>
        <v/>
      </c>
      <c r="U137" s="582" t="str">
        <f t="shared" si="190"/>
        <v/>
      </c>
      <c r="V137" s="586" t="str">
        <f t="shared" si="191"/>
        <v/>
      </c>
      <c r="W137" s="536" t="str">
        <f t="shared" si="192"/>
        <v/>
      </c>
      <c r="X137" s="582" t="str">
        <f t="shared" si="193"/>
        <v/>
      </c>
      <c r="Y137" s="587" t="str">
        <f t="shared" ref="Y137:Y150" si="219">IF(M137="","",(S137-$S$8)+$X$1)</f>
        <v/>
      </c>
      <c r="Z137" s="581" t="str">
        <f t="shared" si="194"/>
        <v/>
      </c>
      <c r="AA137" s="582" t="str">
        <f t="shared" si="195"/>
        <v/>
      </c>
      <c r="AB137" s="582" t="str">
        <f t="shared" si="196"/>
        <v/>
      </c>
      <c r="AC137" s="586" t="str">
        <f t="shared" si="197"/>
        <v/>
      </c>
      <c r="AD137" s="588" t="str">
        <f t="shared" si="198"/>
        <v/>
      </c>
      <c r="AE137" s="582" t="str">
        <f t="shared" si="199"/>
        <v/>
      </c>
      <c r="AF137" s="583" t="str">
        <f t="shared" si="200"/>
        <v/>
      </c>
      <c r="AG137" s="547" t="str">
        <f t="shared" si="201"/>
        <v/>
      </c>
      <c r="AH137" s="548" t="str">
        <f t="shared" si="202"/>
        <v/>
      </c>
      <c r="AI137" s="536" t="str">
        <f t="shared" si="203"/>
        <v/>
      </c>
      <c r="AJ137" s="537" t="str">
        <f t="shared" si="204"/>
        <v/>
      </c>
      <c r="AK137" s="585" t="str">
        <f t="shared" si="205"/>
        <v/>
      </c>
      <c r="AL137" s="582" t="str">
        <f t="shared" si="206"/>
        <v/>
      </c>
      <c r="AM137" s="584" t="str">
        <f t="shared" si="207"/>
        <v/>
      </c>
      <c r="AN137" s="534" t="str">
        <f t="shared" si="151"/>
        <v/>
      </c>
      <c r="AO137" s="535" t="str">
        <f t="shared" si="181"/>
        <v/>
      </c>
      <c r="AP137" s="536" t="str">
        <f t="shared" si="208"/>
        <v/>
      </c>
      <c r="AQ137" s="537" t="str">
        <f t="shared" si="129"/>
        <v/>
      </c>
      <c r="AS137" s="599" t="str">
        <f t="shared" si="209"/>
        <v/>
      </c>
      <c r="AT137" s="603" t="str">
        <f t="shared" si="130"/>
        <v/>
      </c>
      <c r="AU137" s="515" t="str">
        <f t="shared" si="210"/>
        <v/>
      </c>
      <c r="AV137" s="492" t="str">
        <f t="shared" si="211"/>
        <v/>
      </c>
      <c r="AW137" s="547" t="str">
        <f>IF($M137="","",W137-INDEX(Assy.Model!$W$9:$W$150,MATCH('SN#.Run#'!$M137,Assy.Model!$M$9:$M$150,0)))</f>
        <v/>
      </c>
      <c r="AX137" s="630" t="str">
        <f>IF($M137="","",X137-INDEX(Assy.Model!$X$9:$X$150,MATCH('SN#.Run#'!$M137,Assy.Model!$M$9:$M$150,0)))</f>
        <v/>
      </c>
      <c r="AY137" s="631" t="str">
        <f>IF($M137="","",Y137-INDEX(Assy.Model!$Y$9:$Y$150,MATCH('SN#.Run#'!$M137,Assy.Model!$M$9:$M$150,0)))</f>
        <v/>
      </c>
      <c r="AZ137" s="603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11" t="str">
        <f>IF($M137="","",AN137-INDEX(Assy.Model!$AN$9:$AN$150,MATCH('SN#.Run#'!$M137,Assy.Model!$M$9:$M$150,0)))</f>
        <v/>
      </c>
      <c r="BB137" s="535" t="str">
        <f>IF($M137="","",AO137-INDEX(Assy.Model!$AO$9:$AO$150,MATCH('SN#.Run#'!$M137,Assy.Model!$M$9:$M$150,0)))</f>
        <v/>
      </c>
      <c r="BC137" s="620" t="str">
        <f>IF($M137="","",AP137-INDEX(Assy.Model!$AP$9:$AP$150,MATCH('SN#.Run#'!$M137,Assy.Model!$M$9:$M$150,0)))</f>
        <v/>
      </c>
      <c r="BD137" s="419"/>
      <c r="BE137" s="699"/>
      <c r="BF137" s="417"/>
      <c r="BG137" s="417"/>
      <c r="BH137" s="417"/>
      <c r="IE137" s="790" t="str">
        <f>IFERROR(IF($IU137="","",IF($IU137&lt;(((Settings!$C$19/2)*-1)*$IE$8),"Taper","Nose")),"")</f>
        <v/>
      </c>
      <c r="IF137" s="482" t="str">
        <f>IFERROR(IF((((($IW137*COS(RADIANS(180-$IY137)))*COS(RADIANS($IY137)))-(($IX137*SIN(RADIANS(180-$IY137)))*SIN(RADIANS($IY137))))+$IU137)&lt;(((Settings!$C$19+$IF$8)/2)*-1),"Gage",""),"")</f>
        <v/>
      </c>
      <c r="IG137" s="788" t="str">
        <f t="shared" si="132"/>
        <v/>
      </c>
      <c r="IH137" s="674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677" t="str" cm="1">
        <f t="array" ref="II137">IFERROR(IF($IH137&lt;1,$IH137+LARGE((IF($M$9:$M$150="",0,$M$9:$M$150)-MOD(IF($M$9:$M$150="",0,$M$9:$M$150),1)),1),$IH137),"")</f>
        <v/>
      </c>
      <c r="IJ137" s="482" t="str">
        <f t="shared" si="131"/>
        <v/>
      </c>
      <c r="IK137" s="482" t="str">
        <f t="shared" si="212"/>
        <v/>
      </c>
      <c r="IL137" s="670" t="str">
        <f t="shared" si="134"/>
        <v/>
      </c>
      <c r="IM137" s="702"/>
      <c r="IN137" s="5" t="str">
        <f t="shared" si="135"/>
        <v/>
      </c>
      <c r="IO137" s="714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670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05" t="str">
        <f t="shared" si="143"/>
        <v/>
      </c>
    </row>
    <row r="138" spans="1:259" ht="15" customHeight="1" x14ac:dyDescent="0.25">
      <c r="A138" s="82"/>
      <c r="B138" s="585" t="str">
        <f t="shared" si="213"/>
        <v/>
      </c>
      <c r="C138" s="582" t="str">
        <f t="shared" si="214"/>
        <v/>
      </c>
      <c r="D138" s="583" t="str">
        <f t="shared" si="215"/>
        <v/>
      </c>
      <c r="E138" s="588" t="str">
        <f t="shared" si="216"/>
        <v/>
      </c>
      <c r="F138" s="582" t="str">
        <f t="shared" si="217"/>
        <v/>
      </c>
      <c r="G138" s="586" t="str">
        <f t="shared" si="218"/>
        <v/>
      </c>
      <c r="H138" s="588" t="str">
        <f t="shared" ref="H138:H150" si="222">IF(INDEX(H$164:H$305,MATCH($M138,$M$164:$M$305,0))=0,"",INDEX(H$164:H$305,MATCH($M138,$M$164:$M$305,0)))</f>
        <v/>
      </c>
      <c r="I138" s="490"/>
      <c r="J138" s="491" t="str">
        <v/>
      </c>
      <c r="K138" s="807" t="str">
        <f t="shared" si="133"/>
        <v/>
      </c>
      <c r="M138" s="492" t="str">
        <f t="shared" si="182"/>
        <v/>
      </c>
      <c r="N138" s="581" t="str">
        <f t="shared" si="183"/>
        <v/>
      </c>
      <c r="O138" s="582" t="str">
        <f t="shared" si="184"/>
        <v/>
      </c>
      <c r="P138" s="583" t="str">
        <f t="shared" si="185"/>
        <v/>
      </c>
      <c r="Q138" s="536" t="str">
        <f t="shared" si="186"/>
        <v/>
      </c>
      <c r="R138" s="582" t="str">
        <f t="shared" si="187"/>
        <v/>
      </c>
      <c r="S138" s="584" t="str">
        <f t="shared" si="188"/>
        <v/>
      </c>
      <c r="T138" s="585" t="str">
        <f t="shared" si="189"/>
        <v/>
      </c>
      <c r="U138" s="582" t="str">
        <f t="shared" si="190"/>
        <v/>
      </c>
      <c r="V138" s="586" t="str">
        <f t="shared" si="191"/>
        <v/>
      </c>
      <c r="W138" s="536" t="str">
        <f t="shared" si="192"/>
        <v/>
      </c>
      <c r="X138" s="582" t="str">
        <f t="shared" si="193"/>
        <v/>
      </c>
      <c r="Y138" s="587" t="str">
        <f t="shared" si="219"/>
        <v/>
      </c>
      <c r="Z138" s="581" t="str">
        <f t="shared" si="194"/>
        <v/>
      </c>
      <c r="AA138" s="582" t="str">
        <f t="shared" si="195"/>
        <v/>
      </c>
      <c r="AB138" s="582" t="str">
        <f t="shared" si="196"/>
        <v/>
      </c>
      <c r="AC138" s="586" t="str">
        <f t="shared" si="197"/>
        <v/>
      </c>
      <c r="AD138" s="588" t="str">
        <f t="shared" si="198"/>
        <v/>
      </c>
      <c r="AE138" s="582" t="str">
        <f t="shared" si="199"/>
        <v/>
      </c>
      <c r="AF138" s="583" t="str">
        <f t="shared" si="200"/>
        <v/>
      </c>
      <c r="AG138" s="547" t="str">
        <f t="shared" si="201"/>
        <v/>
      </c>
      <c r="AH138" s="548" t="str">
        <f t="shared" si="202"/>
        <v/>
      </c>
      <c r="AI138" s="536" t="str">
        <f t="shared" si="203"/>
        <v/>
      </c>
      <c r="AJ138" s="537" t="str">
        <f t="shared" si="204"/>
        <v/>
      </c>
      <c r="AK138" s="585" t="str">
        <f t="shared" si="205"/>
        <v/>
      </c>
      <c r="AL138" s="582" t="str">
        <f t="shared" si="206"/>
        <v/>
      </c>
      <c r="AM138" s="584" t="str">
        <f t="shared" si="207"/>
        <v/>
      </c>
      <c r="AN138" s="534" t="str">
        <f t="shared" si="151"/>
        <v/>
      </c>
      <c r="AO138" s="535" t="str">
        <f t="shared" si="181"/>
        <v/>
      </c>
      <c r="AP138" s="536" t="str">
        <f t="shared" si="208"/>
        <v/>
      </c>
      <c r="AQ138" s="537" t="str">
        <f t="shared" ref="AQ138:AQ150" si="223">IF(M138="","",DEGREES(ATAN(($AS$5*SIN(RADIANS(90)))/(($X138*2*PI())-($AS$5*COS(RADIANS(90)))))))</f>
        <v/>
      </c>
      <c r="AS138" s="599" t="str">
        <f t="shared" si="209"/>
        <v/>
      </c>
      <c r="AT138" s="603" t="str">
        <f t="shared" ref="AT138:AT150" si="224">IF($M138="","",$Y138+((($AS138-$AS$9)*$AS$6)*-1)-IF($AS138&lt;30,$AS$5,0))</f>
        <v/>
      </c>
      <c r="AU138" s="515" t="str">
        <f t="shared" si="210"/>
        <v/>
      </c>
      <c r="AV138" s="492" t="str">
        <f t="shared" si="211"/>
        <v/>
      </c>
      <c r="AW138" s="547" t="str">
        <f>IF($M138="","",W138-INDEX(Assy.Model!$W$9:$W$150,MATCH('SN#.Run#'!$M138,Assy.Model!$M$9:$M$150,0)))</f>
        <v/>
      </c>
      <c r="AX138" s="630" t="str">
        <f>IF($M138="","",X138-INDEX(Assy.Model!$X$9:$X$150,MATCH('SN#.Run#'!$M138,Assy.Model!$M$9:$M$150,0)))</f>
        <v/>
      </c>
      <c r="AY138" s="631" t="str">
        <f>IF($M138="","",Y138-INDEX(Assy.Model!$Y$9:$Y$150,MATCH('SN#.Run#'!$M138,Assy.Model!$M$9:$M$150,0)))</f>
        <v/>
      </c>
      <c r="AZ138" s="603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11" t="str">
        <f>IF($M138="","",AN138-INDEX(Assy.Model!$AN$9:$AN$150,MATCH('SN#.Run#'!$M138,Assy.Model!$M$9:$M$150,0)))</f>
        <v/>
      </c>
      <c r="BB138" s="535" t="str">
        <f>IF($M138="","",AO138-INDEX(Assy.Model!$AO$9:$AO$150,MATCH('SN#.Run#'!$M138,Assy.Model!$M$9:$M$150,0)))</f>
        <v/>
      </c>
      <c r="BC138" s="620" t="str">
        <f>IF($M138="","",AP138-INDEX(Assy.Model!$AP$9:$AP$150,MATCH('SN#.Run#'!$M138,Assy.Model!$M$9:$M$150,0)))</f>
        <v/>
      </c>
      <c r="BD138" s="419"/>
      <c r="BE138" s="699"/>
      <c r="BF138" s="417"/>
      <c r="BG138" s="417"/>
      <c r="BH138" s="417"/>
      <c r="IE138" s="790" t="str">
        <f>IFERROR(IF($IU138="","",IF($IU138&lt;(((Settings!$C$19/2)*-1)*$IE$8),"Taper","Nose")),"")</f>
        <v/>
      </c>
      <c r="IF138" s="482" t="str">
        <f>IFERROR(IF((((($IW138*COS(RADIANS(180-$IY138)))*COS(RADIANS($IY138)))-(($IX138*SIN(RADIANS(180-$IY138)))*SIN(RADIANS($IY138))))+$IU138)&lt;(((Settings!$C$19+$IF$8)/2)*-1),"Gage",""),"")</f>
        <v/>
      </c>
      <c r="IG138" s="788" t="str">
        <f t="shared" si="132"/>
        <v/>
      </c>
      <c r="IH138" s="674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677" t="str" cm="1">
        <f t="array" ref="II138">IFERROR(IF($IH138&lt;1,$IH138+LARGE((IF($M$9:$M$150="",0,$M$9:$M$150)-MOD(IF($M$9:$M$150="",0,$M$9:$M$150),1)),1),$IH138),"")</f>
        <v/>
      </c>
      <c r="IJ138" s="482" t="str">
        <f t="shared" ref="IJ138:IJ150" si="225">IF(ISNUMBER($II138),INDEX($K$9:$K$150,MATCH($II138,$M$9:$M$150,0)),$K138)</f>
        <v/>
      </c>
      <c r="IK138" s="482" t="str">
        <f t="shared" si="212"/>
        <v/>
      </c>
      <c r="IL138" s="670" t="str">
        <f t="shared" si="134"/>
        <v/>
      </c>
      <c r="IM138" s="702"/>
      <c r="IN138" s="5" t="str">
        <f t="shared" si="135"/>
        <v/>
      </c>
      <c r="IO138" s="714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670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05" t="str">
        <f t="shared" si="143"/>
        <v/>
      </c>
    </row>
    <row r="139" spans="1:259" ht="15" customHeight="1" x14ac:dyDescent="0.25">
      <c r="A139" s="82"/>
      <c r="B139" s="585" t="str">
        <f t="shared" si="213"/>
        <v/>
      </c>
      <c r="C139" s="582" t="str">
        <f t="shared" si="214"/>
        <v/>
      </c>
      <c r="D139" s="583" t="str">
        <f t="shared" si="215"/>
        <v/>
      </c>
      <c r="E139" s="588" t="str">
        <f t="shared" si="216"/>
        <v/>
      </c>
      <c r="F139" s="582" t="str">
        <f t="shared" si="217"/>
        <v/>
      </c>
      <c r="G139" s="586" t="str">
        <f t="shared" si="218"/>
        <v/>
      </c>
      <c r="H139" s="588" t="str">
        <f t="shared" si="222"/>
        <v/>
      </c>
      <c r="I139" s="490"/>
      <c r="J139" s="491" t="str">
        <v/>
      </c>
      <c r="K139" s="807" t="str">
        <f t="shared" si="133"/>
        <v/>
      </c>
      <c r="M139" s="492" t="str">
        <f t="shared" si="182"/>
        <v/>
      </c>
      <c r="N139" s="581" t="str">
        <f t="shared" si="183"/>
        <v/>
      </c>
      <c r="O139" s="582" t="str">
        <f t="shared" si="184"/>
        <v/>
      </c>
      <c r="P139" s="583" t="str">
        <f t="shared" si="185"/>
        <v/>
      </c>
      <c r="Q139" s="536" t="str">
        <f t="shared" si="186"/>
        <v/>
      </c>
      <c r="R139" s="582" t="str">
        <f t="shared" si="187"/>
        <v/>
      </c>
      <c r="S139" s="584" t="str">
        <f t="shared" si="188"/>
        <v/>
      </c>
      <c r="T139" s="585" t="str">
        <f t="shared" si="189"/>
        <v/>
      </c>
      <c r="U139" s="582" t="str">
        <f t="shared" si="190"/>
        <v/>
      </c>
      <c r="V139" s="586" t="str">
        <f t="shared" si="191"/>
        <v/>
      </c>
      <c r="W139" s="536" t="str">
        <f t="shared" si="192"/>
        <v/>
      </c>
      <c r="X139" s="582" t="str">
        <f t="shared" si="193"/>
        <v/>
      </c>
      <c r="Y139" s="587" t="str">
        <f t="shared" si="219"/>
        <v/>
      </c>
      <c r="Z139" s="581" t="str">
        <f t="shared" si="194"/>
        <v/>
      </c>
      <c r="AA139" s="582" t="str">
        <f t="shared" si="195"/>
        <v/>
      </c>
      <c r="AB139" s="582" t="str">
        <f t="shared" si="196"/>
        <v/>
      </c>
      <c r="AC139" s="586" t="str">
        <f t="shared" si="197"/>
        <v/>
      </c>
      <c r="AD139" s="588" t="str">
        <f t="shared" si="198"/>
        <v/>
      </c>
      <c r="AE139" s="582" t="str">
        <f t="shared" si="199"/>
        <v/>
      </c>
      <c r="AF139" s="583" t="str">
        <f t="shared" si="200"/>
        <v/>
      </c>
      <c r="AG139" s="547" t="str">
        <f t="shared" si="201"/>
        <v/>
      </c>
      <c r="AH139" s="548" t="str">
        <f t="shared" si="202"/>
        <v/>
      </c>
      <c r="AI139" s="536" t="str">
        <f t="shared" si="203"/>
        <v/>
      </c>
      <c r="AJ139" s="537" t="str">
        <f t="shared" si="204"/>
        <v/>
      </c>
      <c r="AK139" s="585" t="str">
        <f t="shared" si="205"/>
        <v/>
      </c>
      <c r="AL139" s="582" t="str">
        <f t="shared" si="206"/>
        <v/>
      </c>
      <c r="AM139" s="584" t="str">
        <f t="shared" si="207"/>
        <v/>
      </c>
      <c r="AN139" s="534" t="str">
        <f t="shared" si="151"/>
        <v/>
      </c>
      <c r="AO139" s="535" t="str">
        <f t="shared" si="181"/>
        <v/>
      </c>
      <c r="AP139" s="536" t="str">
        <f t="shared" si="208"/>
        <v/>
      </c>
      <c r="AQ139" s="537" t="str">
        <f t="shared" si="223"/>
        <v/>
      </c>
      <c r="AS139" s="599" t="str">
        <f t="shared" si="209"/>
        <v/>
      </c>
      <c r="AT139" s="603" t="str">
        <f t="shared" si="224"/>
        <v/>
      </c>
      <c r="AU139" s="515" t="str">
        <f t="shared" si="210"/>
        <v/>
      </c>
      <c r="AV139" s="492" t="str">
        <f t="shared" si="211"/>
        <v/>
      </c>
      <c r="AW139" s="547" t="str">
        <f>IF($M139="","",W139-INDEX(Assy.Model!$W$9:$W$150,MATCH('SN#.Run#'!$M139,Assy.Model!$M$9:$M$150,0)))</f>
        <v/>
      </c>
      <c r="AX139" s="630" t="str">
        <f>IF($M139="","",X139-INDEX(Assy.Model!$X$9:$X$150,MATCH('SN#.Run#'!$M139,Assy.Model!$M$9:$M$150,0)))</f>
        <v/>
      </c>
      <c r="AY139" s="631" t="str">
        <f>IF($M139="","",Y139-INDEX(Assy.Model!$Y$9:$Y$150,MATCH('SN#.Run#'!$M139,Assy.Model!$M$9:$M$150,0)))</f>
        <v/>
      </c>
      <c r="AZ139" s="603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11" t="str">
        <f>IF($M139="","",AN139-INDEX(Assy.Model!$AN$9:$AN$150,MATCH('SN#.Run#'!$M139,Assy.Model!$M$9:$M$150,0)))</f>
        <v/>
      </c>
      <c r="BB139" s="535" t="str">
        <f>IF($M139="","",AO139-INDEX(Assy.Model!$AO$9:$AO$150,MATCH('SN#.Run#'!$M139,Assy.Model!$M$9:$M$150,0)))</f>
        <v/>
      </c>
      <c r="BC139" s="620" t="str">
        <f>IF($M139="","",AP139-INDEX(Assy.Model!$AP$9:$AP$150,MATCH('SN#.Run#'!$M139,Assy.Model!$M$9:$M$150,0)))</f>
        <v/>
      </c>
      <c r="BD139" s="419"/>
      <c r="BE139" s="699"/>
      <c r="BF139" s="417"/>
      <c r="BG139" s="417"/>
      <c r="BH139" s="417"/>
      <c r="IE139" s="790" t="str">
        <f>IFERROR(IF($IU139="","",IF($IU139&lt;(((Settings!$C$19/2)*-1)*$IE$8),"Taper","Nose")),"")</f>
        <v/>
      </c>
      <c r="IF139" s="482" t="str">
        <f>IFERROR(IF((((($IW139*COS(RADIANS(180-$IY139)))*COS(RADIANS($IY139)))-(($IX139*SIN(RADIANS(180-$IY139)))*SIN(RADIANS($IY139))))+$IU139)&lt;(((Settings!$C$19+$IF$8)/2)*-1),"Gage",""),"")</f>
        <v/>
      </c>
      <c r="IG139" s="788" t="str">
        <f t="shared" ref="IG139:IG150" si="226">$M139</f>
        <v/>
      </c>
      <c r="IH139" s="674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677" t="str" cm="1">
        <f t="array" ref="II139">IFERROR(IF($IH139&lt;1,$IH139+LARGE((IF($M$9:$M$150="",0,$M$9:$M$150)-MOD(IF($M$9:$M$150="",0,$M$9:$M$150),1)),1),$IH139),"")</f>
        <v/>
      </c>
      <c r="IJ139" s="482" t="str">
        <f t="shared" si="225"/>
        <v/>
      </c>
      <c r="IK139" s="482" t="str">
        <f t="shared" si="212"/>
        <v/>
      </c>
      <c r="IL139" s="670" t="str">
        <f t="shared" si="134"/>
        <v/>
      </c>
      <c r="IM139" s="702"/>
      <c r="IN139" s="5" t="str">
        <f t="shared" si="135"/>
        <v/>
      </c>
      <c r="IO139" s="714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670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05" t="str">
        <f t="shared" si="143"/>
        <v/>
      </c>
    </row>
    <row r="140" spans="1:259" ht="15" customHeight="1" x14ac:dyDescent="0.25">
      <c r="A140" s="82"/>
      <c r="B140" s="585" t="str">
        <f t="shared" si="213"/>
        <v/>
      </c>
      <c r="C140" s="582" t="str">
        <f t="shared" si="214"/>
        <v/>
      </c>
      <c r="D140" s="583" t="str">
        <f t="shared" si="215"/>
        <v/>
      </c>
      <c r="E140" s="588" t="str">
        <f t="shared" si="216"/>
        <v/>
      </c>
      <c r="F140" s="582" t="str">
        <f t="shared" si="217"/>
        <v/>
      </c>
      <c r="G140" s="586" t="str">
        <f t="shared" si="218"/>
        <v/>
      </c>
      <c r="H140" s="588" t="str">
        <f t="shared" si="222"/>
        <v/>
      </c>
      <c r="I140" s="490"/>
      <c r="J140" s="491" t="str">
        <v/>
      </c>
      <c r="K140" s="807" t="str">
        <f t="shared" ref="K140:K150" si="227">IF(INDEX(N$164:N$305,MATCH($M140,$M$164:$M$305,0))=0,"",INDEX(N$164:N$305,MATCH($M140,$M$164:$M$305,0)))</f>
        <v/>
      </c>
      <c r="M140" s="492" t="str">
        <f t="shared" si="182"/>
        <v/>
      </c>
      <c r="N140" s="581" t="str">
        <f t="shared" si="183"/>
        <v/>
      </c>
      <c r="O140" s="582" t="str">
        <f t="shared" si="184"/>
        <v/>
      </c>
      <c r="P140" s="583" t="str">
        <f t="shared" si="185"/>
        <v/>
      </c>
      <c r="Q140" s="536" t="str">
        <f t="shared" si="186"/>
        <v/>
      </c>
      <c r="R140" s="582" t="str">
        <f t="shared" si="187"/>
        <v/>
      </c>
      <c r="S140" s="584" t="str">
        <f t="shared" si="188"/>
        <v/>
      </c>
      <c r="T140" s="585" t="str">
        <f t="shared" si="189"/>
        <v/>
      </c>
      <c r="U140" s="582" t="str">
        <f t="shared" si="190"/>
        <v/>
      </c>
      <c r="V140" s="586" t="str">
        <f t="shared" si="191"/>
        <v/>
      </c>
      <c r="W140" s="536" t="str">
        <f t="shared" si="192"/>
        <v/>
      </c>
      <c r="X140" s="582" t="str">
        <f t="shared" si="193"/>
        <v/>
      </c>
      <c r="Y140" s="587" t="str">
        <f t="shared" si="219"/>
        <v/>
      </c>
      <c r="Z140" s="581" t="str">
        <f t="shared" si="194"/>
        <v/>
      </c>
      <c r="AA140" s="582" t="str">
        <f t="shared" si="195"/>
        <v/>
      </c>
      <c r="AB140" s="582" t="str">
        <f t="shared" si="196"/>
        <v/>
      </c>
      <c r="AC140" s="586" t="str">
        <f t="shared" si="197"/>
        <v/>
      </c>
      <c r="AD140" s="588" t="str">
        <f t="shared" si="198"/>
        <v/>
      </c>
      <c r="AE140" s="582" t="str">
        <f t="shared" si="199"/>
        <v/>
      </c>
      <c r="AF140" s="583" t="str">
        <f t="shared" si="200"/>
        <v/>
      </c>
      <c r="AG140" s="547" t="str">
        <f t="shared" si="201"/>
        <v/>
      </c>
      <c r="AH140" s="548" t="str">
        <f t="shared" si="202"/>
        <v/>
      </c>
      <c r="AI140" s="536" t="str">
        <f t="shared" si="203"/>
        <v/>
      </c>
      <c r="AJ140" s="537" t="str">
        <f t="shared" si="204"/>
        <v/>
      </c>
      <c r="AK140" s="585" t="str">
        <f t="shared" si="205"/>
        <v/>
      </c>
      <c r="AL140" s="582" t="str">
        <f t="shared" si="206"/>
        <v/>
      </c>
      <c r="AM140" s="584" t="str">
        <f t="shared" si="207"/>
        <v/>
      </c>
      <c r="AN140" s="534" t="str">
        <f t="shared" si="151"/>
        <v/>
      </c>
      <c r="AO140" s="535" t="str">
        <f t="shared" si="181"/>
        <v/>
      </c>
      <c r="AP140" s="536" t="str">
        <f t="shared" si="208"/>
        <v/>
      </c>
      <c r="AQ140" s="537" t="str">
        <f t="shared" si="223"/>
        <v/>
      </c>
      <c r="AS140" s="599" t="str">
        <f t="shared" si="209"/>
        <v/>
      </c>
      <c r="AT140" s="603" t="str">
        <f t="shared" si="224"/>
        <v/>
      </c>
      <c r="AU140" s="515" t="str">
        <f t="shared" si="210"/>
        <v/>
      </c>
      <c r="AV140" s="492" t="str">
        <f t="shared" si="211"/>
        <v/>
      </c>
      <c r="AW140" s="547" t="str">
        <f>IF($M140="","",W140-INDEX(Assy.Model!$W$9:$W$150,MATCH('SN#.Run#'!$M140,Assy.Model!$M$9:$M$150,0)))</f>
        <v/>
      </c>
      <c r="AX140" s="630" t="str">
        <f>IF($M140="","",X140-INDEX(Assy.Model!$X$9:$X$150,MATCH('SN#.Run#'!$M140,Assy.Model!$M$9:$M$150,0)))</f>
        <v/>
      </c>
      <c r="AY140" s="631" t="str">
        <f>IF($M140="","",Y140-INDEX(Assy.Model!$Y$9:$Y$150,MATCH('SN#.Run#'!$M140,Assy.Model!$M$9:$M$150,0)))</f>
        <v/>
      </c>
      <c r="AZ140" s="603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11" t="str">
        <f>IF($M140="","",AN140-INDEX(Assy.Model!$AN$9:$AN$150,MATCH('SN#.Run#'!$M140,Assy.Model!$M$9:$M$150,0)))</f>
        <v/>
      </c>
      <c r="BB140" s="535" t="str">
        <f>IF($M140="","",AO140-INDEX(Assy.Model!$AO$9:$AO$150,MATCH('SN#.Run#'!$M140,Assy.Model!$M$9:$M$150,0)))</f>
        <v/>
      </c>
      <c r="BC140" s="620" t="str">
        <f>IF($M140="","",AP140-INDEX(Assy.Model!$AP$9:$AP$150,MATCH('SN#.Run#'!$M140,Assy.Model!$M$9:$M$150,0)))</f>
        <v/>
      </c>
      <c r="BD140" s="419"/>
      <c r="BE140" s="699"/>
      <c r="BF140" s="417"/>
      <c r="BG140" s="417"/>
      <c r="BH140" s="417"/>
      <c r="IE140" s="790" t="str">
        <f>IFERROR(IF($IU140="","",IF($IU140&lt;(((Settings!$C$19/2)*-1)*$IE$8),"Taper","Nose")),"")</f>
        <v/>
      </c>
      <c r="IF140" s="482" t="str">
        <f>IFERROR(IF((((($IW140*COS(RADIANS(180-$IY140)))*COS(RADIANS($IY140)))-(($IX140*SIN(RADIANS(180-$IY140)))*SIN(RADIANS($IY140))))+$IU140)&lt;(((Settings!$C$19+$IF$8)/2)*-1),"Gage",""),"")</f>
        <v/>
      </c>
      <c r="IG140" s="788" t="str">
        <f t="shared" si="226"/>
        <v/>
      </c>
      <c r="IH140" s="674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677" t="str" cm="1">
        <f t="array" ref="II140">IFERROR(IF($IH140&lt;1,$IH140+LARGE((IF($M$9:$M$150="",0,$M$9:$M$150)-MOD(IF($M$9:$M$150="",0,$M$9:$M$150),1)),1),$IH140),"")</f>
        <v/>
      </c>
      <c r="IJ140" s="482" t="str">
        <f t="shared" si="225"/>
        <v/>
      </c>
      <c r="IK140" s="482" t="str">
        <f t="shared" si="212"/>
        <v/>
      </c>
      <c r="IL140" s="670" t="str">
        <f t="shared" si="134"/>
        <v/>
      </c>
      <c r="IM140" s="702"/>
      <c r="IN140" s="5" t="str">
        <f t="shared" si="135"/>
        <v/>
      </c>
      <c r="IO140" s="714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670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05" t="str">
        <f t="shared" si="143"/>
        <v/>
      </c>
    </row>
    <row r="141" spans="1:259" ht="15" customHeight="1" x14ac:dyDescent="0.25">
      <c r="A141" s="82"/>
      <c r="B141" s="585" t="str">
        <f t="shared" si="213"/>
        <v/>
      </c>
      <c r="C141" s="582" t="str">
        <f t="shared" si="214"/>
        <v/>
      </c>
      <c r="D141" s="583" t="str">
        <f t="shared" si="215"/>
        <v/>
      </c>
      <c r="E141" s="588" t="str">
        <f t="shared" si="216"/>
        <v/>
      </c>
      <c r="F141" s="582" t="str">
        <f t="shared" si="217"/>
        <v/>
      </c>
      <c r="G141" s="586" t="str">
        <f t="shared" si="218"/>
        <v/>
      </c>
      <c r="H141" s="588" t="str">
        <f t="shared" si="222"/>
        <v/>
      </c>
      <c r="I141" s="490"/>
      <c r="J141" s="491" t="str">
        <v/>
      </c>
      <c r="K141" s="807" t="str">
        <f t="shared" si="227"/>
        <v/>
      </c>
      <c r="M141" s="492" t="str">
        <f t="shared" si="182"/>
        <v/>
      </c>
      <c r="N141" s="581" t="str">
        <f t="shared" si="183"/>
        <v/>
      </c>
      <c r="O141" s="582" t="str">
        <f t="shared" si="184"/>
        <v/>
      </c>
      <c r="P141" s="583" t="str">
        <f t="shared" si="185"/>
        <v/>
      </c>
      <c r="Q141" s="536" t="str">
        <f t="shared" si="186"/>
        <v/>
      </c>
      <c r="R141" s="582" t="str">
        <f t="shared" si="187"/>
        <v/>
      </c>
      <c r="S141" s="584" t="str">
        <f t="shared" si="188"/>
        <v/>
      </c>
      <c r="T141" s="585" t="str">
        <f t="shared" si="189"/>
        <v/>
      </c>
      <c r="U141" s="582" t="str">
        <f t="shared" si="190"/>
        <v/>
      </c>
      <c r="V141" s="586" t="str">
        <f t="shared" si="191"/>
        <v/>
      </c>
      <c r="W141" s="536" t="str">
        <f t="shared" si="192"/>
        <v/>
      </c>
      <c r="X141" s="582" t="str">
        <f t="shared" si="193"/>
        <v/>
      </c>
      <c r="Y141" s="587" t="str">
        <f t="shared" si="219"/>
        <v/>
      </c>
      <c r="Z141" s="581" t="str">
        <f t="shared" si="194"/>
        <v/>
      </c>
      <c r="AA141" s="582" t="str">
        <f t="shared" si="195"/>
        <v/>
      </c>
      <c r="AB141" s="582" t="str">
        <f t="shared" si="196"/>
        <v/>
      </c>
      <c r="AC141" s="586" t="str">
        <f t="shared" si="197"/>
        <v/>
      </c>
      <c r="AD141" s="588" t="str">
        <f t="shared" si="198"/>
        <v/>
      </c>
      <c r="AE141" s="582" t="str">
        <f t="shared" si="199"/>
        <v/>
      </c>
      <c r="AF141" s="583" t="str">
        <f t="shared" si="200"/>
        <v/>
      </c>
      <c r="AG141" s="547" t="str">
        <f t="shared" si="201"/>
        <v/>
      </c>
      <c r="AH141" s="548" t="str">
        <f t="shared" si="202"/>
        <v/>
      </c>
      <c r="AI141" s="536" t="str">
        <f t="shared" si="203"/>
        <v/>
      </c>
      <c r="AJ141" s="537" t="str">
        <f t="shared" si="204"/>
        <v/>
      </c>
      <c r="AK141" s="585" t="str">
        <f t="shared" si="205"/>
        <v/>
      </c>
      <c r="AL141" s="582" t="str">
        <f t="shared" si="206"/>
        <v/>
      </c>
      <c r="AM141" s="584" t="str">
        <f t="shared" si="207"/>
        <v/>
      </c>
      <c r="AN141" s="534" t="str">
        <f t="shared" si="151"/>
        <v/>
      </c>
      <c r="AO141" s="535" t="str">
        <f t="shared" si="181"/>
        <v/>
      </c>
      <c r="AP141" s="536" t="str">
        <f t="shared" si="208"/>
        <v/>
      </c>
      <c r="AQ141" s="537" t="str">
        <f t="shared" si="223"/>
        <v/>
      </c>
      <c r="AS141" s="599" t="str">
        <f t="shared" si="209"/>
        <v/>
      </c>
      <c r="AT141" s="603" t="str">
        <f t="shared" si="224"/>
        <v/>
      </c>
      <c r="AU141" s="515" t="str">
        <f t="shared" si="210"/>
        <v/>
      </c>
      <c r="AV141" s="492" t="str">
        <f t="shared" si="211"/>
        <v/>
      </c>
      <c r="AW141" s="547" t="str">
        <f>IF($M141="","",W141-INDEX(Assy.Model!$W$9:$W$150,MATCH('SN#.Run#'!$M141,Assy.Model!$M$9:$M$150,0)))</f>
        <v/>
      </c>
      <c r="AX141" s="630" t="str">
        <f>IF($M141="","",X141-INDEX(Assy.Model!$X$9:$X$150,MATCH('SN#.Run#'!$M141,Assy.Model!$M$9:$M$150,0)))</f>
        <v/>
      </c>
      <c r="AY141" s="631" t="str">
        <f>IF($M141="","",Y141-INDEX(Assy.Model!$Y$9:$Y$150,MATCH('SN#.Run#'!$M141,Assy.Model!$M$9:$M$150,0)))</f>
        <v/>
      </c>
      <c r="AZ141" s="603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11" t="str">
        <f>IF($M141="","",AN141-INDEX(Assy.Model!$AN$9:$AN$150,MATCH('SN#.Run#'!$M141,Assy.Model!$M$9:$M$150,0)))</f>
        <v/>
      </c>
      <c r="BB141" s="535" t="str">
        <f>IF($M141="","",AO141-INDEX(Assy.Model!$AO$9:$AO$150,MATCH('SN#.Run#'!$M141,Assy.Model!$M$9:$M$150,0)))</f>
        <v/>
      </c>
      <c r="BC141" s="620" t="str">
        <f>IF($M141="","",AP141-INDEX(Assy.Model!$AP$9:$AP$150,MATCH('SN#.Run#'!$M141,Assy.Model!$M$9:$M$150,0)))</f>
        <v/>
      </c>
      <c r="BD141" s="419"/>
      <c r="BE141" s="699"/>
      <c r="BF141" s="417"/>
      <c r="BG141" s="417"/>
      <c r="BH141" s="417"/>
      <c r="IE141" s="790" t="str">
        <f>IFERROR(IF($IU141="","",IF($IU141&lt;(((Settings!$C$19/2)*-1)*$IE$8),"Taper","Nose")),"")</f>
        <v/>
      </c>
      <c r="IF141" s="482" t="str">
        <f>IFERROR(IF((((($IW141*COS(RADIANS(180-$IY141)))*COS(RADIANS($IY141)))-(($IX141*SIN(RADIANS(180-$IY141)))*SIN(RADIANS($IY141))))+$IU141)&lt;(((Settings!$C$19+$IF$8)/2)*-1),"Gage",""),"")</f>
        <v/>
      </c>
      <c r="IG141" s="788" t="str">
        <f t="shared" si="226"/>
        <v/>
      </c>
      <c r="IH141" s="674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677" t="str" cm="1">
        <f t="array" ref="II141">IFERROR(IF($IH141&lt;1,$IH141+LARGE((IF($M$9:$M$150="",0,$M$9:$M$150)-MOD(IF($M$9:$M$150="",0,$M$9:$M$150),1)),1),$IH141),"")</f>
        <v/>
      </c>
      <c r="IJ141" s="482" t="str">
        <f t="shared" si="225"/>
        <v/>
      </c>
      <c r="IK141" s="482" t="str">
        <f t="shared" si="212"/>
        <v/>
      </c>
      <c r="IL141" s="670" t="str">
        <f t="shared" si="134"/>
        <v/>
      </c>
      <c r="IM141" s="702"/>
      <c r="IN141" s="5" t="str">
        <f t="shared" si="135"/>
        <v/>
      </c>
      <c r="IO141" s="714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670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05" t="str">
        <f t="shared" si="143"/>
        <v/>
      </c>
    </row>
    <row r="142" spans="1:259" ht="15" customHeight="1" x14ac:dyDescent="0.25">
      <c r="A142" s="82"/>
      <c r="B142" s="585" t="str">
        <f t="shared" si="213"/>
        <v/>
      </c>
      <c r="C142" s="582" t="str">
        <f t="shared" si="214"/>
        <v/>
      </c>
      <c r="D142" s="583" t="str">
        <f t="shared" si="215"/>
        <v/>
      </c>
      <c r="E142" s="588" t="str">
        <f t="shared" si="216"/>
        <v/>
      </c>
      <c r="F142" s="582" t="str">
        <f t="shared" si="217"/>
        <v/>
      </c>
      <c r="G142" s="586" t="str">
        <f t="shared" si="218"/>
        <v/>
      </c>
      <c r="H142" s="588" t="str">
        <f t="shared" si="222"/>
        <v/>
      </c>
      <c r="I142" s="490"/>
      <c r="J142" s="491" t="str">
        <v/>
      </c>
      <c r="K142" s="807" t="str">
        <f t="shared" si="227"/>
        <v/>
      </c>
      <c r="M142" s="492" t="str">
        <f t="shared" si="182"/>
        <v/>
      </c>
      <c r="N142" s="581" t="str">
        <f t="shared" si="183"/>
        <v/>
      </c>
      <c r="O142" s="582" t="str">
        <f t="shared" si="184"/>
        <v/>
      </c>
      <c r="P142" s="583" t="str">
        <f t="shared" si="185"/>
        <v/>
      </c>
      <c r="Q142" s="536" t="str">
        <f t="shared" si="186"/>
        <v/>
      </c>
      <c r="R142" s="582" t="str">
        <f t="shared" si="187"/>
        <v/>
      </c>
      <c r="S142" s="584" t="str">
        <f t="shared" si="188"/>
        <v/>
      </c>
      <c r="T142" s="585" t="str">
        <f t="shared" si="189"/>
        <v/>
      </c>
      <c r="U142" s="582" t="str">
        <f t="shared" si="190"/>
        <v/>
      </c>
      <c r="V142" s="586" t="str">
        <f t="shared" si="191"/>
        <v/>
      </c>
      <c r="W142" s="536" t="str">
        <f t="shared" si="192"/>
        <v/>
      </c>
      <c r="X142" s="582" t="str">
        <f t="shared" si="193"/>
        <v/>
      </c>
      <c r="Y142" s="587" t="str">
        <f t="shared" si="219"/>
        <v/>
      </c>
      <c r="Z142" s="581" t="str">
        <f t="shared" si="194"/>
        <v/>
      </c>
      <c r="AA142" s="582" t="str">
        <f t="shared" si="195"/>
        <v/>
      </c>
      <c r="AB142" s="582" t="str">
        <f t="shared" si="196"/>
        <v/>
      </c>
      <c r="AC142" s="586" t="str">
        <f t="shared" si="197"/>
        <v/>
      </c>
      <c r="AD142" s="588" t="str">
        <f t="shared" si="198"/>
        <v/>
      </c>
      <c r="AE142" s="582" t="str">
        <f t="shared" si="199"/>
        <v/>
      </c>
      <c r="AF142" s="583" t="str">
        <f t="shared" si="200"/>
        <v/>
      </c>
      <c r="AG142" s="547" t="str">
        <f t="shared" si="201"/>
        <v/>
      </c>
      <c r="AH142" s="548" t="str">
        <f t="shared" si="202"/>
        <v/>
      </c>
      <c r="AI142" s="536" t="str">
        <f t="shared" si="203"/>
        <v/>
      </c>
      <c r="AJ142" s="537" t="str">
        <f t="shared" si="204"/>
        <v/>
      </c>
      <c r="AK142" s="585" t="str">
        <f t="shared" si="205"/>
        <v/>
      </c>
      <c r="AL142" s="582" t="str">
        <f t="shared" si="206"/>
        <v/>
      </c>
      <c r="AM142" s="584" t="str">
        <f t="shared" si="207"/>
        <v/>
      </c>
      <c r="AN142" s="534" t="str">
        <f t="shared" si="151"/>
        <v/>
      </c>
      <c r="AO142" s="535" t="str">
        <f t="shared" si="181"/>
        <v/>
      </c>
      <c r="AP142" s="536" t="str">
        <f t="shared" si="208"/>
        <v/>
      </c>
      <c r="AQ142" s="537" t="str">
        <f t="shared" si="223"/>
        <v/>
      </c>
      <c r="AS142" s="599" t="str">
        <f t="shared" si="209"/>
        <v/>
      </c>
      <c r="AT142" s="603" t="str">
        <f t="shared" si="224"/>
        <v/>
      </c>
      <c r="AU142" s="515" t="str">
        <f t="shared" si="210"/>
        <v/>
      </c>
      <c r="AV142" s="492" t="str">
        <f t="shared" si="211"/>
        <v/>
      </c>
      <c r="AW142" s="547" t="str">
        <f>IF($M142="","",W142-INDEX(Assy.Model!$W$9:$W$150,MATCH('SN#.Run#'!$M142,Assy.Model!$M$9:$M$150,0)))</f>
        <v/>
      </c>
      <c r="AX142" s="630" t="str">
        <f>IF($M142="","",X142-INDEX(Assy.Model!$X$9:$X$150,MATCH('SN#.Run#'!$M142,Assy.Model!$M$9:$M$150,0)))</f>
        <v/>
      </c>
      <c r="AY142" s="631" t="str">
        <f>IF($M142="","",Y142-INDEX(Assy.Model!$Y$9:$Y$150,MATCH('SN#.Run#'!$M142,Assy.Model!$M$9:$M$150,0)))</f>
        <v/>
      </c>
      <c r="AZ142" s="603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11" t="str">
        <f>IF($M142="","",AN142-INDEX(Assy.Model!$AN$9:$AN$150,MATCH('SN#.Run#'!$M142,Assy.Model!$M$9:$M$150,0)))</f>
        <v/>
      </c>
      <c r="BB142" s="535" t="str">
        <f>IF($M142="","",AO142-INDEX(Assy.Model!$AO$9:$AO$150,MATCH('SN#.Run#'!$M142,Assy.Model!$M$9:$M$150,0)))</f>
        <v/>
      </c>
      <c r="BC142" s="620" t="str">
        <f>IF($M142="","",AP142-INDEX(Assy.Model!$AP$9:$AP$150,MATCH('SN#.Run#'!$M142,Assy.Model!$M$9:$M$150,0)))</f>
        <v/>
      </c>
      <c r="BD142" s="419"/>
      <c r="BE142" s="699"/>
      <c r="BF142" s="417"/>
      <c r="BG142" s="417"/>
      <c r="BH142" s="417"/>
      <c r="IE142" s="790" t="str">
        <f>IFERROR(IF($IU142="","",IF($IU142&lt;(((Settings!$C$19/2)*-1)*$IE$8),"Taper","Nose")),"")</f>
        <v/>
      </c>
      <c r="IF142" s="482" t="str">
        <f>IFERROR(IF((((($IW142*COS(RADIANS(180-$IY142)))*COS(RADIANS($IY142)))-(($IX142*SIN(RADIANS(180-$IY142)))*SIN(RADIANS($IY142))))+$IU142)&lt;(((Settings!$C$19+$IF$8)/2)*-1),"Gage",""),"")</f>
        <v/>
      </c>
      <c r="IG142" s="788" t="str">
        <f t="shared" si="226"/>
        <v/>
      </c>
      <c r="IH142" s="674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677" t="str" cm="1">
        <f t="array" ref="II142">IFERROR(IF($IH142&lt;1,$IH142+LARGE((IF($M$9:$M$150="",0,$M$9:$M$150)-MOD(IF($M$9:$M$150="",0,$M$9:$M$150),1)),1),$IH142),"")</f>
        <v/>
      </c>
      <c r="IJ142" s="482" t="str">
        <f t="shared" si="225"/>
        <v/>
      </c>
      <c r="IK142" s="482" t="str">
        <f t="shared" si="212"/>
        <v/>
      </c>
      <c r="IL142" s="670" t="str">
        <f t="shared" si="134"/>
        <v/>
      </c>
      <c r="IM142" s="702"/>
      <c r="IN142" s="5" t="str">
        <f t="shared" si="135"/>
        <v/>
      </c>
      <c r="IO142" s="714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670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05" t="str">
        <f t="shared" si="143"/>
        <v/>
      </c>
    </row>
    <row r="143" spans="1:259" ht="15" customHeight="1" x14ac:dyDescent="0.25">
      <c r="A143" s="82"/>
      <c r="B143" s="585" t="str">
        <f t="shared" si="213"/>
        <v/>
      </c>
      <c r="C143" s="582" t="str">
        <f t="shared" si="214"/>
        <v/>
      </c>
      <c r="D143" s="583" t="str">
        <f t="shared" si="215"/>
        <v/>
      </c>
      <c r="E143" s="588" t="str">
        <f t="shared" si="216"/>
        <v/>
      </c>
      <c r="F143" s="582" t="str">
        <f t="shared" si="217"/>
        <v/>
      </c>
      <c r="G143" s="586" t="str">
        <f t="shared" si="218"/>
        <v/>
      </c>
      <c r="H143" s="588" t="str">
        <f t="shared" si="222"/>
        <v/>
      </c>
      <c r="I143" s="490"/>
      <c r="J143" s="491" t="str">
        <v/>
      </c>
      <c r="K143" s="807" t="str">
        <f t="shared" si="227"/>
        <v/>
      </c>
      <c r="M143" s="492" t="str">
        <f t="shared" si="182"/>
        <v/>
      </c>
      <c r="N143" s="581" t="str">
        <f t="shared" si="183"/>
        <v/>
      </c>
      <c r="O143" s="582" t="str">
        <f t="shared" si="184"/>
        <v/>
      </c>
      <c r="P143" s="583" t="str">
        <f t="shared" si="185"/>
        <v/>
      </c>
      <c r="Q143" s="536" t="str">
        <f t="shared" si="186"/>
        <v/>
      </c>
      <c r="R143" s="582" t="str">
        <f t="shared" si="187"/>
        <v/>
      </c>
      <c r="S143" s="584" t="str">
        <f t="shared" si="188"/>
        <v/>
      </c>
      <c r="T143" s="585" t="str">
        <f t="shared" si="189"/>
        <v/>
      </c>
      <c r="U143" s="582" t="str">
        <f t="shared" si="190"/>
        <v/>
      </c>
      <c r="V143" s="586" t="str">
        <f t="shared" si="191"/>
        <v/>
      </c>
      <c r="W143" s="536" t="str">
        <f t="shared" si="192"/>
        <v/>
      </c>
      <c r="X143" s="582" t="str">
        <f t="shared" si="193"/>
        <v/>
      </c>
      <c r="Y143" s="587" t="str">
        <f t="shared" si="219"/>
        <v/>
      </c>
      <c r="Z143" s="581" t="str">
        <f t="shared" si="194"/>
        <v/>
      </c>
      <c r="AA143" s="582" t="str">
        <f t="shared" si="195"/>
        <v/>
      </c>
      <c r="AB143" s="582" t="str">
        <f t="shared" si="196"/>
        <v/>
      </c>
      <c r="AC143" s="586" t="str">
        <f t="shared" si="197"/>
        <v/>
      </c>
      <c r="AD143" s="588" t="str">
        <f t="shared" si="198"/>
        <v/>
      </c>
      <c r="AE143" s="582" t="str">
        <f t="shared" si="199"/>
        <v/>
      </c>
      <c r="AF143" s="583" t="str">
        <f t="shared" si="200"/>
        <v/>
      </c>
      <c r="AG143" s="547" t="str">
        <f t="shared" si="201"/>
        <v/>
      </c>
      <c r="AH143" s="548" t="str">
        <f t="shared" si="202"/>
        <v/>
      </c>
      <c r="AI143" s="536" t="str">
        <f t="shared" si="203"/>
        <v/>
      </c>
      <c r="AJ143" s="537" t="str">
        <f t="shared" si="204"/>
        <v/>
      </c>
      <c r="AK143" s="585" t="str">
        <f t="shared" si="205"/>
        <v/>
      </c>
      <c r="AL143" s="582" t="str">
        <f t="shared" si="206"/>
        <v/>
      </c>
      <c r="AM143" s="584" t="str">
        <f t="shared" si="207"/>
        <v/>
      </c>
      <c r="AN143" s="534" t="str">
        <f t="shared" si="151"/>
        <v/>
      </c>
      <c r="AO143" s="535" t="str">
        <f t="shared" si="181"/>
        <v/>
      </c>
      <c r="AP143" s="536" t="str">
        <f t="shared" si="208"/>
        <v/>
      </c>
      <c r="AQ143" s="537" t="str">
        <f t="shared" si="223"/>
        <v/>
      </c>
      <c r="AS143" s="599" t="str">
        <f t="shared" si="209"/>
        <v/>
      </c>
      <c r="AT143" s="603" t="str">
        <f t="shared" si="224"/>
        <v/>
      </c>
      <c r="AU143" s="515" t="str">
        <f t="shared" si="210"/>
        <v/>
      </c>
      <c r="AV143" s="492" t="str">
        <f t="shared" si="211"/>
        <v/>
      </c>
      <c r="AW143" s="547" t="str">
        <f>IF($M143="","",W143-INDEX(Assy.Model!$W$9:$W$150,MATCH('SN#.Run#'!$M143,Assy.Model!$M$9:$M$150,0)))</f>
        <v/>
      </c>
      <c r="AX143" s="630" t="str">
        <f>IF($M143="","",X143-INDEX(Assy.Model!$X$9:$X$150,MATCH('SN#.Run#'!$M143,Assy.Model!$M$9:$M$150,0)))</f>
        <v/>
      </c>
      <c r="AY143" s="631" t="str">
        <f>IF($M143="","",Y143-INDEX(Assy.Model!$Y$9:$Y$150,MATCH('SN#.Run#'!$M143,Assy.Model!$M$9:$M$150,0)))</f>
        <v/>
      </c>
      <c r="AZ143" s="603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11" t="str">
        <f>IF($M143="","",AN143-INDEX(Assy.Model!$AN$9:$AN$150,MATCH('SN#.Run#'!$M143,Assy.Model!$M$9:$M$150,0)))</f>
        <v/>
      </c>
      <c r="BB143" s="535" t="str">
        <f>IF($M143="","",AO143-INDEX(Assy.Model!$AO$9:$AO$150,MATCH('SN#.Run#'!$M143,Assy.Model!$M$9:$M$150,0)))</f>
        <v/>
      </c>
      <c r="BC143" s="620" t="str">
        <f>IF($M143="","",AP143-INDEX(Assy.Model!$AP$9:$AP$150,MATCH('SN#.Run#'!$M143,Assy.Model!$M$9:$M$150,0)))</f>
        <v/>
      </c>
      <c r="BD143" s="419"/>
      <c r="BE143" s="699"/>
      <c r="BF143" s="417"/>
      <c r="BG143" s="417"/>
      <c r="BH143" s="417"/>
      <c r="IE143" s="790" t="str">
        <f>IFERROR(IF($IU143="","",IF($IU143&lt;(((Settings!$C$19/2)*-1)*$IE$8),"Taper","Nose")),"")</f>
        <v/>
      </c>
      <c r="IF143" s="482" t="str">
        <f>IFERROR(IF((((($IW143*COS(RADIANS(180-$IY143)))*COS(RADIANS($IY143)))-(($IX143*SIN(RADIANS(180-$IY143)))*SIN(RADIANS($IY143))))+$IU143)&lt;(((Settings!$C$19+$IF$8)/2)*-1),"Gage",""),"")</f>
        <v/>
      </c>
      <c r="IG143" s="788" t="str">
        <f t="shared" si="226"/>
        <v/>
      </c>
      <c r="IH143" s="674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677" t="str" cm="1">
        <f t="array" ref="II143">IFERROR(IF($IH143&lt;1,$IH143+LARGE((IF($M$9:$M$150="",0,$M$9:$M$150)-MOD(IF($M$9:$M$150="",0,$M$9:$M$150),1)),1),$IH143),"")</f>
        <v/>
      </c>
      <c r="IJ143" s="482" t="str">
        <f t="shared" si="225"/>
        <v/>
      </c>
      <c r="IK143" s="482" t="str">
        <f t="shared" si="212"/>
        <v/>
      </c>
      <c r="IL143" s="670" t="str">
        <f t="shared" si="134"/>
        <v/>
      </c>
      <c r="IM143" s="702"/>
      <c r="IN143" s="5" t="str">
        <f t="shared" si="135"/>
        <v/>
      </c>
      <c r="IO143" s="714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670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05" t="str">
        <f t="shared" si="143"/>
        <v/>
      </c>
    </row>
    <row r="144" spans="1:259" ht="15" customHeight="1" x14ac:dyDescent="0.25">
      <c r="A144" s="82"/>
      <c r="B144" s="585" t="str">
        <f t="shared" si="213"/>
        <v/>
      </c>
      <c r="C144" s="582" t="str">
        <f t="shared" si="214"/>
        <v/>
      </c>
      <c r="D144" s="583" t="str">
        <f t="shared" si="215"/>
        <v/>
      </c>
      <c r="E144" s="588" t="str">
        <f t="shared" si="216"/>
        <v/>
      </c>
      <c r="F144" s="582" t="str">
        <f t="shared" si="217"/>
        <v/>
      </c>
      <c r="G144" s="586" t="str">
        <f t="shared" si="218"/>
        <v/>
      </c>
      <c r="H144" s="588" t="str">
        <f t="shared" si="222"/>
        <v/>
      </c>
      <c r="I144" s="490"/>
      <c r="J144" s="491" t="str">
        <v/>
      </c>
      <c r="K144" s="807" t="str">
        <f t="shared" si="227"/>
        <v/>
      </c>
      <c r="M144" s="492" t="str">
        <f t="shared" si="182"/>
        <v/>
      </c>
      <c r="N144" s="581" t="str">
        <f t="shared" si="183"/>
        <v/>
      </c>
      <c r="O144" s="582" t="str">
        <f t="shared" si="184"/>
        <v/>
      </c>
      <c r="P144" s="583" t="str">
        <f t="shared" si="185"/>
        <v/>
      </c>
      <c r="Q144" s="536" t="str">
        <f t="shared" si="186"/>
        <v/>
      </c>
      <c r="R144" s="582" t="str">
        <f t="shared" si="187"/>
        <v/>
      </c>
      <c r="S144" s="584" t="str">
        <f t="shared" si="188"/>
        <v/>
      </c>
      <c r="T144" s="585" t="str">
        <f t="shared" si="189"/>
        <v/>
      </c>
      <c r="U144" s="582" t="str">
        <f t="shared" si="190"/>
        <v/>
      </c>
      <c r="V144" s="586" t="str">
        <f t="shared" si="191"/>
        <v/>
      </c>
      <c r="W144" s="536" t="str">
        <f t="shared" si="192"/>
        <v/>
      </c>
      <c r="X144" s="582" t="str">
        <f t="shared" si="193"/>
        <v/>
      </c>
      <c r="Y144" s="587" t="str">
        <f t="shared" si="219"/>
        <v/>
      </c>
      <c r="Z144" s="581" t="str">
        <f t="shared" si="194"/>
        <v/>
      </c>
      <c r="AA144" s="582" t="str">
        <f t="shared" si="195"/>
        <v/>
      </c>
      <c r="AB144" s="582" t="str">
        <f t="shared" si="196"/>
        <v/>
      </c>
      <c r="AC144" s="586" t="str">
        <f t="shared" si="197"/>
        <v/>
      </c>
      <c r="AD144" s="588" t="str">
        <f t="shared" si="198"/>
        <v/>
      </c>
      <c r="AE144" s="582" t="str">
        <f t="shared" si="199"/>
        <v/>
      </c>
      <c r="AF144" s="583" t="str">
        <f t="shared" si="200"/>
        <v/>
      </c>
      <c r="AG144" s="547" t="str">
        <f t="shared" si="201"/>
        <v/>
      </c>
      <c r="AH144" s="548" t="str">
        <f t="shared" si="202"/>
        <v/>
      </c>
      <c r="AI144" s="536" t="str">
        <f t="shared" si="203"/>
        <v/>
      </c>
      <c r="AJ144" s="537" t="str">
        <f t="shared" si="204"/>
        <v/>
      </c>
      <c r="AK144" s="585" t="str">
        <f t="shared" si="205"/>
        <v/>
      </c>
      <c r="AL144" s="582" t="str">
        <f t="shared" si="206"/>
        <v/>
      </c>
      <c r="AM144" s="584" t="str">
        <f t="shared" si="207"/>
        <v/>
      </c>
      <c r="AN144" s="534" t="str">
        <f t="shared" si="151"/>
        <v/>
      </c>
      <c r="AO144" s="535" t="str">
        <f t="shared" si="181"/>
        <v/>
      </c>
      <c r="AP144" s="536" t="str">
        <f t="shared" si="208"/>
        <v/>
      </c>
      <c r="AQ144" s="537" t="str">
        <f t="shared" si="223"/>
        <v/>
      </c>
      <c r="AS144" s="599" t="str">
        <f t="shared" si="209"/>
        <v/>
      </c>
      <c r="AT144" s="603" t="str">
        <f t="shared" si="224"/>
        <v/>
      </c>
      <c r="AU144" s="515" t="str">
        <f t="shared" si="210"/>
        <v/>
      </c>
      <c r="AV144" s="492" t="str">
        <f t="shared" si="211"/>
        <v/>
      </c>
      <c r="AW144" s="547" t="str">
        <f>IF($M144="","",W144-INDEX(Assy.Model!$W$9:$W$150,MATCH('SN#.Run#'!$M144,Assy.Model!$M$9:$M$150,0)))</f>
        <v/>
      </c>
      <c r="AX144" s="630" t="str">
        <f>IF($M144="","",X144-INDEX(Assy.Model!$X$9:$X$150,MATCH('SN#.Run#'!$M144,Assy.Model!$M$9:$M$150,0)))</f>
        <v/>
      </c>
      <c r="AY144" s="631" t="str">
        <f>IF($M144="","",Y144-INDEX(Assy.Model!$Y$9:$Y$150,MATCH('SN#.Run#'!$M144,Assy.Model!$M$9:$M$150,0)))</f>
        <v/>
      </c>
      <c r="AZ144" s="603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11" t="str">
        <f>IF($M144="","",AN144-INDEX(Assy.Model!$AN$9:$AN$150,MATCH('SN#.Run#'!$M144,Assy.Model!$M$9:$M$150,0)))</f>
        <v/>
      </c>
      <c r="BB144" s="535" t="str">
        <f>IF($M144="","",AO144-INDEX(Assy.Model!$AO$9:$AO$150,MATCH('SN#.Run#'!$M144,Assy.Model!$M$9:$M$150,0)))</f>
        <v/>
      </c>
      <c r="BC144" s="620" t="str">
        <f>IF($M144="","",AP144-INDEX(Assy.Model!$AP$9:$AP$150,MATCH('SN#.Run#'!$M144,Assy.Model!$M$9:$M$150,0)))</f>
        <v/>
      </c>
      <c r="BD144" s="419"/>
      <c r="BE144" s="699"/>
      <c r="BF144" s="417"/>
      <c r="BG144" s="417"/>
      <c r="BH144" s="417"/>
      <c r="IE144" s="790" t="str">
        <f>IFERROR(IF($IU144="","",IF($IU144&lt;(((Settings!$C$19/2)*-1)*$IE$8),"Taper","Nose")),"")</f>
        <v/>
      </c>
      <c r="IF144" s="482" t="str">
        <f>IFERROR(IF((((($IW144*COS(RADIANS(180-$IY144)))*COS(RADIANS($IY144)))-(($IX144*SIN(RADIANS(180-$IY144)))*SIN(RADIANS($IY144))))+$IU144)&lt;(((Settings!$C$19+$IF$8)/2)*-1),"Gage",""),"")</f>
        <v/>
      </c>
      <c r="IG144" s="788" t="str">
        <f t="shared" si="226"/>
        <v/>
      </c>
      <c r="IH144" s="674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677" t="str" cm="1">
        <f t="array" ref="II144">IFERROR(IF($IH144&lt;1,$IH144+LARGE((IF($M$9:$M$150="",0,$M$9:$M$150)-MOD(IF($M$9:$M$150="",0,$M$9:$M$150),1)),1),$IH144),"")</f>
        <v/>
      </c>
      <c r="IJ144" s="482" t="str">
        <f t="shared" si="225"/>
        <v/>
      </c>
      <c r="IK144" s="482" t="str">
        <f t="shared" si="212"/>
        <v/>
      </c>
      <c r="IL144" s="670" t="str">
        <f t="shared" si="134"/>
        <v/>
      </c>
      <c r="IM144" s="702"/>
      <c r="IN144" s="5" t="str">
        <f t="shared" si="135"/>
        <v/>
      </c>
      <c r="IO144" s="714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670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05" t="str">
        <f t="shared" si="143"/>
        <v/>
      </c>
    </row>
    <row r="145" spans="1:259" ht="15" customHeight="1" x14ac:dyDescent="0.25">
      <c r="A145" s="82"/>
      <c r="B145" s="585" t="str">
        <f t="shared" si="213"/>
        <v/>
      </c>
      <c r="C145" s="582" t="str">
        <f t="shared" si="214"/>
        <v/>
      </c>
      <c r="D145" s="583" t="str">
        <f t="shared" si="215"/>
        <v/>
      </c>
      <c r="E145" s="588" t="str">
        <f t="shared" si="216"/>
        <v/>
      </c>
      <c r="F145" s="582" t="str">
        <f t="shared" si="217"/>
        <v/>
      </c>
      <c r="G145" s="586" t="str">
        <f t="shared" si="218"/>
        <v/>
      </c>
      <c r="H145" s="588" t="str">
        <f t="shared" si="222"/>
        <v/>
      </c>
      <c r="I145" s="490"/>
      <c r="J145" s="491" t="str">
        <v/>
      </c>
      <c r="K145" s="807" t="str">
        <f t="shared" si="227"/>
        <v/>
      </c>
      <c r="M145" s="492" t="str">
        <f t="shared" si="182"/>
        <v/>
      </c>
      <c r="N145" s="581" t="str">
        <f t="shared" si="183"/>
        <v/>
      </c>
      <c r="O145" s="582" t="str">
        <f t="shared" si="184"/>
        <v/>
      </c>
      <c r="P145" s="583" t="str">
        <f t="shared" si="185"/>
        <v/>
      </c>
      <c r="Q145" s="536" t="str">
        <f t="shared" si="186"/>
        <v/>
      </c>
      <c r="R145" s="582" t="str">
        <f t="shared" si="187"/>
        <v/>
      </c>
      <c r="S145" s="584" t="str">
        <f t="shared" si="188"/>
        <v/>
      </c>
      <c r="T145" s="585" t="str">
        <f t="shared" si="189"/>
        <v/>
      </c>
      <c r="U145" s="582" t="str">
        <f t="shared" si="190"/>
        <v/>
      </c>
      <c r="V145" s="586" t="str">
        <f t="shared" si="191"/>
        <v/>
      </c>
      <c r="W145" s="536" t="str">
        <f t="shared" si="192"/>
        <v/>
      </c>
      <c r="X145" s="582" t="str">
        <f t="shared" si="193"/>
        <v/>
      </c>
      <c r="Y145" s="587" t="str">
        <f t="shared" si="219"/>
        <v/>
      </c>
      <c r="Z145" s="581" t="str">
        <f t="shared" si="194"/>
        <v/>
      </c>
      <c r="AA145" s="582" t="str">
        <f t="shared" si="195"/>
        <v/>
      </c>
      <c r="AB145" s="582" t="str">
        <f t="shared" si="196"/>
        <v/>
      </c>
      <c r="AC145" s="586" t="str">
        <f t="shared" si="197"/>
        <v/>
      </c>
      <c r="AD145" s="588" t="str">
        <f t="shared" si="198"/>
        <v/>
      </c>
      <c r="AE145" s="582" t="str">
        <f t="shared" si="199"/>
        <v/>
      </c>
      <c r="AF145" s="583" t="str">
        <f t="shared" si="200"/>
        <v/>
      </c>
      <c r="AG145" s="547" t="str">
        <f t="shared" si="201"/>
        <v/>
      </c>
      <c r="AH145" s="548" t="str">
        <f t="shared" si="202"/>
        <v/>
      </c>
      <c r="AI145" s="536" t="str">
        <f t="shared" si="203"/>
        <v/>
      </c>
      <c r="AJ145" s="537" t="str">
        <f t="shared" si="204"/>
        <v/>
      </c>
      <c r="AK145" s="585" t="str">
        <f t="shared" si="205"/>
        <v/>
      </c>
      <c r="AL145" s="582" t="str">
        <f t="shared" si="206"/>
        <v/>
      </c>
      <c r="AM145" s="584" t="str">
        <f t="shared" si="207"/>
        <v/>
      </c>
      <c r="AN145" s="534" t="str">
        <f t="shared" si="151"/>
        <v/>
      </c>
      <c r="AO145" s="535" t="str">
        <f t="shared" si="181"/>
        <v/>
      </c>
      <c r="AP145" s="536" t="str">
        <f t="shared" si="208"/>
        <v/>
      </c>
      <c r="AQ145" s="537" t="str">
        <f t="shared" si="223"/>
        <v/>
      </c>
      <c r="AS145" s="599" t="str">
        <f t="shared" si="209"/>
        <v/>
      </c>
      <c r="AT145" s="603" t="str">
        <f t="shared" si="224"/>
        <v/>
      </c>
      <c r="AU145" s="515" t="str">
        <f t="shared" si="210"/>
        <v/>
      </c>
      <c r="AV145" s="492" t="str">
        <f t="shared" si="211"/>
        <v/>
      </c>
      <c r="AW145" s="547" t="str">
        <f>IF($M145="","",W145-INDEX(Assy.Model!$W$9:$W$150,MATCH('SN#.Run#'!$M145,Assy.Model!$M$9:$M$150,0)))</f>
        <v/>
      </c>
      <c r="AX145" s="630" t="str">
        <f>IF($M145="","",X145-INDEX(Assy.Model!$X$9:$X$150,MATCH('SN#.Run#'!$M145,Assy.Model!$M$9:$M$150,0)))</f>
        <v/>
      </c>
      <c r="AY145" s="631" t="str">
        <f>IF($M145="","",Y145-INDEX(Assy.Model!$Y$9:$Y$150,MATCH('SN#.Run#'!$M145,Assy.Model!$M$9:$M$150,0)))</f>
        <v/>
      </c>
      <c r="AZ145" s="603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11" t="str">
        <f>IF($M145="","",AN145-INDEX(Assy.Model!$AN$9:$AN$150,MATCH('SN#.Run#'!$M145,Assy.Model!$M$9:$M$150,0)))</f>
        <v/>
      </c>
      <c r="BB145" s="535" t="str">
        <f>IF($M145="","",AO145-INDEX(Assy.Model!$AO$9:$AO$150,MATCH('SN#.Run#'!$M145,Assy.Model!$M$9:$M$150,0)))</f>
        <v/>
      </c>
      <c r="BC145" s="620" t="str">
        <f>IF($M145="","",AP145-INDEX(Assy.Model!$AP$9:$AP$150,MATCH('SN#.Run#'!$M145,Assy.Model!$M$9:$M$150,0)))</f>
        <v/>
      </c>
      <c r="BD145" s="419"/>
      <c r="BE145" s="699"/>
      <c r="BF145" s="417"/>
      <c r="BG145" s="417"/>
      <c r="BH145" s="417"/>
      <c r="IE145" s="790" t="str">
        <f>IFERROR(IF($IU145="","",IF($IU145&lt;(((Settings!$C$19/2)*-1)*$IE$8),"Taper","Nose")),"")</f>
        <v/>
      </c>
      <c r="IF145" s="482" t="str">
        <f>IFERROR(IF((((($IW145*COS(RADIANS(180-$IY145)))*COS(RADIANS($IY145)))-(($IX145*SIN(RADIANS(180-$IY145)))*SIN(RADIANS($IY145))))+$IU145)&lt;(((Settings!$C$19+$IF$8)/2)*-1),"Gage",""),"")</f>
        <v/>
      </c>
      <c r="IG145" s="788" t="str">
        <f t="shared" si="226"/>
        <v/>
      </c>
      <c r="IH145" s="674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677" t="str" cm="1">
        <f t="array" ref="II145">IFERROR(IF($IH145&lt;1,$IH145+LARGE((IF($M$9:$M$150="",0,$M$9:$M$150)-MOD(IF($M$9:$M$150="",0,$M$9:$M$150),1)),1),$IH145),"")</f>
        <v/>
      </c>
      <c r="IJ145" s="482" t="str">
        <f t="shared" si="225"/>
        <v/>
      </c>
      <c r="IK145" s="482" t="str">
        <f t="shared" si="212"/>
        <v/>
      </c>
      <c r="IL145" s="670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02"/>
      <c r="IN145" s="5" t="str">
        <f t="shared" ref="IN145:IN150" si="229">IF(ISNUMBER($II145),(($IO145*12)/60)/$AS$3,"")</f>
        <v/>
      </c>
      <c r="IO145" s="714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670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05" t="str">
        <f t="shared" ref="IY145:IY150" si="237">IF(ISNUMBER($II145),(-1*$AN145),"")</f>
        <v/>
      </c>
    </row>
    <row r="146" spans="1:259" ht="15" customHeight="1" x14ac:dyDescent="0.25">
      <c r="A146" s="82"/>
      <c r="B146" s="585" t="str">
        <f t="shared" si="213"/>
        <v/>
      </c>
      <c r="C146" s="582" t="str">
        <f t="shared" si="214"/>
        <v/>
      </c>
      <c r="D146" s="583" t="str">
        <f t="shared" si="215"/>
        <v/>
      </c>
      <c r="E146" s="588" t="str">
        <f t="shared" si="216"/>
        <v/>
      </c>
      <c r="F146" s="582" t="str">
        <f t="shared" si="217"/>
        <v/>
      </c>
      <c r="G146" s="586" t="str">
        <f t="shared" si="218"/>
        <v/>
      </c>
      <c r="H146" s="588" t="str">
        <f t="shared" si="222"/>
        <v/>
      </c>
      <c r="I146" s="490"/>
      <c r="J146" s="491" t="str">
        <v/>
      </c>
      <c r="K146" s="807" t="str">
        <f t="shared" si="227"/>
        <v/>
      </c>
      <c r="M146" s="492" t="str">
        <f t="shared" si="182"/>
        <v/>
      </c>
      <c r="N146" s="581" t="str">
        <f t="shared" si="183"/>
        <v/>
      </c>
      <c r="O146" s="582" t="str">
        <f t="shared" si="184"/>
        <v/>
      </c>
      <c r="P146" s="583" t="str">
        <f t="shared" si="185"/>
        <v/>
      </c>
      <c r="Q146" s="536" t="str">
        <f t="shared" si="186"/>
        <v/>
      </c>
      <c r="R146" s="582" t="str">
        <f t="shared" si="187"/>
        <v/>
      </c>
      <c r="S146" s="584" t="str">
        <f t="shared" si="188"/>
        <v/>
      </c>
      <c r="T146" s="585" t="str">
        <f t="shared" si="189"/>
        <v/>
      </c>
      <c r="U146" s="582" t="str">
        <f t="shared" si="190"/>
        <v/>
      </c>
      <c r="V146" s="586" t="str">
        <f t="shared" si="191"/>
        <v/>
      </c>
      <c r="W146" s="536" t="str">
        <f t="shared" si="192"/>
        <v/>
      </c>
      <c r="X146" s="582" t="str">
        <f t="shared" si="193"/>
        <v/>
      </c>
      <c r="Y146" s="587" t="str">
        <f t="shared" si="219"/>
        <v/>
      </c>
      <c r="Z146" s="581" t="str">
        <f t="shared" si="194"/>
        <v/>
      </c>
      <c r="AA146" s="582" t="str">
        <f t="shared" si="195"/>
        <v/>
      </c>
      <c r="AB146" s="582" t="str">
        <f t="shared" si="196"/>
        <v/>
      </c>
      <c r="AC146" s="586" t="str">
        <f t="shared" si="197"/>
        <v/>
      </c>
      <c r="AD146" s="588" t="str">
        <f t="shared" si="198"/>
        <v/>
      </c>
      <c r="AE146" s="582" t="str">
        <f t="shared" si="199"/>
        <v/>
      </c>
      <c r="AF146" s="583" t="str">
        <f t="shared" si="200"/>
        <v/>
      </c>
      <c r="AG146" s="547" t="str">
        <f t="shared" si="201"/>
        <v/>
      </c>
      <c r="AH146" s="548" t="str">
        <f t="shared" si="202"/>
        <v/>
      </c>
      <c r="AI146" s="536" t="str">
        <f t="shared" si="203"/>
        <v/>
      </c>
      <c r="AJ146" s="537" t="str">
        <f t="shared" si="204"/>
        <v/>
      </c>
      <c r="AK146" s="585" t="str">
        <f t="shared" si="205"/>
        <v/>
      </c>
      <c r="AL146" s="582" t="str">
        <f t="shared" si="206"/>
        <v/>
      </c>
      <c r="AM146" s="584" t="str">
        <f t="shared" si="207"/>
        <v/>
      </c>
      <c r="AN146" s="534" t="str">
        <f t="shared" si="151"/>
        <v/>
      </c>
      <c r="AO146" s="535" t="str">
        <f t="shared" si="181"/>
        <v/>
      </c>
      <c r="AP146" s="536" t="str">
        <f t="shared" si="208"/>
        <v/>
      </c>
      <c r="AQ146" s="537" t="str">
        <f t="shared" si="223"/>
        <v/>
      </c>
      <c r="AS146" s="599" t="str">
        <f t="shared" si="209"/>
        <v/>
      </c>
      <c r="AT146" s="603" t="str">
        <f t="shared" si="224"/>
        <v/>
      </c>
      <c r="AU146" s="515" t="str">
        <f t="shared" si="210"/>
        <v/>
      </c>
      <c r="AV146" s="492" t="str">
        <f t="shared" si="211"/>
        <v/>
      </c>
      <c r="AW146" s="547" t="str">
        <f>IF($M146="","",W146-INDEX(Assy.Model!$W$9:$W$150,MATCH('SN#.Run#'!$M146,Assy.Model!$M$9:$M$150,0)))</f>
        <v/>
      </c>
      <c r="AX146" s="630" t="str">
        <f>IF($M146="","",X146-INDEX(Assy.Model!$X$9:$X$150,MATCH('SN#.Run#'!$M146,Assy.Model!$M$9:$M$150,0)))</f>
        <v/>
      </c>
      <c r="AY146" s="631" t="str">
        <f>IF($M146="","",Y146-INDEX(Assy.Model!$Y$9:$Y$150,MATCH('SN#.Run#'!$M146,Assy.Model!$M$9:$M$150,0)))</f>
        <v/>
      </c>
      <c r="AZ146" s="603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11" t="str">
        <f>IF($M146="","",AN146-INDEX(Assy.Model!$AN$9:$AN$150,MATCH('SN#.Run#'!$M146,Assy.Model!$M$9:$M$150,0)))</f>
        <v/>
      </c>
      <c r="BB146" s="535" t="str">
        <f>IF($M146="","",AO146-INDEX(Assy.Model!$AO$9:$AO$150,MATCH('SN#.Run#'!$M146,Assy.Model!$M$9:$M$150,0)))</f>
        <v/>
      </c>
      <c r="BC146" s="620" t="str">
        <f>IF($M146="","",AP146-INDEX(Assy.Model!$AP$9:$AP$150,MATCH('SN#.Run#'!$M146,Assy.Model!$M$9:$M$150,0)))</f>
        <v/>
      </c>
      <c r="BD146" s="419"/>
      <c r="BE146" s="699"/>
      <c r="BF146" s="417"/>
      <c r="BG146" s="417"/>
      <c r="BH146" s="417"/>
      <c r="IE146" s="790" t="str">
        <f>IFERROR(IF($IU146="","",IF($IU146&lt;(((Settings!$C$19/2)*-1)*$IE$8),"Taper","Nose")),"")</f>
        <v/>
      </c>
      <c r="IF146" s="482" t="str">
        <f>IFERROR(IF((((($IW146*COS(RADIANS(180-$IY146)))*COS(RADIANS($IY146)))-(($IX146*SIN(RADIANS(180-$IY146)))*SIN(RADIANS($IY146))))+$IU146)&lt;(((Settings!$C$19+$IF$8)/2)*-1),"Gage",""),"")</f>
        <v/>
      </c>
      <c r="IG146" s="788" t="str">
        <f t="shared" si="226"/>
        <v/>
      </c>
      <c r="IH146" s="674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677" t="str" cm="1">
        <f t="array" ref="II146">IFERROR(IF($IH146&lt;1,$IH146+LARGE((IF($M$9:$M$150="",0,$M$9:$M$150)-MOD(IF($M$9:$M$150="",0,$M$9:$M$150),1)),1),$IH146),"")</f>
        <v/>
      </c>
      <c r="IJ146" s="482" t="str">
        <f t="shared" si="225"/>
        <v/>
      </c>
      <c r="IK146" s="482" t="str">
        <f t="shared" si="212"/>
        <v/>
      </c>
      <c r="IL146" s="670" t="str">
        <f t="shared" si="228"/>
        <v/>
      </c>
      <c r="IM146" s="702"/>
      <c r="IN146" s="5" t="str">
        <f t="shared" si="229"/>
        <v/>
      </c>
      <c r="IO146" s="714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670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05" t="str">
        <f t="shared" si="237"/>
        <v/>
      </c>
    </row>
    <row r="147" spans="1:259" ht="15" customHeight="1" x14ac:dyDescent="0.25">
      <c r="A147" s="82"/>
      <c r="B147" s="585" t="str">
        <f t="shared" si="213"/>
        <v/>
      </c>
      <c r="C147" s="582" t="str">
        <f t="shared" si="214"/>
        <v/>
      </c>
      <c r="D147" s="583" t="str">
        <f t="shared" si="215"/>
        <v/>
      </c>
      <c r="E147" s="588" t="str">
        <f t="shared" si="216"/>
        <v/>
      </c>
      <c r="F147" s="582" t="str">
        <f t="shared" si="217"/>
        <v/>
      </c>
      <c r="G147" s="586" t="str">
        <f t="shared" si="218"/>
        <v/>
      </c>
      <c r="H147" s="588" t="str">
        <f t="shared" si="222"/>
        <v/>
      </c>
      <c r="I147" s="490"/>
      <c r="J147" s="491" t="str">
        <v/>
      </c>
      <c r="K147" s="807" t="str">
        <f t="shared" si="227"/>
        <v/>
      </c>
      <c r="M147" s="492" t="str">
        <f t="shared" si="182"/>
        <v/>
      </c>
      <c r="N147" s="581" t="str">
        <f t="shared" si="183"/>
        <v/>
      </c>
      <c r="O147" s="582" t="str">
        <f t="shared" si="184"/>
        <v/>
      </c>
      <c r="P147" s="583" t="str">
        <f t="shared" si="185"/>
        <v/>
      </c>
      <c r="Q147" s="536" t="str">
        <f t="shared" si="186"/>
        <v/>
      </c>
      <c r="R147" s="582" t="str">
        <f t="shared" si="187"/>
        <v/>
      </c>
      <c r="S147" s="584" t="str">
        <f t="shared" si="188"/>
        <v/>
      </c>
      <c r="T147" s="585" t="str">
        <f t="shared" si="189"/>
        <v/>
      </c>
      <c r="U147" s="582" t="str">
        <f t="shared" si="190"/>
        <v/>
      </c>
      <c r="V147" s="586" t="str">
        <f t="shared" si="191"/>
        <v/>
      </c>
      <c r="W147" s="536" t="str">
        <f t="shared" si="192"/>
        <v/>
      </c>
      <c r="X147" s="582" t="str">
        <f t="shared" si="193"/>
        <v/>
      </c>
      <c r="Y147" s="587" t="str">
        <f t="shared" si="219"/>
        <v/>
      </c>
      <c r="Z147" s="581" t="str">
        <f t="shared" si="194"/>
        <v/>
      </c>
      <c r="AA147" s="582" t="str">
        <f t="shared" si="195"/>
        <v/>
      </c>
      <c r="AB147" s="582" t="str">
        <f t="shared" si="196"/>
        <v/>
      </c>
      <c r="AC147" s="586" t="str">
        <f t="shared" si="197"/>
        <v/>
      </c>
      <c r="AD147" s="588" t="str">
        <f t="shared" si="198"/>
        <v/>
      </c>
      <c r="AE147" s="582" t="str">
        <f t="shared" si="199"/>
        <v/>
      </c>
      <c r="AF147" s="583" t="str">
        <f t="shared" si="200"/>
        <v/>
      </c>
      <c r="AG147" s="547" t="str">
        <f t="shared" si="201"/>
        <v/>
      </c>
      <c r="AH147" s="548" t="str">
        <f t="shared" si="202"/>
        <v/>
      </c>
      <c r="AI147" s="536" t="str">
        <f t="shared" si="203"/>
        <v/>
      </c>
      <c r="AJ147" s="537" t="str">
        <f t="shared" si="204"/>
        <v/>
      </c>
      <c r="AK147" s="585" t="str">
        <f t="shared" si="205"/>
        <v/>
      </c>
      <c r="AL147" s="582" t="str">
        <f t="shared" si="206"/>
        <v/>
      </c>
      <c r="AM147" s="584" t="str">
        <f t="shared" si="207"/>
        <v/>
      </c>
      <c r="AN147" s="534" t="str">
        <f t="shared" si="151"/>
        <v/>
      </c>
      <c r="AO147" s="535" t="str">
        <f t="shared" si="181"/>
        <v/>
      </c>
      <c r="AP147" s="536" t="str">
        <f t="shared" si="208"/>
        <v/>
      </c>
      <c r="AQ147" s="537" t="str">
        <f t="shared" si="223"/>
        <v/>
      </c>
      <c r="AS147" s="599" t="str">
        <f t="shared" si="209"/>
        <v/>
      </c>
      <c r="AT147" s="603" t="str">
        <f t="shared" si="224"/>
        <v/>
      </c>
      <c r="AU147" s="515" t="str">
        <f t="shared" si="210"/>
        <v/>
      </c>
      <c r="AV147" s="492" t="str">
        <f t="shared" si="211"/>
        <v/>
      </c>
      <c r="AW147" s="547" t="str">
        <f>IF($M147="","",W147-INDEX(Assy.Model!$W$9:$W$150,MATCH('SN#.Run#'!$M147,Assy.Model!$M$9:$M$150,0)))</f>
        <v/>
      </c>
      <c r="AX147" s="630" t="str">
        <f>IF($M147="","",X147-INDEX(Assy.Model!$X$9:$X$150,MATCH('SN#.Run#'!$M147,Assy.Model!$M$9:$M$150,0)))</f>
        <v/>
      </c>
      <c r="AY147" s="631" t="str">
        <f>IF($M147="","",Y147-INDEX(Assy.Model!$Y$9:$Y$150,MATCH('SN#.Run#'!$M147,Assy.Model!$M$9:$M$150,0)))</f>
        <v/>
      </c>
      <c r="AZ147" s="603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11" t="str">
        <f>IF($M147="","",AN147-INDEX(Assy.Model!$AN$9:$AN$150,MATCH('SN#.Run#'!$M147,Assy.Model!$M$9:$M$150,0)))</f>
        <v/>
      </c>
      <c r="BB147" s="535" t="str">
        <f>IF($M147="","",AO147-INDEX(Assy.Model!$AO$9:$AO$150,MATCH('SN#.Run#'!$M147,Assy.Model!$M$9:$M$150,0)))</f>
        <v/>
      </c>
      <c r="BC147" s="620" t="str">
        <f>IF($M147="","",AP147-INDEX(Assy.Model!$AP$9:$AP$150,MATCH('SN#.Run#'!$M147,Assy.Model!$M$9:$M$150,0)))</f>
        <v/>
      </c>
      <c r="BD147" s="419"/>
      <c r="BE147" s="699"/>
      <c r="BF147" s="417"/>
      <c r="BG147" s="417"/>
      <c r="BH147" s="417"/>
      <c r="IE147" s="790" t="str">
        <f>IFERROR(IF($IU147="","",IF($IU147&lt;(((Settings!$C$19/2)*-1)*$IE$8),"Taper","Nose")),"")</f>
        <v/>
      </c>
      <c r="IF147" s="482" t="str">
        <f>IFERROR(IF((((($IW147*COS(RADIANS(180-$IY147)))*COS(RADIANS($IY147)))-(($IX147*SIN(RADIANS(180-$IY147)))*SIN(RADIANS($IY147))))+$IU147)&lt;(((Settings!$C$19+$IF$8)/2)*-1),"Gage",""),"")</f>
        <v/>
      </c>
      <c r="IG147" s="788" t="str">
        <f t="shared" si="226"/>
        <v/>
      </c>
      <c r="IH147" s="674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677" t="str" cm="1">
        <f t="array" ref="II147">IFERROR(IF($IH147&lt;1,$IH147+LARGE((IF($M$9:$M$150="",0,$M$9:$M$150)-MOD(IF($M$9:$M$150="",0,$M$9:$M$150),1)),1),$IH147),"")</f>
        <v/>
      </c>
      <c r="IJ147" s="482" t="str">
        <f t="shared" si="225"/>
        <v/>
      </c>
      <c r="IK147" s="482" t="str">
        <f t="shared" si="212"/>
        <v/>
      </c>
      <c r="IL147" s="670" t="str">
        <f t="shared" si="228"/>
        <v/>
      </c>
      <c r="IM147" s="702"/>
      <c r="IN147" s="5" t="str">
        <f t="shared" si="229"/>
        <v/>
      </c>
      <c r="IO147" s="714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670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05" t="str">
        <f t="shared" si="237"/>
        <v/>
      </c>
    </row>
    <row r="148" spans="1:259" ht="15" customHeight="1" x14ac:dyDescent="0.25">
      <c r="A148" s="82"/>
      <c r="B148" s="585" t="str">
        <f t="shared" si="213"/>
        <v/>
      </c>
      <c r="C148" s="582" t="str">
        <f t="shared" si="214"/>
        <v/>
      </c>
      <c r="D148" s="583" t="str">
        <f t="shared" si="215"/>
        <v/>
      </c>
      <c r="E148" s="588" t="str">
        <f t="shared" si="216"/>
        <v/>
      </c>
      <c r="F148" s="582" t="str">
        <f t="shared" si="217"/>
        <v/>
      </c>
      <c r="G148" s="586" t="str">
        <f t="shared" si="218"/>
        <v/>
      </c>
      <c r="H148" s="588" t="str">
        <f t="shared" si="222"/>
        <v/>
      </c>
      <c r="I148" s="490"/>
      <c r="J148" s="491" t="str">
        <v/>
      </c>
      <c r="K148" s="807" t="str">
        <f t="shared" si="227"/>
        <v/>
      </c>
      <c r="M148" s="492" t="str">
        <f t="shared" si="182"/>
        <v/>
      </c>
      <c r="N148" s="581" t="str">
        <f t="shared" si="183"/>
        <v/>
      </c>
      <c r="O148" s="582" t="str">
        <f t="shared" si="184"/>
        <v/>
      </c>
      <c r="P148" s="583" t="str">
        <f t="shared" si="185"/>
        <v/>
      </c>
      <c r="Q148" s="536" t="str">
        <f t="shared" si="186"/>
        <v/>
      </c>
      <c r="R148" s="582" t="str">
        <f t="shared" si="187"/>
        <v/>
      </c>
      <c r="S148" s="584" t="str">
        <f t="shared" si="188"/>
        <v/>
      </c>
      <c r="T148" s="585" t="str">
        <f t="shared" si="189"/>
        <v/>
      </c>
      <c r="U148" s="582" t="str">
        <f t="shared" si="190"/>
        <v/>
      </c>
      <c r="V148" s="586" t="str">
        <f t="shared" si="191"/>
        <v/>
      </c>
      <c r="W148" s="536" t="str">
        <f t="shared" si="192"/>
        <v/>
      </c>
      <c r="X148" s="582" t="str">
        <f t="shared" si="193"/>
        <v/>
      </c>
      <c r="Y148" s="587" t="str">
        <f t="shared" si="219"/>
        <v/>
      </c>
      <c r="Z148" s="581" t="str">
        <f t="shared" si="194"/>
        <v/>
      </c>
      <c r="AA148" s="582" t="str">
        <f t="shared" si="195"/>
        <v/>
      </c>
      <c r="AB148" s="582" t="str">
        <f t="shared" si="196"/>
        <v/>
      </c>
      <c r="AC148" s="586" t="str">
        <f t="shared" si="197"/>
        <v/>
      </c>
      <c r="AD148" s="588" t="str">
        <f t="shared" si="198"/>
        <v/>
      </c>
      <c r="AE148" s="582" t="str">
        <f t="shared" si="199"/>
        <v/>
      </c>
      <c r="AF148" s="583" t="str">
        <f t="shared" si="200"/>
        <v/>
      </c>
      <c r="AG148" s="547" t="str">
        <f t="shared" si="201"/>
        <v/>
      </c>
      <c r="AH148" s="548" t="str">
        <f t="shared" si="202"/>
        <v/>
      </c>
      <c r="AI148" s="536" t="str">
        <f t="shared" si="203"/>
        <v/>
      </c>
      <c r="AJ148" s="537" t="str">
        <f t="shared" si="204"/>
        <v/>
      </c>
      <c r="AK148" s="585" t="str">
        <f t="shared" si="205"/>
        <v/>
      </c>
      <c r="AL148" s="582" t="str">
        <f t="shared" si="206"/>
        <v/>
      </c>
      <c r="AM148" s="584" t="str">
        <f t="shared" si="207"/>
        <v/>
      </c>
      <c r="AN148" s="534" t="str">
        <f t="shared" si="151"/>
        <v/>
      </c>
      <c r="AO148" s="535" t="str">
        <f t="shared" si="181"/>
        <v/>
      </c>
      <c r="AP148" s="536" t="str">
        <f t="shared" si="208"/>
        <v/>
      </c>
      <c r="AQ148" s="537" t="str">
        <f t="shared" si="223"/>
        <v/>
      </c>
      <c r="AS148" s="599" t="str">
        <f t="shared" si="209"/>
        <v/>
      </c>
      <c r="AT148" s="603" t="str">
        <f t="shared" si="224"/>
        <v/>
      </c>
      <c r="AU148" s="515" t="str">
        <f t="shared" si="210"/>
        <v/>
      </c>
      <c r="AV148" s="492" t="str">
        <f t="shared" si="211"/>
        <v/>
      </c>
      <c r="AW148" s="547" t="str">
        <f>IF($M148="","",W148-INDEX(Assy.Model!$W$9:$W$150,MATCH('SN#.Run#'!$M148,Assy.Model!$M$9:$M$150,0)))</f>
        <v/>
      </c>
      <c r="AX148" s="630" t="str">
        <f>IF($M148="","",X148-INDEX(Assy.Model!$X$9:$X$150,MATCH('SN#.Run#'!$M148,Assy.Model!$M$9:$M$150,0)))</f>
        <v/>
      </c>
      <c r="AY148" s="631" t="str">
        <f>IF($M148="","",Y148-INDEX(Assy.Model!$Y$9:$Y$150,MATCH('SN#.Run#'!$M148,Assy.Model!$M$9:$M$150,0)))</f>
        <v/>
      </c>
      <c r="AZ148" s="603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11" t="str">
        <f>IF($M148="","",AN148-INDEX(Assy.Model!$AN$9:$AN$150,MATCH('SN#.Run#'!$M148,Assy.Model!$M$9:$M$150,0)))</f>
        <v/>
      </c>
      <c r="BB148" s="535" t="str">
        <f>IF($M148="","",AO148-INDEX(Assy.Model!$AO$9:$AO$150,MATCH('SN#.Run#'!$M148,Assy.Model!$M$9:$M$150,0)))</f>
        <v/>
      </c>
      <c r="BC148" s="620" t="str">
        <f>IF($M148="","",AP148-INDEX(Assy.Model!$AP$9:$AP$150,MATCH('SN#.Run#'!$M148,Assy.Model!$M$9:$M$150,0)))</f>
        <v/>
      </c>
      <c r="BD148" s="419"/>
      <c r="BE148" s="699"/>
      <c r="BF148" s="417"/>
      <c r="BG148" s="417"/>
      <c r="BH148" s="417"/>
      <c r="IE148" s="790" t="str">
        <f>IFERROR(IF($IU148="","",IF($IU148&lt;(((Settings!$C$19/2)*-1)*$IE$8),"Taper","Nose")),"")</f>
        <v/>
      </c>
      <c r="IF148" s="482" t="str">
        <f>IFERROR(IF((((($IW148*COS(RADIANS(180-$IY148)))*COS(RADIANS($IY148)))-(($IX148*SIN(RADIANS(180-$IY148)))*SIN(RADIANS($IY148))))+$IU148)&lt;(((Settings!$C$19+$IF$8)/2)*-1),"Gage",""),"")</f>
        <v/>
      </c>
      <c r="IG148" s="788" t="str">
        <f t="shared" si="226"/>
        <v/>
      </c>
      <c r="IH148" s="674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677" t="str" cm="1">
        <f t="array" ref="II148">IFERROR(IF($IH148&lt;1,$IH148+LARGE((IF($M$9:$M$150="",0,$M$9:$M$150)-MOD(IF($M$9:$M$150="",0,$M$9:$M$150),1)),1),$IH148),"")</f>
        <v/>
      </c>
      <c r="IJ148" s="482" t="str">
        <f t="shared" si="225"/>
        <v/>
      </c>
      <c r="IK148" s="482" t="str">
        <f t="shared" si="212"/>
        <v/>
      </c>
      <c r="IL148" s="670" t="str">
        <f t="shared" si="228"/>
        <v/>
      </c>
      <c r="IM148" s="702"/>
      <c r="IN148" s="5" t="str">
        <f t="shared" si="229"/>
        <v/>
      </c>
      <c r="IO148" s="714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670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05" t="str">
        <f t="shared" si="237"/>
        <v/>
      </c>
    </row>
    <row r="149" spans="1:259" ht="15" customHeight="1" x14ac:dyDescent="0.25">
      <c r="A149" s="82"/>
      <c r="B149" s="585" t="str">
        <f t="shared" si="213"/>
        <v/>
      </c>
      <c r="C149" s="582" t="str">
        <f t="shared" si="214"/>
        <v/>
      </c>
      <c r="D149" s="583" t="str">
        <f t="shared" si="215"/>
        <v/>
      </c>
      <c r="E149" s="588" t="str">
        <f t="shared" si="216"/>
        <v/>
      </c>
      <c r="F149" s="582" t="str">
        <f t="shared" si="217"/>
        <v/>
      </c>
      <c r="G149" s="586" t="str">
        <f t="shared" si="218"/>
        <v/>
      </c>
      <c r="H149" s="588" t="str">
        <f t="shared" si="222"/>
        <v/>
      </c>
      <c r="I149" s="490"/>
      <c r="J149" s="491" t="str">
        <v/>
      </c>
      <c r="K149" s="807" t="str">
        <f t="shared" si="227"/>
        <v/>
      </c>
      <c r="M149" s="492" t="str">
        <f t="shared" si="182"/>
        <v/>
      </c>
      <c r="N149" s="581" t="str">
        <f t="shared" si="183"/>
        <v/>
      </c>
      <c r="O149" s="582" t="str">
        <f t="shared" si="184"/>
        <v/>
      </c>
      <c r="P149" s="583" t="str">
        <f t="shared" si="185"/>
        <v/>
      </c>
      <c r="Q149" s="536" t="str">
        <f t="shared" si="186"/>
        <v/>
      </c>
      <c r="R149" s="582" t="str">
        <f t="shared" si="187"/>
        <v/>
      </c>
      <c r="S149" s="584" t="str">
        <f t="shared" si="188"/>
        <v/>
      </c>
      <c r="T149" s="585" t="str">
        <f t="shared" si="189"/>
        <v/>
      </c>
      <c r="U149" s="582" t="str">
        <f t="shared" si="190"/>
        <v/>
      </c>
      <c r="V149" s="586" t="str">
        <f t="shared" si="191"/>
        <v/>
      </c>
      <c r="W149" s="536" t="str">
        <f t="shared" si="192"/>
        <v/>
      </c>
      <c r="X149" s="582" t="str">
        <f t="shared" si="193"/>
        <v/>
      </c>
      <c r="Y149" s="587" t="str">
        <f t="shared" si="219"/>
        <v/>
      </c>
      <c r="Z149" s="581" t="str">
        <f t="shared" si="194"/>
        <v/>
      </c>
      <c r="AA149" s="582" t="str">
        <f t="shared" si="195"/>
        <v/>
      </c>
      <c r="AB149" s="582" t="str">
        <f t="shared" si="196"/>
        <v/>
      </c>
      <c r="AC149" s="586" t="str">
        <f t="shared" si="197"/>
        <v/>
      </c>
      <c r="AD149" s="588" t="str">
        <f t="shared" si="198"/>
        <v/>
      </c>
      <c r="AE149" s="582" t="str">
        <f t="shared" si="199"/>
        <v/>
      </c>
      <c r="AF149" s="583" t="str">
        <f t="shared" si="200"/>
        <v/>
      </c>
      <c r="AG149" s="547" t="str">
        <f t="shared" si="201"/>
        <v/>
      </c>
      <c r="AH149" s="548" t="str">
        <f t="shared" si="202"/>
        <v/>
      </c>
      <c r="AI149" s="536" t="str">
        <f t="shared" si="203"/>
        <v/>
      </c>
      <c r="AJ149" s="537" t="str">
        <f t="shared" si="204"/>
        <v/>
      </c>
      <c r="AK149" s="585" t="str">
        <f t="shared" si="205"/>
        <v/>
      </c>
      <c r="AL149" s="582" t="str">
        <f t="shared" si="206"/>
        <v/>
      </c>
      <c r="AM149" s="584" t="str">
        <f t="shared" si="207"/>
        <v/>
      </c>
      <c r="AN149" s="534" t="str">
        <f t="shared" si="151"/>
        <v/>
      </c>
      <c r="AO149" s="535" t="str">
        <f t="shared" si="181"/>
        <v/>
      </c>
      <c r="AP149" s="536" t="str">
        <f t="shared" si="208"/>
        <v/>
      </c>
      <c r="AQ149" s="537" t="str">
        <f t="shared" si="223"/>
        <v/>
      </c>
      <c r="AS149" s="599" t="str">
        <f t="shared" si="209"/>
        <v/>
      </c>
      <c r="AT149" s="603" t="str">
        <f t="shared" si="224"/>
        <v/>
      </c>
      <c r="AU149" s="515" t="str">
        <f t="shared" si="210"/>
        <v/>
      </c>
      <c r="AV149" s="492" t="str">
        <f t="shared" si="211"/>
        <v/>
      </c>
      <c r="AW149" s="547" t="str">
        <f>IF($M149="","",W149-INDEX(Assy.Model!$W$9:$W$150,MATCH('SN#.Run#'!$M149,Assy.Model!$M$9:$M$150,0)))</f>
        <v/>
      </c>
      <c r="AX149" s="630" t="str">
        <f>IF($M149="","",X149-INDEX(Assy.Model!$X$9:$X$150,MATCH('SN#.Run#'!$M149,Assy.Model!$M$9:$M$150,0)))</f>
        <v/>
      </c>
      <c r="AY149" s="631" t="str">
        <f>IF($M149="","",Y149-INDEX(Assy.Model!$Y$9:$Y$150,MATCH('SN#.Run#'!$M149,Assy.Model!$M$9:$M$150,0)))</f>
        <v/>
      </c>
      <c r="AZ149" s="603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11" t="str">
        <f>IF($M149="","",AN149-INDEX(Assy.Model!$AN$9:$AN$150,MATCH('SN#.Run#'!$M149,Assy.Model!$M$9:$M$150,0)))</f>
        <v/>
      </c>
      <c r="BB149" s="535" t="str">
        <f>IF($M149="","",AO149-INDEX(Assy.Model!$AO$9:$AO$150,MATCH('SN#.Run#'!$M149,Assy.Model!$M$9:$M$150,0)))</f>
        <v/>
      </c>
      <c r="BC149" s="620" t="str">
        <f>IF($M149="","",AP149-INDEX(Assy.Model!$AP$9:$AP$150,MATCH('SN#.Run#'!$M149,Assy.Model!$M$9:$M$150,0)))</f>
        <v/>
      </c>
      <c r="BD149" s="419"/>
      <c r="BE149" s="699"/>
      <c r="BF149" s="417"/>
      <c r="BG149" s="417"/>
      <c r="BH149" s="417"/>
      <c r="IE149" s="790" t="str">
        <f>IFERROR(IF($IU149="","",IF($IU149&lt;(((Settings!$C$19/2)*-1)*$IE$8),"Taper","Nose")),"")</f>
        <v/>
      </c>
      <c r="IF149" s="482" t="str">
        <f>IFERROR(IF((((($IW149*COS(RADIANS(180-$IY149)))*COS(RADIANS($IY149)))-(($IX149*SIN(RADIANS(180-$IY149)))*SIN(RADIANS($IY149))))+$IU149)&lt;(((Settings!$C$19+$IF$8)/2)*-1),"Gage",""),"")</f>
        <v/>
      </c>
      <c r="IG149" s="788" t="str">
        <f t="shared" si="226"/>
        <v/>
      </c>
      <c r="IH149" s="674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677" t="str" cm="1">
        <f t="array" ref="II149">IFERROR(IF($IH149&lt;1,$IH149+LARGE((IF($M$9:$M$150="",0,$M$9:$M$150)-MOD(IF($M$9:$M$150="",0,$M$9:$M$150),1)),1),$IH149),"")</f>
        <v/>
      </c>
      <c r="IJ149" s="482" t="str">
        <f t="shared" si="225"/>
        <v/>
      </c>
      <c r="IK149" s="482" t="str">
        <f t="shared" si="212"/>
        <v/>
      </c>
      <c r="IL149" s="670" t="str">
        <f t="shared" si="228"/>
        <v/>
      </c>
      <c r="IM149" s="702"/>
      <c r="IN149" s="5" t="str">
        <f t="shared" si="229"/>
        <v/>
      </c>
      <c r="IO149" s="714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670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05" t="str">
        <f t="shared" si="237"/>
        <v/>
      </c>
    </row>
    <row r="150" spans="1:259" ht="15" customHeight="1" thickBot="1" x14ac:dyDescent="0.3">
      <c r="A150" s="82"/>
      <c r="B150" s="593" t="str">
        <f t="shared" si="213"/>
        <v/>
      </c>
      <c r="C150" s="590" t="str">
        <f t="shared" si="214"/>
        <v/>
      </c>
      <c r="D150" s="591" t="str">
        <f t="shared" si="215"/>
        <v/>
      </c>
      <c r="E150" s="596" t="str">
        <f t="shared" si="216"/>
        <v/>
      </c>
      <c r="F150" s="590" t="str">
        <f t="shared" si="217"/>
        <v/>
      </c>
      <c r="G150" s="594" t="str">
        <f t="shared" si="218"/>
        <v/>
      </c>
      <c r="H150" s="596" t="str">
        <f t="shared" si="222"/>
        <v/>
      </c>
      <c r="I150" s="484"/>
      <c r="J150" s="485" t="str">
        <v/>
      </c>
      <c r="K150" s="808" t="str">
        <f t="shared" si="227"/>
        <v/>
      </c>
      <c r="M150" s="165" t="str">
        <f t="shared" si="182"/>
        <v/>
      </c>
      <c r="N150" s="589" t="str">
        <f t="shared" si="183"/>
        <v/>
      </c>
      <c r="O150" s="590" t="str">
        <f t="shared" si="184"/>
        <v/>
      </c>
      <c r="P150" s="591" t="str">
        <f t="shared" si="185"/>
        <v/>
      </c>
      <c r="Q150" s="540" t="str">
        <f t="shared" si="186"/>
        <v/>
      </c>
      <c r="R150" s="590" t="str">
        <f t="shared" si="187"/>
        <v/>
      </c>
      <c r="S150" s="592" t="str">
        <f t="shared" si="188"/>
        <v/>
      </c>
      <c r="T150" s="593" t="str">
        <f t="shared" si="189"/>
        <v/>
      </c>
      <c r="U150" s="590" t="str">
        <f t="shared" si="190"/>
        <v/>
      </c>
      <c r="V150" s="594" t="str">
        <f t="shared" si="191"/>
        <v/>
      </c>
      <c r="W150" s="540" t="str">
        <f t="shared" si="192"/>
        <v/>
      </c>
      <c r="X150" s="590" t="str">
        <f t="shared" si="193"/>
        <v/>
      </c>
      <c r="Y150" s="595" t="str">
        <f t="shared" si="219"/>
        <v/>
      </c>
      <c r="Z150" s="589" t="str">
        <f t="shared" si="194"/>
        <v/>
      </c>
      <c r="AA150" s="590" t="str">
        <f t="shared" si="195"/>
        <v/>
      </c>
      <c r="AB150" s="590" t="str">
        <f t="shared" si="196"/>
        <v/>
      </c>
      <c r="AC150" s="594" t="str">
        <f t="shared" si="197"/>
        <v/>
      </c>
      <c r="AD150" s="596" t="str">
        <f t="shared" si="198"/>
        <v/>
      </c>
      <c r="AE150" s="590" t="str">
        <f t="shared" si="199"/>
        <v/>
      </c>
      <c r="AF150" s="591" t="str">
        <f t="shared" si="200"/>
        <v/>
      </c>
      <c r="AG150" s="549" t="str">
        <f t="shared" si="201"/>
        <v/>
      </c>
      <c r="AH150" s="550" t="str">
        <f t="shared" si="202"/>
        <v/>
      </c>
      <c r="AI150" s="540" t="str">
        <f t="shared" si="203"/>
        <v/>
      </c>
      <c r="AJ150" s="541" t="str">
        <f t="shared" si="204"/>
        <v/>
      </c>
      <c r="AK150" s="593" t="str">
        <f t="shared" si="205"/>
        <v/>
      </c>
      <c r="AL150" s="590" t="str">
        <f t="shared" si="206"/>
        <v/>
      </c>
      <c r="AM150" s="592" t="str">
        <f t="shared" si="207"/>
        <v/>
      </c>
      <c r="AN150" s="538" t="str">
        <f t="shared" si="151"/>
        <v/>
      </c>
      <c r="AO150" s="539" t="str">
        <f t="shared" si="181"/>
        <v/>
      </c>
      <c r="AP150" s="540" t="str">
        <f t="shared" si="208"/>
        <v/>
      </c>
      <c r="AQ150" s="541" t="str">
        <f t="shared" si="223"/>
        <v/>
      </c>
      <c r="AS150" s="600" t="str">
        <f t="shared" si="209"/>
        <v/>
      </c>
      <c r="AT150" s="604" t="str">
        <f t="shared" si="224"/>
        <v/>
      </c>
      <c r="AU150" s="515" t="str">
        <f t="shared" si="210"/>
        <v/>
      </c>
      <c r="AV150" s="165" t="str">
        <f t="shared" si="211"/>
        <v/>
      </c>
      <c r="AW150" s="549" t="str">
        <f>IF($M150="","",W150-INDEX(Assy.Model!$W$9:$W$150,MATCH('SN#.Run#'!$M150,Assy.Model!$M$9:$M$150,0)))</f>
        <v/>
      </c>
      <c r="AX150" s="632" t="str">
        <f>IF($M150="","",X150-INDEX(Assy.Model!$X$9:$X$150,MATCH('SN#.Run#'!$M150,Assy.Model!$M$9:$M$150,0)))</f>
        <v/>
      </c>
      <c r="AY150" s="633" t="str">
        <f>IF($M150="","",Y150-INDEX(Assy.Model!$Y$9:$Y$150,MATCH('SN#.Run#'!$M150,Assy.Model!$M$9:$M$150,0)))</f>
        <v/>
      </c>
      <c r="AZ150" s="604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12" t="str">
        <f>IF($M150="","",AN150-INDEX(Assy.Model!$AN$9:$AN$150,MATCH('SN#.Run#'!$M150,Assy.Model!$M$9:$M$150,0)))</f>
        <v/>
      </c>
      <c r="BB150" s="539" t="str">
        <f>IF($M150="","",AO150-INDEX(Assy.Model!$AO$9:$AO$150,MATCH('SN#.Run#'!$M150,Assy.Model!$M$9:$M$150,0)))</f>
        <v/>
      </c>
      <c r="BC150" s="621" t="str">
        <f>IF($M150="","",AP150-INDEX(Assy.Model!$AP$9:$AP$150,MATCH('SN#.Run#'!$M150,Assy.Model!$M$9:$M$150,0)))</f>
        <v/>
      </c>
      <c r="BD150" s="419"/>
      <c r="BE150" s="699"/>
      <c r="BF150" s="417"/>
      <c r="BG150" s="417"/>
      <c r="BH150" s="417"/>
      <c r="IE150" s="791" t="str">
        <f>IFERROR(IF($IU150="","",IF($IU150&lt;(((Settings!$C$19/2)*-1)*$IE$8),"Taper","Nose")),"")</f>
        <v/>
      </c>
      <c r="IF150" s="782" t="str">
        <f>IFERROR(IF((((($IW150*COS(RADIANS(180-$IY150)))*COS(RADIANS($IY150)))-(($IX150*SIN(RADIANS(180-$IY150)))*SIN(RADIANS($IY150))))+$IU150)&lt;(((Settings!$C$19+$IF$8)/2)*-1),"Gage",""),"")</f>
        <v/>
      </c>
      <c r="IG150" s="789" t="str">
        <f t="shared" si="226"/>
        <v/>
      </c>
      <c r="IH150" s="675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678" t="str" cm="1">
        <f t="array" ref="II150">IFERROR(IF($IH150&lt;1,$IH150+LARGE((IF($M$9:$M$150="",0,$M$9:$M$150)-MOD(IF($M$9:$M$150="",0,$M$9:$M$150),1)),1),$IH150),"")</f>
        <v/>
      </c>
      <c r="IJ150" s="782" t="str">
        <f t="shared" si="225"/>
        <v/>
      </c>
      <c r="IK150" s="782" t="str">
        <f t="shared" si="212"/>
        <v/>
      </c>
      <c r="IL150" s="671" t="str">
        <f t="shared" si="228"/>
        <v/>
      </c>
      <c r="IM150" s="703"/>
      <c r="IN150" s="175" t="str">
        <f t="shared" si="229"/>
        <v/>
      </c>
      <c r="IO150" s="715"/>
      <c r="IP150" s="711" t="str">
        <f t="shared" si="230"/>
        <v/>
      </c>
      <c r="IQ150" s="175" t="str">
        <f t="shared" si="231"/>
        <v/>
      </c>
      <c r="IR150" s="175" t="str">
        <f t="shared" si="220"/>
        <v/>
      </c>
      <c r="IS150" s="175" t="str">
        <f t="shared" si="232"/>
        <v/>
      </c>
      <c r="IT150" s="671" t="str">
        <f t="shared" si="233"/>
        <v/>
      </c>
      <c r="IU150" s="711" t="str">
        <f t="shared" si="234"/>
        <v/>
      </c>
      <c r="IV150" s="175" t="str">
        <f t="shared" si="235"/>
        <v/>
      </c>
      <c r="IW150" s="175" t="str">
        <f t="shared" si="221"/>
        <v/>
      </c>
      <c r="IX150" s="175" t="str">
        <f t="shared" si="236"/>
        <v/>
      </c>
      <c r="IY150" s="706" t="str">
        <f t="shared" si="237"/>
        <v/>
      </c>
    </row>
    <row r="151" spans="1:259" ht="15" customHeight="1" x14ac:dyDescent="0.25">
      <c r="AQ151" s="162"/>
      <c r="BD151" s="417"/>
      <c r="BF151" s="417"/>
      <c r="BG151" s="417"/>
      <c r="BH151" s="417"/>
      <c r="IF151" s="31"/>
      <c r="IG151" s="31"/>
    </row>
    <row r="152" spans="1:259" ht="15" customHeight="1" x14ac:dyDescent="0.25">
      <c r="AQ152" s="162"/>
      <c r="AV152" s="380"/>
      <c r="AW152" s="1394" t="str">
        <f>$W$6</f>
        <v>Projected XY</v>
      </c>
      <c r="AX152" s="1395"/>
      <c r="AY152" s="1412" t="str">
        <f>$Y$6</f>
        <v>Z</v>
      </c>
      <c r="AZ152" s="1410" t="s">
        <v>104</v>
      </c>
      <c r="BA152" s="171" t="str">
        <f>$AN$6</f>
        <v>&lt;X°</v>
      </c>
      <c r="BB152" s="385" t="str">
        <f>$AO$6</f>
        <v>&lt;Y°</v>
      </c>
      <c r="BC152" s="376" t="str">
        <f>$AP$6</f>
        <v>Projection</v>
      </c>
      <c r="BD152" s="417"/>
    </row>
    <row r="153" spans="1:259" ht="15" customHeight="1" thickBot="1" x14ac:dyDescent="0.3">
      <c r="AQ153" s="162"/>
      <c r="AV153" s="381"/>
      <c r="AW153" s="377" t="str">
        <f>$W$7</f>
        <v>&lt; θ°</v>
      </c>
      <c r="AX153" s="378" t="str">
        <f>$X$7</f>
        <v>r</v>
      </c>
      <c r="AY153" s="1413"/>
      <c r="AZ153" s="1411"/>
      <c r="BA153" s="379" t="str">
        <f>$AN$7</f>
        <v>Tilt</v>
      </c>
      <c r="BB153" s="386" t="str">
        <f>$AO$7</f>
        <v>Back Rake</v>
      </c>
      <c r="BC153" s="387" t="str">
        <f>$AP$7</f>
        <v>Side Rake</v>
      </c>
      <c r="BD153" s="417"/>
    </row>
    <row r="154" spans="1:259" ht="15" customHeight="1" x14ac:dyDescent="0.25">
      <c r="AQ154" s="162"/>
      <c r="AV154" s="382" t="s">
        <v>101</v>
      </c>
      <c r="AW154" s="605">
        <f t="shared" ref="AW154:BC154" si="238">MIN(AW9:AW150)</f>
        <v>0</v>
      </c>
      <c r="AX154" s="634">
        <f t="shared" si="238"/>
        <v>0</v>
      </c>
      <c r="AY154" s="635">
        <f t="shared" si="238"/>
        <v>0</v>
      </c>
      <c r="AZ154" s="601">
        <f t="shared" si="238"/>
        <v>0</v>
      </c>
      <c r="BA154" s="613">
        <f t="shared" si="238"/>
        <v>0</v>
      </c>
      <c r="BB154" s="614">
        <f t="shared" si="238"/>
        <v>0</v>
      </c>
      <c r="BC154" s="622">
        <f t="shared" si="238"/>
        <v>0</v>
      </c>
      <c r="BD154" s="417"/>
    </row>
    <row r="155" spans="1:259" ht="15" customHeight="1" x14ac:dyDescent="0.25">
      <c r="AQ155" s="162"/>
      <c r="AV155" s="383" t="s">
        <v>102</v>
      </c>
      <c r="AW155" s="606">
        <f t="shared" ref="AW155:BC155" si="239">MAX(AW9:AW150)</f>
        <v>0</v>
      </c>
      <c r="AX155" s="628">
        <f t="shared" si="239"/>
        <v>0</v>
      </c>
      <c r="AY155" s="629">
        <f t="shared" si="239"/>
        <v>0</v>
      </c>
      <c r="AZ155" s="602">
        <f t="shared" si="239"/>
        <v>0</v>
      </c>
      <c r="BA155" s="610">
        <f t="shared" si="239"/>
        <v>0</v>
      </c>
      <c r="BB155" s="615">
        <f t="shared" si="239"/>
        <v>0</v>
      </c>
      <c r="BC155" s="623">
        <f t="shared" si="239"/>
        <v>0</v>
      </c>
      <c r="BD155" s="417"/>
    </row>
    <row r="156" spans="1:259" ht="15" customHeight="1" thickBot="1" x14ac:dyDescent="0.3">
      <c r="O156" s="31"/>
      <c r="P156" s="162"/>
      <c r="Q156" s="162"/>
      <c r="AQ156" s="162"/>
      <c r="AV156" s="383" t="s">
        <v>100</v>
      </c>
      <c r="AW156" s="606">
        <f t="shared" ref="AW156:BC156" si="240">AW155-AW154</f>
        <v>0</v>
      </c>
      <c r="AX156" s="628">
        <f t="shared" si="240"/>
        <v>0</v>
      </c>
      <c r="AY156" s="629">
        <f t="shared" si="240"/>
        <v>0</v>
      </c>
      <c r="AZ156" s="602">
        <f>AZ155-AZ154</f>
        <v>0</v>
      </c>
      <c r="BA156" s="610">
        <f t="shared" si="240"/>
        <v>0</v>
      </c>
      <c r="BB156" s="615">
        <f t="shared" si="240"/>
        <v>0</v>
      </c>
      <c r="BC156" s="623">
        <f t="shared" si="240"/>
        <v>0</v>
      </c>
      <c r="BD156" s="417"/>
    </row>
    <row r="157" spans="1:259" ht="15" customHeight="1" x14ac:dyDescent="0.25">
      <c r="B157" s="1189" t="s">
        <v>42</v>
      </c>
      <c r="C157" s="1190"/>
      <c r="D157" s="1190"/>
      <c r="E157" s="1190"/>
      <c r="F157" s="1190"/>
      <c r="G157" s="1190"/>
      <c r="H157" s="1190"/>
      <c r="I157" s="1190"/>
      <c r="J157" s="1190"/>
      <c r="K157" s="1191"/>
      <c r="AQ157" s="162"/>
      <c r="AV157" s="384" t="s">
        <v>99</v>
      </c>
      <c r="AW157" s="607" t="str">
        <f>IFERROR(AVERAGE(AW9:AW150),"")</f>
        <v/>
      </c>
      <c r="AX157" s="636" t="str">
        <f t="shared" ref="AX157:BC157" si="241">IFERROR(AVERAGE(AX9:AX150),"")</f>
        <v/>
      </c>
      <c r="AY157" s="637" t="str">
        <f t="shared" si="241"/>
        <v/>
      </c>
      <c r="AZ157" s="638" t="str">
        <f t="shared" si="241"/>
        <v/>
      </c>
      <c r="BA157" s="616" t="str">
        <f t="shared" si="241"/>
        <v/>
      </c>
      <c r="BB157" s="617" t="str">
        <f t="shared" si="241"/>
        <v/>
      </c>
      <c r="BC157" s="624" t="str">
        <f t="shared" si="241"/>
        <v/>
      </c>
      <c r="BD157" s="417"/>
    </row>
    <row r="158" spans="1:259" ht="15" customHeight="1" x14ac:dyDescent="0.25">
      <c r="B158" s="1192"/>
      <c r="C158" s="1193"/>
      <c r="D158" s="1193"/>
      <c r="E158" s="1193"/>
      <c r="F158" s="1193"/>
      <c r="G158" s="1193"/>
      <c r="H158" s="1193"/>
      <c r="I158" s="1193"/>
      <c r="J158" s="1193"/>
      <c r="K158" s="1194"/>
      <c r="AQ158" s="162"/>
      <c r="AV158" s="74" t="s">
        <v>284</v>
      </c>
      <c r="AZ158" s="639">
        <f>SUM(AZ9:AZ150)</f>
        <v>0</v>
      </c>
      <c r="BD158" s="417"/>
    </row>
    <row r="159" spans="1:259" ht="15" customHeight="1" x14ac:dyDescent="0.25">
      <c r="B159" s="1195"/>
      <c r="C159" s="1196"/>
      <c r="D159" s="1196"/>
      <c r="E159" s="1196"/>
      <c r="F159" s="1196"/>
      <c r="G159" s="1196"/>
      <c r="H159" s="1196"/>
      <c r="I159" s="1196"/>
      <c r="J159" s="1196"/>
      <c r="K159" s="1197"/>
      <c r="AQ159" s="162"/>
      <c r="BD159" s="417"/>
    </row>
    <row r="160" spans="1:259" ht="15" customHeight="1" x14ac:dyDescent="0.25">
      <c r="B160" s="1183" t="str">
        <f>CONCATENATE(B162," ; ",E162," ; ",H163)</f>
        <v>Absolute-Point ; Incremental-Vector Point ; Radius</v>
      </c>
      <c r="C160" s="1184"/>
      <c r="D160" s="1184"/>
      <c r="E160" s="1184"/>
      <c r="F160" s="1184"/>
      <c r="G160" s="1184"/>
      <c r="H160" s="1184"/>
      <c r="I160" s="1184"/>
      <c r="J160" s="1184"/>
      <c r="K160" s="1185"/>
      <c r="AQ160" s="162"/>
      <c r="BD160" s="417"/>
    </row>
    <row r="161" spans="2:56" ht="15" customHeight="1" x14ac:dyDescent="0.25">
      <c r="B161" s="1186"/>
      <c r="C161" s="1187"/>
      <c r="D161" s="1187"/>
      <c r="E161" s="1187"/>
      <c r="F161" s="1187"/>
      <c r="G161" s="1187"/>
      <c r="H161" s="1187"/>
      <c r="I161" s="1187"/>
      <c r="J161" s="1187"/>
      <c r="K161" s="1188"/>
      <c r="AQ161" s="162"/>
      <c r="BD161" s="417"/>
    </row>
    <row r="162" spans="2:56" ht="15" customHeight="1" x14ac:dyDescent="0.25">
      <c r="B162" s="1204" t="s">
        <v>40</v>
      </c>
      <c r="C162" s="1205"/>
      <c r="D162" s="1206"/>
      <c r="E162" s="1207" t="s">
        <v>41</v>
      </c>
      <c r="F162" s="1205"/>
      <c r="G162" s="1208"/>
      <c r="H162" s="981" t="s">
        <v>305</v>
      </c>
      <c r="I162" s="982"/>
      <c r="J162" s="983"/>
      <c r="K162" s="488"/>
      <c r="M162" s="1005" t="s">
        <v>304</v>
      </c>
      <c r="N162" s="1391"/>
      <c r="O162" s="1403" t="s">
        <v>283</v>
      </c>
      <c r="P162" s="1404"/>
      <c r="Q162" s="1405"/>
      <c r="R162" s="1406" t="s">
        <v>41</v>
      </c>
      <c r="S162" s="1404"/>
      <c r="T162" s="1405"/>
      <c r="AQ162" s="162"/>
      <c r="BD162" s="417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303</v>
      </c>
      <c r="J163" s="3" t="s">
        <v>33</v>
      </c>
      <c r="K163" s="487" t="s">
        <v>30</v>
      </c>
      <c r="M163" s="1392"/>
      <c r="N163" s="1393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2"/>
      <c r="BD163" s="417"/>
    </row>
    <row r="164" spans="2:56" ht="15" customHeight="1" thickTop="1" x14ac:dyDescent="0.25">
      <c r="B164" s="645"/>
      <c r="C164" s="646"/>
      <c r="D164" s="647"/>
      <c r="E164" s="648"/>
      <c r="F164" s="646"/>
      <c r="G164" s="649"/>
      <c r="H164" s="648"/>
      <c r="I164" s="516"/>
      <c r="J164" s="816"/>
      <c r="K164" s="517"/>
      <c r="L164" s="162" t="str">
        <f t="shared" ref="L164:L186" si="242">IF(ISNUMBER($J164),INDEX($AZ$9:$AZ$150,MATCH($M164,$AV$9:$AV$150,0)),"")</f>
        <v/>
      </c>
      <c r="M164" s="511">
        <f>Assy.Model!$M9</f>
        <v>1.101</v>
      </c>
      <c r="N164" s="809">
        <f>Assy.Model!K9</f>
        <v>1613</v>
      </c>
      <c r="O164" s="566" t="str">
        <f t="shared" ref="O164:O195" si="243">IF(ISBLANK($J164),"",(($BM$3*$B164)+($BN$3*$C164)+($BO$3*$D164))+$BP$3)</f>
        <v/>
      </c>
      <c r="P164" s="567" t="str">
        <f t="shared" ref="P164:P195" si="244">IF(ISBLANK($J164),"",(($BM$4*$B164)+($BN$4*$C164)+($BO$4*$D164))+$BP$4)</f>
        <v/>
      </c>
      <c r="Q164" s="571" t="str">
        <f t="shared" ref="Q164:Q195" si="245">IF(ISBLANK($J164),"",(($BM$5*$B164)+($BN$5*$C164)+($BO$5*$D164))+$BP$5)</f>
        <v/>
      </c>
      <c r="R164" s="574" t="str">
        <f t="shared" ref="R164:R195" si="246">IF(ISBLANK($J164),"",(($BM$3*$E164)+($BN$3*$F164)+($BO$3*$G164)))</f>
        <v/>
      </c>
      <c r="S164" s="567" t="str">
        <f t="shared" ref="S164:S195" si="247">IF(ISBLANK($J164),"",(($BM$4*$E164)+($BN$4*$F164)+($BO$4*$G164)))</f>
        <v/>
      </c>
      <c r="T164" s="571" t="str">
        <f t="shared" ref="T164:T195" si="248">IF(ISBLANK($J164),"",(($BM$5*$E164)+($BN$5*$F164)+($BO$5*$G164)))</f>
        <v/>
      </c>
      <c r="AQ164" s="162"/>
      <c r="BD164" s="417"/>
    </row>
    <row r="165" spans="2:56" ht="15" customHeight="1" x14ac:dyDescent="0.25">
      <c r="B165" s="650"/>
      <c r="C165" s="651"/>
      <c r="D165" s="652"/>
      <c r="E165" s="653"/>
      <c r="F165" s="651"/>
      <c r="G165" s="654"/>
      <c r="H165" s="653"/>
      <c r="I165" s="518"/>
      <c r="J165" s="817"/>
      <c r="K165" s="519"/>
      <c r="L165" s="162" t="str">
        <f t="shared" si="242"/>
        <v/>
      </c>
      <c r="M165" s="512">
        <f>Assy.Model!$M10</f>
        <v>1.1040000000000001</v>
      </c>
      <c r="N165" s="810">
        <f>Assy.Model!K10</f>
        <v>1613</v>
      </c>
      <c r="O165" s="575" t="str">
        <f t="shared" si="243"/>
        <v/>
      </c>
      <c r="P165" s="572" t="str">
        <f t="shared" si="244"/>
        <v/>
      </c>
      <c r="Q165" s="579" t="str">
        <f t="shared" si="245"/>
        <v/>
      </c>
      <c r="R165" s="580" t="str">
        <f t="shared" si="246"/>
        <v/>
      </c>
      <c r="S165" s="572" t="str">
        <f t="shared" si="247"/>
        <v/>
      </c>
      <c r="T165" s="579" t="str">
        <f t="shared" si="248"/>
        <v/>
      </c>
      <c r="AQ165" s="162"/>
      <c r="BD165" s="417"/>
    </row>
    <row r="166" spans="2:56" ht="15" customHeight="1" x14ac:dyDescent="0.25">
      <c r="B166" s="650"/>
      <c r="C166" s="651"/>
      <c r="D166" s="652"/>
      <c r="E166" s="653"/>
      <c r="F166" s="651"/>
      <c r="G166" s="654"/>
      <c r="H166" s="653"/>
      <c r="I166" s="518"/>
      <c r="J166" s="817"/>
      <c r="K166" s="519"/>
      <c r="L166" s="162" t="str">
        <f t="shared" si="242"/>
        <v/>
      </c>
      <c r="M166" s="512">
        <f>Assy.Model!$M11</f>
        <v>1.107</v>
      </c>
      <c r="N166" s="810">
        <f>Assy.Model!K11</f>
        <v>1613</v>
      </c>
      <c r="O166" s="575" t="str">
        <f t="shared" si="243"/>
        <v/>
      </c>
      <c r="P166" s="572" t="str">
        <f t="shared" si="244"/>
        <v/>
      </c>
      <c r="Q166" s="579" t="str">
        <f t="shared" si="245"/>
        <v/>
      </c>
      <c r="R166" s="580" t="str">
        <f t="shared" si="246"/>
        <v/>
      </c>
      <c r="S166" s="572" t="str">
        <f t="shared" si="247"/>
        <v/>
      </c>
      <c r="T166" s="579" t="str">
        <f t="shared" si="248"/>
        <v/>
      </c>
      <c r="AQ166" s="162"/>
      <c r="BD166" s="417"/>
    </row>
    <row r="167" spans="2:56" ht="15" customHeight="1" x14ac:dyDescent="0.25">
      <c r="B167" s="650"/>
      <c r="C167" s="651"/>
      <c r="D167" s="652"/>
      <c r="E167" s="653"/>
      <c r="F167" s="651"/>
      <c r="G167" s="654"/>
      <c r="H167" s="653"/>
      <c r="I167" s="518"/>
      <c r="J167" s="817"/>
      <c r="K167" s="519"/>
      <c r="L167" s="162" t="str">
        <f t="shared" si="242"/>
        <v/>
      </c>
      <c r="M167" s="512">
        <f>Assy.Model!$M12</f>
        <v>1.111</v>
      </c>
      <c r="N167" s="810">
        <f>Assy.Model!K12</f>
        <v>1613</v>
      </c>
      <c r="O167" s="575" t="str">
        <f t="shared" si="243"/>
        <v/>
      </c>
      <c r="P167" s="572" t="str">
        <f t="shared" si="244"/>
        <v/>
      </c>
      <c r="Q167" s="579" t="str">
        <f t="shared" si="245"/>
        <v/>
      </c>
      <c r="R167" s="580" t="str">
        <f t="shared" si="246"/>
        <v/>
      </c>
      <c r="S167" s="572" t="str">
        <f t="shared" si="247"/>
        <v/>
      </c>
      <c r="T167" s="579" t="str">
        <f t="shared" si="248"/>
        <v/>
      </c>
      <c r="AQ167" s="162"/>
      <c r="BD167" s="417"/>
    </row>
    <row r="168" spans="2:56" ht="15" customHeight="1" x14ac:dyDescent="0.25">
      <c r="B168" s="650"/>
      <c r="C168" s="651"/>
      <c r="D168" s="652"/>
      <c r="E168" s="653"/>
      <c r="F168" s="651"/>
      <c r="G168" s="654"/>
      <c r="H168" s="653"/>
      <c r="I168" s="518"/>
      <c r="J168" s="817"/>
      <c r="K168" s="519"/>
      <c r="L168" s="162" t="str">
        <f t="shared" si="242"/>
        <v/>
      </c>
      <c r="M168" s="512">
        <f>Assy.Model!$M13</f>
        <v>1.117</v>
      </c>
      <c r="N168" s="810">
        <f>Assy.Model!K13</f>
        <v>1613</v>
      </c>
      <c r="O168" s="575" t="str">
        <f t="shared" si="243"/>
        <v/>
      </c>
      <c r="P168" s="572" t="str">
        <f t="shared" si="244"/>
        <v/>
      </c>
      <c r="Q168" s="579" t="str">
        <f t="shared" si="245"/>
        <v/>
      </c>
      <c r="R168" s="580" t="str">
        <f t="shared" si="246"/>
        <v/>
      </c>
      <c r="S168" s="572" t="str">
        <f t="shared" si="247"/>
        <v/>
      </c>
      <c r="T168" s="579" t="str">
        <f t="shared" si="248"/>
        <v/>
      </c>
      <c r="AQ168" s="162"/>
      <c r="BD168" s="417"/>
    </row>
    <row r="169" spans="2:56" ht="15" customHeight="1" x14ac:dyDescent="0.25">
      <c r="B169" s="650"/>
      <c r="C169" s="651"/>
      <c r="D169" s="652"/>
      <c r="E169" s="653"/>
      <c r="F169" s="651"/>
      <c r="G169" s="654"/>
      <c r="H169" s="653"/>
      <c r="I169" s="518"/>
      <c r="J169" s="817"/>
      <c r="K169" s="519"/>
      <c r="L169" s="162" t="str">
        <f t="shared" si="242"/>
        <v/>
      </c>
      <c r="M169" s="512">
        <f>Assy.Model!$M14</f>
        <v>1.123</v>
      </c>
      <c r="N169" s="810">
        <f>Assy.Model!K14</f>
        <v>1613</v>
      </c>
      <c r="O169" s="575" t="str">
        <f t="shared" si="243"/>
        <v/>
      </c>
      <c r="P169" s="572" t="str">
        <f t="shared" si="244"/>
        <v/>
      </c>
      <c r="Q169" s="579" t="str">
        <f t="shared" si="245"/>
        <v/>
      </c>
      <c r="R169" s="580" t="str">
        <f t="shared" si="246"/>
        <v/>
      </c>
      <c r="S169" s="572" t="str">
        <f t="shared" si="247"/>
        <v/>
      </c>
      <c r="T169" s="579" t="str">
        <f t="shared" si="248"/>
        <v/>
      </c>
      <c r="AQ169" s="162"/>
      <c r="BD169" s="417"/>
    </row>
    <row r="170" spans="2:56" ht="15" customHeight="1" x14ac:dyDescent="0.25">
      <c r="B170" s="650"/>
      <c r="C170" s="651"/>
      <c r="D170" s="652"/>
      <c r="E170" s="653"/>
      <c r="F170" s="651"/>
      <c r="G170" s="654"/>
      <c r="H170" s="653"/>
      <c r="I170" s="518"/>
      <c r="J170" s="817"/>
      <c r="K170" s="519"/>
      <c r="L170" s="162" t="str">
        <f t="shared" si="242"/>
        <v/>
      </c>
      <c r="M170" s="512">
        <f>Assy.Model!$M15</f>
        <v>1.129</v>
      </c>
      <c r="N170" s="810">
        <f>Assy.Model!K15</f>
        <v>1613</v>
      </c>
      <c r="O170" s="575" t="str">
        <f t="shared" si="243"/>
        <v/>
      </c>
      <c r="P170" s="572" t="str">
        <f t="shared" si="244"/>
        <v/>
      </c>
      <c r="Q170" s="579" t="str">
        <f t="shared" si="245"/>
        <v/>
      </c>
      <c r="R170" s="580" t="str">
        <f t="shared" si="246"/>
        <v/>
      </c>
      <c r="S170" s="572" t="str">
        <f t="shared" si="247"/>
        <v/>
      </c>
      <c r="T170" s="579" t="str">
        <f t="shared" si="248"/>
        <v/>
      </c>
      <c r="AQ170" s="162"/>
      <c r="BD170" s="417"/>
    </row>
    <row r="171" spans="2:56" ht="15" customHeight="1" x14ac:dyDescent="0.25">
      <c r="B171" s="650"/>
      <c r="C171" s="651"/>
      <c r="D171" s="652"/>
      <c r="E171" s="653"/>
      <c r="F171" s="651"/>
      <c r="G171" s="654"/>
      <c r="H171" s="653"/>
      <c r="I171" s="518"/>
      <c r="J171" s="817"/>
      <c r="K171" s="519"/>
      <c r="L171" s="162" t="str">
        <f t="shared" si="242"/>
        <v/>
      </c>
      <c r="M171" s="512">
        <f>Assy.Model!$M16</f>
        <v>1.135</v>
      </c>
      <c r="N171" s="810">
        <f>Assy.Model!K16</f>
        <v>1613</v>
      </c>
      <c r="O171" s="575" t="str">
        <f t="shared" si="243"/>
        <v/>
      </c>
      <c r="P171" s="572" t="str">
        <f t="shared" si="244"/>
        <v/>
      </c>
      <c r="Q171" s="579" t="str">
        <f t="shared" si="245"/>
        <v/>
      </c>
      <c r="R171" s="580" t="str">
        <f t="shared" si="246"/>
        <v/>
      </c>
      <c r="S171" s="572" t="str">
        <f t="shared" si="247"/>
        <v/>
      </c>
      <c r="T171" s="579" t="str">
        <f t="shared" si="248"/>
        <v/>
      </c>
      <c r="AQ171" s="162"/>
      <c r="BD171" s="417"/>
    </row>
    <row r="172" spans="2:56" ht="15" customHeight="1" x14ac:dyDescent="0.25">
      <c r="B172" s="650"/>
      <c r="C172" s="651"/>
      <c r="D172" s="652"/>
      <c r="E172" s="653"/>
      <c r="F172" s="651"/>
      <c r="G172" s="654"/>
      <c r="H172" s="653"/>
      <c r="I172" s="518"/>
      <c r="J172" s="817"/>
      <c r="K172" s="519"/>
      <c r="L172" s="162" t="str">
        <f t="shared" si="242"/>
        <v/>
      </c>
      <c r="M172" s="512">
        <f>Assy.Model!$M17</f>
        <v>1.141</v>
      </c>
      <c r="N172" s="810">
        <f>Assy.Model!K17</f>
        <v>1613</v>
      </c>
      <c r="O172" s="575" t="str">
        <f t="shared" si="243"/>
        <v/>
      </c>
      <c r="P172" s="572" t="str">
        <f t="shared" si="244"/>
        <v/>
      </c>
      <c r="Q172" s="579" t="str">
        <f t="shared" si="245"/>
        <v/>
      </c>
      <c r="R172" s="580" t="str">
        <f t="shared" si="246"/>
        <v/>
      </c>
      <c r="S172" s="572" t="str">
        <f t="shared" si="247"/>
        <v/>
      </c>
      <c r="T172" s="579" t="str">
        <f t="shared" si="248"/>
        <v/>
      </c>
      <c r="AQ172" s="162"/>
    </row>
    <row r="173" spans="2:56" ht="15" customHeight="1" x14ac:dyDescent="0.25">
      <c r="B173" s="650"/>
      <c r="C173" s="651"/>
      <c r="D173" s="652"/>
      <c r="E173" s="653"/>
      <c r="F173" s="651"/>
      <c r="G173" s="654"/>
      <c r="H173" s="653"/>
      <c r="I173" s="518"/>
      <c r="J173" s="817"/>
      <c r="K173" s="519"/>
      <c r="L173" s="162" t="str">
        <f t="shared" si="242"/>
        <v/>
      </c>
      <c r="M173" s="512">
        <f>Assy.Model!$M18</f>
        <v>1.147</v>
      </c>
      <c r="N173" s="810">
        <f>Assy.Model!K18</f>
        <v>1613</v>
      </c>
      <c r="O173" s="575" t="str">
        <f t="shared" si="243"/>
        <v/>
      </c>
      <c r="P173" s="572" t="str">
        <f t="shared" si="244"/>
        <v/>
      </c>
      <c r="Q173" s="579" t="str">
        <f t="shared" si="245"/>
        <v/>
      </c>
      <c r="R173" s="580" t="str">
        <f t="shared" si="246"/>
        <v/>
      </c>
      <c r="S173" s="572" t="str">
        <f t="shared" si="247"/>
        <v/>
      </c>
      <c r="T173" s="579" t="str">
        <f t="shared" si="248"/>
        <v/>
      </c>
      <c r="AQ173" s="162"/>
    </row>
    <row r="174" spans="2:56" ht="15" customHeight="1" x14ac:dyDescent="0.25">
      <c r="B174" s="650"/>
      <c r="C174" s="651"/>
      <c r="D174" s="652"/>
      <c r="E174" s="653"/>
      <c r="F174" s="651"/>
      <c r="G174" s="654"/>
      <c r="H174" s="653"/>
      <c r="I174" s="518"/>
      <c r="J174" s="817"/>
      <c r="K174" s="519"/>
      <c r="L174" s="162" t="str">
        <f t="shared" si="242"/>
        <v/>
      </c>
      <c r="M174" s="512">
        <f>Assy.Model!$M19</f>
        <v>1.2170000000000001</v>
      </c>
      <c r="N174" s="810" t="str">
        <f>Assy.Model!K19</f>
        <v>CPS-32193r1</v>
      </c>
      <c r="O174" s="575" t="str">
        <f t="shared" si="243"/>
        <v/>
      </c>
      <c r="P174" s="572" t="str">
        <f t="shared" si="244"/>
        <v/>
      </c>
      <c r="Q174" s="579" t="str">
        <f t="shared" si="245"/>
        <v/>
      </c>
      <c r="R174" s="580" t="str">
        <f t="shared" si="246"/>
        <v/>
      </c>
      <c r="S174" s="572" t="str">
        <f t="shared" si="247"/>
        <v/>
      </c>
      <c r="T174" s="579" t="str">
        <f t="shared" si="248"/>
        <v/>
      </c>
      <c r="AQ174" s="162"/>
    </row>
    <row r="175" spans="2:56" ht="15" customHeight="1" x14ac:dyDescent="0.25">
      <c r="B175" s="650"/>
      <c r="C175" s="651"/>
      <c r="D175" s="652"/>
      <c r="E175" s="653"/>
      <c r="F175" s="651"/>
      <c r="G175" s="654"/>
      <c r="H175" s="653"/>
      <c r="I175" s="518"/>
      <c r="J175" s="817"/>
      <c r="K175" s="519"/>
      <c r="L175" s="162" t="str">
        <f t="shared" si="242"/>
        <v/>
      </c>
      <c r="M175" s="512">
        <f>Assy.Model!$M20</f>
        <v>1.2230000000000001</v>
      </c>
      <c r="N175" s="810">
        <f>Assy.Model!K20</f>
        <v>1313</v>
      </c>
      <c r="O175" s="575" t="str">
        <f t="shared" si="243"/>
        <v/>
      </c>
      <c r="P175" s="572" t="str">
        <f t="shared" si="244"/>
        <v/>
      </c>
      <c r="Q175" s="579" t="str">
        <f t="shared" si="245"/>
        <v/>
      </c>
      <c r="R175" s="580" t="str">
        <f t="shared" si="246"/>
        <v/>
      </c>
      <c r="S175" s="572" t="str">
        <f t="shared" si="247"/>
        <v/>
      </c>
      <c r="T175" s="579" t="str">
        <f t="shared" si="248"/>
        <v/>
      </c>
      <c r="AQ175" s="162"/>
    </row>
    <row r="176" spans="2:56" ht="15" customHeight="1" x14ac:dyDescent="0.25">
      <c r="B176" s="650"/>
      <c r="C176" s="651"/>
      <c r="D176" s="652"/>
      <c r="E176" s="653"/>
      <c r="F176" s="651"/>
      <c r="G176" s="654"/>
      <c r="H176" s="653"/>
      <c r="I176" s="518"/>
      <c r="J176" s="817"/>
      <c r="K176" s="519"/>
      <c r="L176" s="162" t="str">
        <f t="shared" si="242"/>
        <v/>
      </c>
      <c r="M176" s="512">
        <f>Assy.Model!$M21</f>
        <v>1.2290000000000001</v>
      </c>
      <c r="N176" s="810">
        <f>Assy.Model!K21</f>
        <v>1313</v>
      </c>
      <c r="O176" s="575" t="str">
        <f t="shared" si="243"/>
        <v/>
      </c>
      <c r="P176" s="572" t="str">
        <f t="shared" si="244"/>
        <v/>
      </c>
      <c r="Q176" s="579" t="str">
        <f t="shared" si="245"/>
        <v/>
      </c>
      <c r="R176" s="580" t="str">
        <f t="shared" si="246"/>
        <v/>
      </c>
      <c r="S176" s="572" t="str">
        <f t="shared" si="247"/>
        <v/>
      </c>
      <c r="T176" s="579" t="str">
        <f t="shared" si="248"/>
        <v/>
      </c>
      <c r="AQ176" s="162"/>
    </row>
    <row r="177" spans="2:43" ht="15" customHeight="1" x14ac:dyDescent="0.25">
      <c r="B177" s="650"/>
      <c r="C177" s="651"/>
      <c r="D177" s="652"/>
      <c r="E177" s="653"/>
      <c r="F177" s="651"/>
      <c r="G177" s="654"/>
      <c r="H177" s="653"/>
      <c r="I177" s="518"/>
      <c r="J177" s="817"/>
      <c r="K177" s="519"/>
      <c r="L177" s="162" t="str">
        <f t="shared" si="242"/>
        <v/>
      </c>
      <c r="M177" s="512">
        <f>Assy.Model!$M22</f>
        <v>1.2350000000000001</v>
      </c>
      <c r="N177" s="810">
        <f>Assy.Model!K22</f>
        <v>1313</v>
      </c>
      <c r="O177" s="575" t="str">
        <f t="shared" si="243"/>
        <v/>
      </c>
      <c r="P177" s="572" t="str">
        <f t="shared" si="244"/>
        <v/>
      </c>
      <c r="Q177" s="579" t="str">
        <f t="shared" si="245"/>
        <v/>
      </c>
      <c r="R177" s="580" t="str">
        <f t="shared" si="246"/>
        <v/>
      </c>
      <c r="S177" s="572" t="str">
        <f t="shared" si="247"/>
        <v/>
      </c>
      <c r="T177" s="579" t="str">
        <f t="shared" si="248"/>
        <v/>
      </c>
      <c r="AQ177" s="162"/>
    </row>
    <row r="178" spans="2:43" ht="15" customHeight="1" x14ac:dyDescent="0.25">
      <c r="B178" s="650"/>
      <c r="C178" s="651"/>
      <c r="D178" s="652"/>
      <c r="E178" s="653"/>
      <c r="F178" s="651"/>
      <c r="G178" s="654"/>
      <c r="H178" s="653"/>
      <c r="I178" s="518"/>
      <c r="J178" s="817"/>
      <c r="K178" s="519"/>
      <c r="L178" s="162" t="str">
        <f t="shared" si="242"/>
        <v/>
      </c>
      <c r="M178" s="512">
        <f>Assy.Model!$M23</f>
        <v>1.2410000000000001</v>
      </c>
      <c r="N178" s="810" t="str">
        <f>Assy.Model!K23</f>
        <v>CPS-32193r1</v>
      </c>
      <c r="O178" s="575" t="str">
        <f t="shared" si="243"/>
        <v/>
      </c>
      <c r="P178" s="572" t="str">
        <f t="shared" si="244"/>
        <v/>
      </c>
      <c r="Q178" s="579" t="str">
        <f t="shared" si="245"/>
        <v/>
      </c>
      <c r="R178" s="580" t="str">
        <f t="shared" si="246"/>
        <v/>
      </c>
      <c r="S178" s="572" t="str">
        <f t="shared" si="247"/>
        <v/>
      </c>
      <c r="T178" s="579" t="str">
        <f t="shared" si="248"/>
        <v/>
      </c>
      <c r="AQ178" s="162"/>
    </row>
    <row r="179" spans="2:43" ht="15" customHeight="1" x14ac:dyDescent="0.25">
      <c r="B179" s="650"/>
      <c r="C179" s="651"/>
      <c r="D179" s="652"/>
      <c r="E179" s="653"/>
      <c r="F179" s="651"/>
      <c r="G179" s="654"/>
      <c r="H179" s="653"/>
      <c r="I179" s="518"/>
      <c r="J179" s="817"/>
      <c r="K179" s="519"/>
      <c r="L179" s="162" t="str">
        <f t="shared" si="242"/>
        <v/>
      </c>
      <c r="M179" s="512">
        <f>Assy.Model!$M24</f>
        <v>1.2470000000000001</v>
      </c>
      <c r="N179" s="810" t="str">
        <f>Assy.Model!K24</f>
        <v>CPS-32193r1</v>
      </c>
      <c r="O179" s="575" t="str">
        <f t="shared" si="243"/>
        <v/>
      </c>
      <c r="P179" s="572" t="str">
        <f t="shared" si="244"/>
        <v/>
      </c>
      <c r="Q179" s="579" t="str">
        <f t="shared" si="245"/>
        <v/>
      </c>
      <c r="R179" s="580" t="str">
        <f t="shared" si="246"/>
        <v/>
      </c>
      <c r="S179" s="572" t="str">
        <f t="shared" si="247"/>
        <v/>
      </c>
      <c r="T179" s="579" t="str">
        <f t="shared" si="248"/>
        <v/>
      </c>
      <c r="AQ179" s="162"/>
    </row>
    <row r="180" spans="2:43" ht="15" customHeight="1" x14ac:dyDescent="0.25">
      <c r="B180" s="650"/>
      <c r="C180" s="651"/>
      <c r="D180" s="652"/>
      <c r="E180" s="653"/>
      <c r="F180" s="651"/>
      <c r="G180" s="654"/>
      <c r="H180" s="653"/>
      <c r="I180" s="518"/>
      <c r="J180" s="817"/>
      <c r="K180" s="519"/>
      <c r="L180" s="162" t="str">
        <f t="shared" si="242"/>
        <v/>
      </c>
      <c r="M180" s="512">
        <f>Assy.Model!$M25</f>
        <v>1.2529999999999999</v>
      </c>
      <c r="N180" s="810">
        <f>Assy.Model!K25</f>
        <v>1313</v>
      </c>
      <c r="O180" s="575" t="str">
        <f t="shared" si="243"/>
        <v/>
      </c>
      <c r="P180" s="572" t="str">
        <f t="shared" si="244"/>
        <v/>
      </c>
      <c r="Q180" s="579" t="str">
        <f t="shared" si="245"/>
        <v/>
      </c>
      <c r="R180" s="580" t="str">
        <f t="shared" si="246"/>
        <v/>
      </c>
      <c r="S180" s="572" t="str">
        <f t="shared" si="247"/>
        <v/>
      </c>
      <c r="T180" s="579" t="str">
        <f t="shared" si="248"/>
        <v/>
      </c>
      <c r="AQ180" s="162"/>
    </row>
    <row r="181" spans="2:43" ht="15" customHeight="1" x14ac:dyDescent="0.25">
      <c r="B181" s="650"/>
      <c r="C181" s="651"/>
      <c r="D181" s="652"/>
      <c r="E181" s="653"/>
      <c r="F181" s="651"/>
      <c r="G181" s="654"/>
      <c r="H181" s="653"/>
      <c r="I181" s="518"/>
      <c r="J181" s="817"/>
      <c r="K181" s="519"/>
      <c r="L181" s="162" t="str">
        <f t="shared" si="242"/>
        <v/>
      </c>
      <c r="M181" s="512">
        <f>Assy.Model!$M26</f>
        <v>2.11</v>
      </c>
      <c r="N181" s="810">
        <f>Assy.Model!K26</f>
        <v>1613</v>
      </c>
      <c r="O181" s="575" t="str">
        <f t="shared" si="243"/>
        <v/>
      </c>
      <c r="P181" s="572" t="str">
        <f t="shared" si="244"/>
        <v/>
      </c>
      <c r="Q181" s="579" t="str">
        <f t="shared" si="245"/>
        <v/>
      </c>
      <c r="R181" s="580" t="str">
        <f t="shared" si="246"/>
        <v/>
      </c>
      <c r="S181" s="572" t="str">
        <f t="shared" si="247"/>
        <v/>
      </c>
      <c r="T181" s="579" t="str">
        <f t="shared" si="248"/>
        <v/>
      </c>
      <c r="AQ181" s="162"/>
    </row>
    <row r="182" spans="2:43" ht="15" customHeight="1" x14ac:dyDescent="0.25">
      <c r="B182" s="650"/>
      <c r="C182" s="651"/>
      <c r="D182" s="652"/>
      <c r="E182" s="653"/>
      <c r="F182" s="651"/>
      <c r="G182" s="654"/>
      <c r="H182" s="653"/>
      <c r="I182" s="518"/>
      <c r="J182" s="817"/>
      <c r="K182" s="519"/>
      <c r="L182" s="162" t="str">
        <f t="shared" si="242"/>
        <v/>
      </c>
      <c r="M182" s="512">
        <f>Assy.Model!$M27</f>
        <v>2.1160000000000001</v>
      </c>
      <c r="N182" s="810">
        <f>Assy.Model!K27</f>
        <v>1613</v>
      </c>
      <c r="O182" s="575" t="str">
        <f t="shared" si="243"/>
        <v/>
      </c>
      <c r="P182" s="572" t="str">
        <f t="shared" si="244"/>
        <v/>
      </c>
      <c r="Q182" s="579" t="str">
        <f t="shared" si="245"/>
        <v/>
      </c>
      <c r="R182" s="580" t="str">
        <f t="shared" si="246"/>
        <v/>
      </c>
      <c r="S182" s="572" t="str">
        <f t="shared" si="247"/>
        <v/>
      </c>
      <c r="T182" s="579" t="str">
        <f t="shared" si="248"/>
        <v/>
      </c>
      <c r="AQ182" s="162"/>
    </row>
    <row r="183" spans="2:43" ht="15" customHeight="1" x14ac:dyDescent="0.25">
      <c r="B183" s="650"/>
      <c r="C183" s="651"/>
      <c r="D183" s="652"/>
      <c r="E183" s="653"/>
      <c r="F183" s="651"/>
      <c r="G183" s="654"/>
      <c r="H183" s="653"/>
      <c r="I183" s="518"/>
      <c r="J183" s="817"/>
      <c r="K183" s="519"/>
      <c r="L183" s="162" t="str">
        <f t="shared" si="242"/>
        <v/>
      </c>
      <c r="M183" s="512">
        <f>Assy.Model!$M28</f>
        <v>2.1219999999999999</v>
      </c>
      <c r="N183" s="810">
        <f>Assy.Model!K28</f>
        <v>1613</v>
      </c>
      <c r="O183" s="575" t="str">
        <f t="shared" si="243"/>
        <v/>
      </c>
      <c r="P183" s="572" t="str">
        <f t="shared" si="244"/>
        <v/>
      </c>
      <c r="Q183" s="579" t="str">
        <f t="shared" si="245"/>
        <v/>
      </c>
      <c r="R183" s="580" t="str">
        <f t="shared" si="246"/>
        <v/>
      </c>
      <c r="S183" s="572" t="str">
        <f t="shared" si="247"/>
        <v/>
      </c>
      <c r="T183" s="579" t="str">
        <f t="shared" si="248"/>
        <v/>
      </c>
      <c r="AQ183" s="162"/>
    </row>
    <row r="184" spans="2:43" ht="15" customHeight="1" x14ac:dyDescent="0.25">
      <c r="B184" s="650"/>
      <c r="C184" s="651"/>
      <c r="D184" s="652"/>
      <c r="E184" s="653"/>
      <c r="F184" s="651"/>
      <c r="G184" s="654"/>
      <c r="H184" s="653"/>
      <c r="I184" s="518"/>
      <c r="J184" s="817"/>
      <c r="K184" s="519"/>
      <c r="L184" s="162" t="str">
        <f t="shared" si="242"/>
        <v/>
      </c>
      <c r="M184" s="512">
        <f>Assy.Model!$M29</f>
        <v>2.1280000000000001</v>
      </c>
      <c r="N184" s="810">
        <f>Assy.Model!K29</f>
        <v>1613</v>
      </c>
      <c r="O184" s="575" t="str">
        <f t="shared" si="243"/>
        <v/>
      </c>
      <c r="P184" s="572" t="str">
        <f t="shared" si="244"/>
        <v/>
      </c>
      <c r="Q184" s="579" t="str">
        <f t="shared" si="245"/>
        <v/>
      </c>
      <c r="R184" s="580" t="str">
        <f t="shared" si="246"/>
        <v/>
      </c>
      <c r="S184" s="572" t="str">
        <f t="shared" si="247"/>
        <v/>
      </c>
      <c r="T184" s="579" t="str">
        <f t="shared" si="248"/>
        <v/>
      </c>
      <c r="AQ184" s="162"/>
    </row>
    <row r="185" spans="2:43" ht="15" customHeight="1" x14ac:dyDescent="0.25">
      <c r="B185" s="650"/>
      <c r="C185" s="651"/>
      <c r="D185" s="652"/>
      <c r="E185" s="653"/>
      <c r="F185" s="651"/>
      <c r="G185" s="654"/>
      <c r="H185" s="653"/>
      <c r="I185" s="518"/>
      <c r="J185" s="817"/>
      <c r="K185" s="519"/>
      <c r="L185" s="162" t="str">
        <f t="shared" si="242"/>
        <v/>
      </c>
      <c r="M185" s="512">
        <f>Assy.Model!$M30</f>
        <v>2.1339999999999999</v>
      </c>
      <c r="N185" s="810">
        <f>Assy.Model!K30</f>
        <v>1613</v>
      </c>
      <c r="O185" s="575" t="str">
        <f t="shared" si="243"/>
        <v/>
      </c>
      <c r="P185" s="572" t="str">
        <f t="shared" si="244"/>
        <v/>
      </c>
      <c r="Q185" s="579" t="str">
        <f t="shared" si="245"/>
        <v/>
      </c>
      <c r="R185" s="580" t="str">
        <f t="shared" si="246"/>
        <v/>
      </c>
      <c r="S185" s="572" t="str">
        <f t="shared" si="247"/>
        <v/>
      </c>
      <c r="T185" s="579" t="str">
        <f t="shared" si="248"/>
        <v/>
      </c>
      <c r="AQ185" s="162"/>
    </row>
    <row r="186" spans="2:43" ht="15" customHeight="1" x14ac:dyDescent="0.25">
      <c r="B186" s="650"/>
      <c r="C186" s="651"/>
      <c r="D186" s="652"/>
      <c r="E186" s="653"/>
      <c r="F186" s="651"/>
      <c r="G186" s="654"/>
      <c r="H186" s="653"/>
      <c r="I186" s="518"/>
      <c r="J186" s="817"/>
      <c r="K186" s="519"/>
      <c r="L186" s="162" t="str">
        <f t="shared" si="242"/>
        <v/>
      </c>
      <c r="M186" s="512">
        <f>Assy.Model!$M31</f>
        <v>2.14</v>
      </c>
      <c r="N186" s="810">
        <f>Assy.Model!K31</f>
        <v>1613</v>
      </c>
      <c r="O186" s="575" t="str">
        <f t="shared" si="243"/>
        <v/>
      </c>
      <c r="P186" s="572" t="str">
        <f t="shared" si="244"/>
        <v/>
      </c>
      <c r="Q186" s="579" t="str">
        <f t="shared" si="245"/>
        <v/>
      </c>
      <c r="R186" s="580" t="str">
        <f t="shared" si="246"/>
        <v/>
      </c>
      <c r="S186" s="572" t="str">
        <f t="shared" si="247"/>
        <v/>
      </c>
      <c r="T186" s="579" t="str">
        <f t="shared" si="248"/>
        <v/>
      </c>
      <c r="AQ186" s="162"/>
    </row>
    <row r="187" spans="2:43" ht="15" customHeight="1" x14ac:dyDescent="0.25">
      <c r="B187" s="650"/>
      <c r="C187" s="651"/>
      <c r="D187" s="652"/>
      <c r="E187" s="653"/>
      <c r="F187" s="651"/>
      <c r="G187" s="654"/>
      <c r="H187" s="653"/>
      <c r="I187" s="518"/>
      <c r="J187" s="817"/>
      <c r="K187" s="519"/>
      <c r="L187" s="162" t="str">
        <f>IF(ISNUMBER($J187),INDEX($AZ$9:$AZ$150,MATCH($M187,$AV$9:$AV$150,0)),"")</f>
        <v/>
      </c>
      <c r="M187" s="512">
        <f>Assy.Model!$M32</f>
        <v>2.1459999999999999</v>
      </c>
      <c r="N187" s="810">
        <f>Assy.Model!K32</f>
        <v>1613</v>
      </c>
      <c r="O187" s="575" t="str">
        <f t="shared" si="243"/>
        <v/>
      </c>
      <c r="P187" s="572" t="str">
        <f t="shared" si="244"/>
        <v/>
      </c>
      <c r="Q187" s="579" t="str">
        <f t="shared" si="245"/>
        <v/>
      </c>
      <c r="R187" s="580" t="str">
        <f t="shared" si="246"/>
        <v/>
      </c>
      <c r="S187" s="572" t="str">
        <f t="shared" si="247"/>
        <v/>
      </c>
      <c r="T187" s="579" t="str">
        <f t="shared" si="248"/>
        <v/>
      </c>
      <c r="AQ187" s="162"/>
    </row>
    <row r="188" spans="2:43" ht="15" customHeight="1" x14ac:dyDescent="0.25">
      <c r="B188" s="650"/>
      <c r="C188" s="651"/>
      <c r="D188" s="652"/>
      <c r="E188" s="653"/>
      <c r="F188" s="651"/>
      <c r="G188" s="654"/>
      <c r="H188" s="653"/>
      <c r="I188" s="518"/>
      <c r="J188" s="817"/>
      <c r="K188" s="519"/>
      <c r="L188" s="162" t="str">
        <f t="shared" ref="L188:L251" si="249">IF(ISNUMBER($J188),INDEX($AZ$9:$AZ$150,MATCH($M188,$AV$9:$AV$150,0)),"")</f>
        <v/>
      </c>
      <c r="M188" s="512">
        <f>Assy.Model!$M33</f>
        <v>2.2160000000000002</v>
      </c>
      <c r="N188" s="810" t="str">
        <f>Assy.Model!K33</f>
        <v>CPS-32193r1</v>
      </c>
      <c r="O188" s="575" t="str">
        <f t="shared" si="243"/>
        <v/>
      </c>
      <c r="P188" s="572" t="str">
        <f t="shared" si="244"/>
        <v/>
      </c>
      <c r="Q188" s="579" t="str">
        <f t="shared" si="245"/>
        <v/>
      </c>
      <c r="R188" s="580" t="str">
        <f t="shared" si="246"/>
        <v/>
      </c>
      <c r="S188" s="572" t="str">
        <f t="shared" si="247"/>
        <v/>
      </c>
      <c r="T188" s="579" t="str">
        <f t="shared" si="248"/>
        <v/>
      </c>
      <c r="AQ188" s="162"/>
    </row>
    <row r="189" spans="2:43" ht="15" customHeight="1" x14ac:dyDescent="0.25">
      <c r="B189" s="650"/>
      <c r="C189" s="651"/>
      <c r="D189" s="652"/>
      <c r="E189" s="653"/>
      <c r="F189" s="651"/>
      <c r="G189" s="654"/>
      <c r="H189" s="653"/>
      <c r="I189" s="518"/>
      <c r="J189" s="817"/>
      <c r="K189" s="519"/>
      <c r="L189" s="162" t="str">
        <f t="shared" si="249"/>
        <v/>
      </c>
      <c r="M189" s="512">
        <f>Assy.Model!$M34</f>
        <v>2.222</v>
      </c>
      <c r="N189" s="810" t="str">
        <f>Assy.Model!K34</f>
        <v>CPS-32193r1</v>
      </c>
      <c r="O189" s="575" t="str">
        <f t="shared" si="243"/>
        <v/>
      </c>
      <c r="P189" s="572" t="str">
        <f t="shared" si="244"/>
        <v/>
      </c>
      <c r="Q189" s="579" t="str">
        <f t="shared" si="245"/>
        <v/>
      </c>
      <c r="R189" s="580" t="str">
        <f t="shared" si="246"/>
        <v/>
      </c>
      <c r="S189" s="572" t="str">
        <f t="shared" si="247"/>
        <v/>
      </c>
      <c r="T189" s="579" t="str">
        <f t="shared" si="248"/>
        <v/>
      </c>
      <c r="AQ189" s="162"/>
    </row>
    <row r="190" spans="2:43" ht="15" customHeight="1" x14ac:dyDescent="0.25">
      <c r="B190" s="650"/>
      <c r="C190" s="651"/>
      <c r="D190" s="652"/>
      <c r="E190" s="653"/>
      <c r="F190" s="651"/>
      <c r="G190" s="654"/>
      <c r="H190" s="653"/>
      <c r="I190" s="518"/>
      <c r="J190" s="817"/>
      <c r="K190" s="519"/>
      <c r="L190" s="162" t="str">
        <f t="shared" si="249"/>
        <v/>
      </c>
      <c r="M190" s="512">
        <f>Assy.Model!$M35</f>
        <v>2.2280000000000002</v>
      </c>
      <c r="N190" s="810" t="str">
        <f>Assy.Model!K35</f>
        <v>CPS-32193r1</v>
      </c>
      <c r="O190" s="575" t="str">
        <f t="shared" si="243"/>
        <v/>
      </c>
      <c r="P190" s="572" t="str">
        <f t="shared" si="244"/>
        <v/>
      </c>
      <c r="Q190" s="579" t="str">
        <f t="shared" si="245"/>
        <v/>
      </c>
      <c r="R190" s="580" t="str">
        <f t="shared" si="246"/>
        <v/>
      </c>
      <c r="S190" s="572" t="str">
        <f t="shared" si="247"/>
        <v/>
      </c>
      <c r="T190" s="579" t="str">
        <f t="shared" si="248"/>
        <v/>
      </c>
      <c r="AQ190" s="162"/>
    </row>
    <row r="191" spans="2:43" ht="15" customHeight="1" x14ac:dyDescent="0.25">
      <c r="B191" s="650"/>
      <c r="C191" s="651"/>
      <c r="D191" s="652"/>
      <c r="E191" s="653"/>
      <c r="F191" s="651"/>
      <c r="G191" s="654"/>
      <c r="H191" s="653"/>
      <c r="I191" s="518"/>
      <c r="J191" s="817"/>
      <c r="K191" s="519"/>
      <c r="L191" s="162" t="str">
        <f t="shared" si="249"/>
        <v/>
      </c>
      <c r="M191" s="512">
        <f>Assy.Model!$M36</f>
        <v>2.234</v>
      </c>
      <c r="N191" s="810" t="str">
        <f>Assy.Model!K36</f>
        <v>CPS-32193r1</v>
      </c>
      <c r="O191" s="575" t="str">
        <f t="shared" si="243"/>
        <v/>
      </c>
      <c r="P191" s="572" t="str">
        <f t="shared" si="244"/>
        <v/>
      </c>
      <c r="Q191" s="579" t="str">
        <f t="shared" si="245"/>
        <v/>
      </c>
      <c r="R191" s="580" t="str">
        <f t="shared" si="246"/>
        <v/>
      </c>
      <c r="S191" s="572" t="str">
        <f t="shared" si="247"/>
        <v/>
      </c>
      <c r="T191" s="579" t="str">
        <f t="shared" si="248"/>
        <v/>
      </c>
      <c r="AQ191" s="162"/>
    </row>
    <row r="192" spans="2:43" ht="15" customHeight="1" x14ac:dyDescent="0.25">
      <c r="B192" s="650"/>
      <c r="C192" s="651"/>
      <c r="D192" s="652"/>
      <c r="E192" s="653"/>
      <c r="F192" s="651"/>
      <c r="G192" s="654"/>
      <c r="H192" s="653"/>
      <c r="I192" s="518"/>
      <c r="J192" s="817"/>
      <c r="K192" s="519"/>
      <c r="L192" s="162" t="str">
        <f t="shared" si="249"/>
        <v/>
      </c>
      <c r="M192" s="512">
        <f>Assy.Model!$M37</f>
        <v>2.2400000000000002</v>
      </c>
      <c r="N192" s="810" t="str">
        <f>Assy.Model!K37</f>
        <v>CPS-32193r1</v>
      </c>
      <c r="O192" s="575" t="str">
        <f t="shared" si="243"/>
        <v/>
      </c>
      <c r="P192" s="572" t="str">
        <f t="shared" si="244"/>
        <v/>
      </c>
      <c r="Q192" s="579" t="str">
        <f t="shared" si="245"/>
        <v/>
      </c>
      <c r="R192" s="580" t="str">
        <f t="shared" si="246"/>
        <v/>
      </c>
      <c r="S192" s="572" t="str">
        <f t="shared" si="247"/>
        <v/>
      </c>
      <c r="T192" s="579" t="str">
        <f t="shared" si="248"/>
        <v/>
      </c>
      <c r="AQ192" s="162"/>
    </row>
    <row r="193" spans="2:43" ht="15" customHeight="1" x14ac:dyDescent="0.25">
      <c r="B193" s="650"/>
      <c r="C193" s="651"/>
      <c r="D193" s="652"/>
      <c r="E193" s="653"/>
      <c r="F193" s="651"/>
      <c r="G193" s="654"/>
      <c r="H193" s="653"/>
      <c r="I193" s="518"/>
      <c r="J193" s="817"/>
      <c r="K193" s="519"/>
      <c r="L193" s="162" t="str">
        <f t="shared" si="249"/>
        <v/>
      </c>
      <c r="M193" s="512">
        <f>Assy.Model!$M38</f>
        <v>2.246</v>
      </c>
      <c r="N193" s="810" t="str">
        <f>Assy.Model!K38</f>
        <v>CPS-32193r1</v>
      </c>
      <c r="O193" s="575" t="str">
        <f t="shared" si="243"/>
        <v/>
      </c>
      <c r="P193" s="572" t="str">
        <f t="shared" si="244"/>
        <v/>
      </c>
      <c r="Q193" s="579" t="str">
        <f t="shared" si="245"/>
        <v/>
      </c>
      <c r="R193" s="580" t="str">
        <f t="shared" si="246"/>
        <v/>
      </c>
      <c r="S193" s="572" t="str">
        <f t="shared" si="247"/>
        <v/>
      </c>
      <c r="T193" s="579" t="str">
        <f t="shared" si="248"/>
        <v/>
      </c>
      <c r="AQ193" s="162"/>
    </row>
    <row r="194" spans="2:43" ht="15" customHeight="1" x14ac:dyDescent="0.25">
      <c r="B194" s="650"/>
      <c r="C194" s="651"/>
      <c r="D194" s="652"/>
      <c r="E194" s="653"/>
      <c r="F194" s="651"/>
      <c r="G194" s="654"/>
      <c r="H194" s="653"/>
      <c r="I194" s="518"/>
      <c r="J194" s="817"/>
      <c r="K194" s="519"/>
      <c r="L194" s="162" t="str">
        <f t="shared" si="249"/>
        <v/>
      </c>
      <c r="M194" s="512">
        <f>Assy.Model!$M39</f>
        <v>2.2519999999999998</v>
      </c>
      <c r="N194" s="810">
        <f>Assy.Model!K39</f>
        <v>1313</v>
      </c>
      <c r="O194" s="575" t="str">
        <f t="shared" si="243"/>
        <v/>
      </c>
      <c r="P194" s="572" t="str">
        <f t="shared" si="244"/>
        <v/>
      </c>
      <c r="Q194" s="579" t="str">
        <f t="shared" si="245"/>
        <v/>
      </c>
      <c r="R194" s="580" t="str">
        <f t="shared" si="246"/>
        <v/>
      </c>
      <c r="S194" s="572" t="str">
        <f t="shared" si="247"/>
        <v/>
      </c>
      <c r="T194" s="579" t="str">
        <f t="shared" si="248"/>
        <v/>
      </c>
      <c r="AQ194" s="162"/>
    </row>
    <row r="195" spans="2:43" ht="15" customHeight="1" x14ac:dyDescent="0.25">
      <c r="B195" s="650"/>
      <c r="C195" s="651"/>
      <c r="D195" s="652"/>
      <c r="E195" s="653"/>
      <c r="F195" s="651"/>
      <c r="G195" s="654"/>
      <c r="H195" s="653"/>
      <c r="I195" s="518"/>
      <c r="J195" s="817"/>
      <c r="K195" s="519"/>
      <c r="L195" s="162" t="str">
        <f t="shared" si="249"/>
        <v/>
      </c>
      <c r="M195" s="512">
        <f>Assy.Model!$M40</f>
        <v>3.1030000000000002</v>
      </c>
      <c r="N195" s="810">
        <f>Assy.Model!K40</f>
        <v>1613</v>
      </c>
      <c r="O195" s="575" t="str">
        <f t="shared" si="243"/>
        <v/>
      </c>
      <c r="P195" s="572" t="str">
        <f t="shared" si="244"/>
        <v/>
      </c>
      <c r="Q195" s="579" t="str">
        <f t="shared" si="245"/>
        <v/>
      </c>
      <c r="R195" s="580" t="str">
        <f t="shared" si="246"/>
        <v/>
      </c>
      <c r="S195" s="572" t="str">
        <f t="shared" si="247"/>
        <v/>
      </c>
      <c r="T195" s="579" t="str">
        <f t="shared" si="248"/>
        <v/>
      </c>
      <c r="AQ195" s="162"/>
    </row>
    <row r="196" spans="2:43" ht="15" customHeight="1" x14ac:dyDescent="0.25">
      <c r="B196" s="650"/>
      <c r="C196" s="651"/>
      <c r="D196" s="652"/>
      <c r="E196" s="653"/>
      <c r="F196" s="651"/>
      <c r="G196" s="654"/>
      <c r="H196" s="653"/>
      <c r="I196" s="518"/>
      <c r="J196" s="817"/>
      <c r="K196" s="519"/>
      <c r="L196" s="162" t="str">
        <f t="shared" si="249"/>
        <v/>
      </c>
      <c r="M196" s="512">
        <f>Assy.Model!$M41</f>
        <v>3.1059999999999999</v>
      </c>
      <c r="N196" s="810">
        <f>Assy.Model!K41</f>
        <v>1613</v>
      </c>
      <c r="O196" s="575" t="str">
        <f t="shared" ref="O196:O227" si="250">IF(ISBLANK($J196),"",(($BM$3*$B196)+($BN$3*$C196)+($BO$3*$D196))+$BP$3)</f>
        <v/>
      </c>
      <c r="P196" s="572" t="str">
        <f t="shared" ref="P196:P227" si="251">IF(ISBLANK($J196),"",(($BM$4*$B196)+($BN$4*$C196)+($BO$4*$D196))+$BP$4)</f>
        <v/>
      </c>
      <c r="Q196" s="579" t="str">
        <f t="shared" ref="Q196:Q227" si="252">IF(ISBLANK($J196),"",(($BM$5*$B196)+($BN$5*$C196)+($BO$5*$D196))+$BP$5)</f>
        <v/>
      </c>
      <c r="R196" s="580" t="str">
        <f t="shared" ref="R196:R227" si="253">IF(ISBLANK($J196),"",(($BM$3*$E196)+($BN$3*$F196)+($BO$3*$G196)))</f>
        <v/>
      </c>
      <c r="S196" s="572" t="str">
        <f t="shared" ref="S196:S227" si="254">IF(ISBLANK($J196),"",(($BM$4*$E196)+($BN$4*$F196)+($BO$4*$G196)))</f>
        <v/>
      </c>
      <c r="T196" s="579" t="str">
        <f t="shared" ref="T196:T227" si="255">IF(ISBLANK($J196),"",(($BM$5*$E196)+($BN$5*$F196)+($BO$5*$G196)))</f>
        <v/>
      </c>
      <c r="AQ196" s="162"/>
    </row>
    <row r="197" spans="2:43" ht="15" customHeight="1" x14ac:dyDescent="0.25">
      <c r="B197" s="650"/>
      <c r="C197" s="651"/>
      <c r="D197" s="652"/>
      <c r="E197" s="653"/>
      <c r="F197" s="651"/>
      <c r="G197" s="654"/>
      <c r="H197" s="653"/>
      <c r="I197" s="518"/>
      <c r="J197" s="817"/>
      <c r="K197" s="519"/>
      <c r="L197" s="162" t="str">
        <f t="shared" si="249"/>
        <v/>
      </c>
      <c r="M197" s="512">
        <f>Assy.Model!$M42</f>
        <v>3.109</v>
      </c>
      <c r="N197" s="810">
        <f>Assy.Model!K42</f>
        <v>1613</v>
      </c>
      <c r="O197" s="575" t="str">
        <f t="shared" si="250"/>
        <v/>
      </c>
      <c r="P197" s="572" t="str">
        <f t="shared" si="251"/>
        <v/>
      </c>
      <c r="Q197" s="579" t="str">
        <f t="shared" si="252"/>
        <v/>
      </c>
      <c r="R197" s="580" t="str">
        <f t="shared" si="253"/>
        <v/>
      </c>
      <c r="S197" s="572" t="str">
        <f t="shared" si="254"/>
        <v/>
      </c>
      <c r="T197" s="579" t="str">
        <f t="shared" si="255"/>
        <v/>
      </c>
      <c r="AQ197" s="162"/>
    </row>
    <row r="198" spans="2:43" ht="15" customHeight="1" x14ac:dyDescent="0.25">
      <c r="B198" s="650"/>
      <c r="C198" s="651"/>
      <c r="D198" s="652"/>
      <c r="E198" s="653"/>
      <c r="F198" s="651"/>
      <c r="G198" s="654"/>
      <c r="H198" s="653"/>
      <c r="I198" s="518"/>
      <c r="J198" s="817"/>
      <c r="K198" s="519"/>
      <c r="L198" s="162" t="str">
        <f t="shared" si="249"/>
        <v/>
      </c>
      <c r="M198" s="512">
        <f>Assy.Model!$M43</f>
        <v>3.1150000000000002</v>
      </c>
      <c r="N198" s="810">
        <f>Assy.Model!K43</f>
        <v>1613</v>
      </c>
      <c r="O198" s="575" t="str">
        <f t="shared" si="250"/>
        <v/>
      </c>
      <c r="P198" s="572" t="str">
        <f t="shared" si="251"/>
        <v/>
      </c>
      <c r="Q198" s="579" t="str">
        <f t="shared" si="252"/>
        <v/>
      </c>
      <c r="R198" s="580" t="str">
        <f t="shared" si="253"/>
        <v/>
      </c>
      <c r="S198" s="572" t="str">
        <f t="shared" si="254"/>
        <v/>
      </c>
      <c r="T198" s="579" t="str">
        <f t="shared" si="255"/>
        <v/>
      </c>
      <c r="AQ198" s="162"/>
    </row>
    <row r="199" spans="2:43" ht="15" customHeight="1" x14ac:dyDescent="0.25">
      <c r="B199" s="650"/>
      <c r="C199" s="651"/>
      <c r="D199" s="652"/>
      <c r="E199" s="653"/>
      <c r="F199" s="651"/>
      <c r="G199" s="654"/>
      <c r="H199" s="653"/>
      <c r="I199" s="518"/>
      <c r="J199" s="817"/>
      <c r="K199" s="519"/>
      <c r="L199" s="162" t="str">
        <f t="shared" si="249"/>
        <v/>
      </c>
      <c r="M199" s="512">
        <f>Assy.Model!$M44</f>
        <v>3.121</v>
      </c>
      <c r="N199" s="810">
        <f>Assy.Model!K44</f>
        <v>1613</v>
      </c>
      <c r="O199" s="575" t="str">
        <f t="shared" si="250"/>
        <v/>
      </c>
      <c r="P199" s="572" t="str">
        <f t="shared" si="251"/>
        <v/>
      </c>
      <c r="Q199" s="579" t="str">
        <f t="shared" si="252"/>
        <v/>
      </c>
      <c r="R199" s="580" t="str">
        <f t="shared" si="253"/>
        <v/>
      </c>
      <c r="S199" s="572" t="str">
        <f t="shared" si="254"/>
        <v/>
      </c>
      <c r="T199" s="579" t="str">
        <f t="shared" si="255"/>
        <v/>
      </c>
      <c r="AQ199" s="162"/>
    </row>
    <row r="200" spans="2:43" ht="15" customHeight="1" x14ac:dyDescent="0.25">
      <c r="B200" s="650"/>
      <c r="C200" s="651"/>
      <c r="D200" s="652"/>
      <c r="E200" s="653"/>
      <c r="F200" s="651"/>
      <c r="G200" s="654"/>
      <c r="H200" s="653"/>
      <c r="I200" s="518"/>
      <c r="J200" s="817"/>
      <c r="K200" s="519"/>
      <c r="L200" s="162" t="str">
        <f t="shared" si="249"/>
        <v/>
      </c>
      <c r="M200" s="512">
        <f>Assy.Model!$M45</f>
        <v>3.1269999999999998</v>
      </c>
      <c r="N200" s="810">
        <f>Assy.Model!K45</f>
        <v>1613</v>
      </c>
      <c r="O200" s="575" t="str">
        <f t="shared" si="250"/>
        <v/>
      </c>
      <c r="P200" s="572" t="str">
        <f t="shared" si="251"/>
        <v/>
      </c>
      <c r="Q200" s="579" t="str">
        <f t="shared" si="252"/>
        <v/>
      </c>
      <c r="R200" s="580" t="str">
        <f t="shared" si="253"/>
        <v/>
      </c>
      <c r="S200" s="572" t="str">
        <f t="shared" si="254"/>
        <v/>
      </c>
      <c r="T200" s="579" t="str">
        <f t="shared" si="255"/>
        <v/>
      </c>
      <c r="AQ200" s="162"/>
    </row>
    <row r="201" spans="2:43" ht="15" customHeight="1" x14ac:dyDescent="0.25">
      <c r="B201" s="650"/>
      <c r="C201" s="651"/>
      <c r="D201" s="652"/>
      <c r="E201" s="653"/>
      <c r="F201" s="651"/>
      <c r="G201" s="654"/>
      <c r="H201" s="653"/>
      <c r="I201" s="518"/>
      <c r="J201" s="817"/>
      <c r="K201" s="519"/>
      <c r="L201" s="162" t="str">
        <f t="shared" si="249"/>
        <v/>
      </c>
      <c r="M201" s="512">
        <f>Assy.Model!$M46</f>
        <v>3.133</v>
      </c>
      <c r="N201" s="810">
        <f>Assy.Model!K46</f>
        <v>1613</v>
      </c>
      <c r="O201" s="575" t="str">
        <f t="shared" si="250"/>
        <v/>
      </c>
      <c r="P201" s="572" t="str">
        <f t="shared" si="251"/>
        <v/>
      </c>
      <c r="Q201" s="579" t="str">
        <f t="shared" si="252"/>
        <v/>
      </c>
      <c r="R201" s="580" t="str">
        <f t="shared" si="253"/>
        <v/>
      </c>
      <c r="S201" s="572" t="str">
        <f t="shared" si="254"/>
        <v/>
      </c>
      <c r="T201" s="579" t="str">
        <f t="shared" si="255"/>
        <v/>
      </c>
      <c r="AQ201" s="162"/>
    </row>
    <row r="202" spans="2:43" ht="15" customHeight="1" x14ac:dyDescent="0.25">
      <c r="B202" s="650"/>
      <c r="C202" s="651"/>
      <c r="D202" s="652"/>
      <c r="E202" s="653"/>
      <c r="F202" s="651"/>
      <c r="G202" s="654"/>
      <c r="H202" s="653"/>
      <c r="I202" s="518"/>
      <c r="J202" s="817"/>
      <c r="K202" s="519"/>
      <c r="L202" s="162" t="str">
        <f t="shared" si="249"/>
        <v/>
      </c>
      <c r="M202" s="512">
        <f>Assy.Model!$M47</f>
        <v>3.1389999999999998</v>
      </c>
      <c r="N202" s="810">
        <f>Assy.Model!K47</f>
        <v>1613</v>
      </c>
      <c r="O202" s="575" t="str">
        <f t="shared" si="250"/>
        <v/>
      </c>
      <c r="P202" s="572" t="str">
        <f t="shared" si="251"/>
        <v/>
      </c>
      <c r="Q202" s="579" t="str">
        <f t="shared" si="252"/>
        <v/>
      </c>
      <c r="R202" s="580" t="str">
        <f t="shared" si="253"/>
        <v/>
      </c>
      <c r="S202" s="572" t="str">
        <f t="shared" si="254"/>
        <v/>
      </c>
      <c r="T202" s="579" t="str">
        <f t="shared" si="255"/>
        <v/>
      </c>
    </row>
    <row r="203" spans="2:43" ht="15" customHeight="1" x14ac:dyDescent="0.25">
      <c r="B203" s="650"/>
      <c r="C203" s="651"/>
      <c r="D203" s="652"/>
      <c r="E203" s="653"/>
      <c r="F203" s="651"/>
      <c r="G203" s="654"/>
      <c r="H203" s="653"/>
      <c r="I203" s="518"/>
      <c r="J203" s="817"/>
      <c r="K203" s="519"/>
      <c r="L203" s="162" t="str">
        <f t="shared" si="249"/>
        <v/>
      </c>
      <c r="M203" s="512">
        <f>Assy.Model!$M48</f>
        <v>3.145</v>
      </c>
      <c r="N203" s="810">
        <f>Assy.Model!K48</f>
        <v>1613</v>
      </c>
      <c r="O203" s="575" t="str">
        <f t="shared" si="250"/>
        <v/>
      </c>
      <c r="P203" s="572" t="str">
        <f t="shared" si="251"/>
        <v/>
      </c>
      <c r="Q203" s="579" t="str">
        <f t="shared" si="252"/>
        <v/>
      </c>
      <c r="R203" s="580" t="str">
        <f t="shared" si="253"/>
        <v/>
      </c>
      <c r="S203" s="572" t="str">
        <f t="shared" si="254"/>
        <v/>
      </c>
      <c r="T203" s="579" t="str">
        <f t="shared" si="255"/>
        <v/>
      </c>
    </row>
    <row r="204" spans="2:43" ht="15" customHeight="1" x14ac:dyDescent="0.25">
      <c r="B204" s="650"/>
      <c r="C204" s="651"/>
      <c r="D204" s="652"/>
      <c r="E204" s="653"/>
      <c r="F204" s="651"/>
      <c r="G204" s="654"/>
      <c r="H204" s="653"/>
      <c r="I204" s="518"/>
      <c r="J204" s="817"/>
      <c r="K204" s="519"/>
      <c r="L204" s="162" t="str">
        <f t="shared" si="249"/>
        <v/>
      </c>
      <c r="M204" s="512">
        <f>Assy.Model!$M49</f>
        <v>3.2149999999999999</v>
      </c>
      <c r="N204" s="810" t="str">
        <f>Assy.Model!K49</f>
        <v>CPS-32193r1</v>
      </c>
      <c r="O204" s="575" t="str">
        <f t="shared" si="250"/>
        <v/>
      </c>
      <c r="P204" s="572" t="str">
        <f t="shared" si="251"/>
        <v/>
      </c>
      <c r="Q204" s="579" t="str">
        <f t="shared" si="252"/>
        <v/>
      </c>
      <c r="R204" s="580" t="str">
        <f t="shared" si="253"/>
        <v/>
      </c>
      <c r="S204" s="572" t="str">
        <f t="shared" si="254"/>
        <v/>
      </c>
      <c r="T204" s="579" t="str">
        <f t="shared" si="255"/>
        <v/>
      </c>
    </row>
    <row r="205" spans="2:43" ht="15" customHeight="1" x14ac:dyDescent="0.25">
      <c r="B205" s="650"/>
      <c r="C205" s="651"/>
      <c r="D205" s="652"/>
      <c r="E205" s="653"/>
      <c r="F205" s="651"/>
      <c r="G205" s="654"/>
      <c r="H205" s="653"/>
      <c r="I205" s="518"/>
      <c r="J205" s="817"/>
      <c r="K205" s="519"/>
      <c r="L205" s="162" t="str">
        <f t="shared" si="249"/>
        <v/>
      </c>
      <c r="M205" s="512">
        <f>Assy.Model!$M50</f>
        <v>3.2210000000000001</v>
      </c>
      <c r="N205" s="810">
        <f>Assy.Model!K50</f>
        <v>1313</v>
      </c>
      <c r="O205" s="575" t="str">
        <f t="shared" si="250"/>
        <v/>
      </c>
      <c r="P205" s="572" t="str">
        <f t="shared" si="251"/>
        <v/>
      </c>
      <c r="Q205" s="579" t="str">
        <f t="shared" si="252"/>
        <v/>
      </c>
      <c r="R205" s="580" t="str">
        <f t="shared" si="253"/>
        <v/>
      </c>
      <c r="S205" s="572" t="str">
        <f t="shared" si="254"/>
        <v/>
      </c>
      <c r="T205" s="579" t="str">
        <f t="shared" si="255"/>
        <v/>
      </c>
    </row>
    <row r="206" spans="2:43" ht="15" customHeight="1" x14ac:dyDescent="0.25">
      <c r="B206" s="650"/>
      <c r="C206" s="651"/>
      <c r="D206" s="652"/>
      <c r="E206" s="653"/>
      <c r="F206" s="651"/>
      <c r="G206" s="654"/>
      <c r="H206" s="653"/>
      <c r="I206" s="518"/>
      <c r="J206" s="817"/>
      <c r="K206" s="519"/>
      <c r="L206" s="162" t="str">
        <f t="shared" si="249"/>
        <v/>
      </c>
      <c r="M206" s="512">
        <f>Assy.Model!$M51</f>
        <v>3.2269999999999999</v>
      </c>
      <c r="N206" s="810">
        <f>Assy.Model!K51</f>
        <v>1313</v>
      </c>
      <c r="O206" s="575" t="str">
        <f t="shared" si="250"/>
        <v/>
      </c>
      <c r="P206" s="572" t="str">
        <f t="shared" si="251"/>
        <v/>
      </c>
      <c r="Q206" s="579" t="str">
        <f t="shared" si="252"/>
        <v/>
      </c>
      <c r="R206" s="580" t="str">
        <f t="shared" si="253"/>
        <v/>
      </c>
      <c r="S206" s="572" t="str">
        <f t="shared" si="254"/>
        <v/>
      </c>
      <c r="T206" s="579" t="str">
        <f t="shared" si="255"/>
        <v/>
      </c>
    </row>
    <row r="207" spans="2:43" ht="15" customHeight="1" x14ac:dyDescent="0.25">
      <c r="B207" s="650"/>
      <c r="C207" s="651"/>
      <c r="D207" s="652"/>
      <c r="E207" s="653"/>
      <c r="F207" s="651"/>
      <c r="G207" s="654"/>
      <c r="H207" s="653"/>
      <c r="I207" s="518"/>
      <c r="J207" s="817"/>
      <c r="K207" s="519"/>
      <c r="L207" s="162" t="str">
        <f t="shared" si="249"/>
        <v/>
      </c>
      <c r="M207" s="512">
        <f>Assy.Model!$M52</f>
        <v>3.2330000000000001</v>
      </c>
      <c r="N207" s="810">
        <f>Assy.Model!K52</f>
        <v>1313</v>
      </c>
      <c r="O207" s="575" t="str">
        <f t="shared" si="250"/>
        <v/>
      </c>
      <c r="P207" s="572" t="str">
        <f t="shared" si="251"/>
        <v/>
      </c>
      <c r="Q207" s="579" t="str">
        <f t="shared" si="252"/>
        <v/>
      </c>
      <c r="R207" s="580" t="str">
        <f t="shared" si="253"/>
        <v/>
      </c>
      <c r="S207" s="572" t="str">
        <f t="shared" si="254"/>
        <v/>
      </c>
      <c r="T207" s="579" t="str">
        <f t="shared" si="255"/>
        <v/>
      </c>
    </row>
    <row r="208" spans="2:43" ht="15" customHeight="1" x14ac:dyDescent="0.25">
      <c r="B208" s="650"/>
      <c r="C208" s="651"/>
      <c r="D208" s="652"/>
      <c r="E208" s="653"/>
      <c r="F208" s="651"/>
      <c r="G208" s="654"/>
      <c r="H208" s="653"/>
      <c r="I208" s="518"/>
      <c r="J208" s="817"/>
      <c r="K208" s="519"/>
      <c r="L208" s="162" t="str">
        <f t="shared" si="249"/>
        <v/>
      </c>
      <c r="M208" s="512">
        <f>Assy.Model!$M53</f>
        <v>3.2389999999999999</v>
      </c>
      <c r="N208" s="810" t="str">
        <f>Assy.Model!K53</f>
        <v>CPS-32193r1</v>
      </c>
      <c r="O208" s="575" t="str">
        <f t="shared" si="250"/>
        <v/>
      </c>
      <c r="P208" s="572" t="str">
        <f t="shared" si="251"/>
        <v/>
      </c>
      <c r="Q208" s="579" t="str">
        <f t="shared" si="252"/>
        <v/>
      </c>
      <c r="R208" s="580" t="str">
        <f t="shared" si="253"/>
        <v/>
      </c>
      <c r="S208" s="572" t="str">
        <f t="shared" si="254"/>
        <v/>
      </c>
      <c r="T208" s="579" t="str">
        <f t="shared" si="255"/>
        <v/>
      </c>
    </row>
    <row r="209" spans="2:20" ht="15" customHeight="1" x14ac:dyDescent="0.25">
      <c r="B209" s="650"/>
      <c r="C209" s="651"/>
      <c r="D209" s="652"/>
      <c r="E209" s="653"/>
      <c r="F209" s="651"/>
      <c r="G209" s="654"/>
      <c r="H209" s="653"/>
      <c r="I209" s="518"/>
      <c r="J209" s="817"/>
      <c r="K209" s="519"/>
      <c r="L209" s="162" t="str">
        <f t="shared" si="249"/>
        <v/>
      </c>
      <c r="M209" s="512">
        <f>Assy.Model!$M54</f>
        <v>3.2450000000000001</v>
      </c>
      <c r="N209" s="810" t="str">
        <f>Assy.Model!K54</f>
        <v>CPS-32193r1</v>
      </c>
      <c r="O209" s="575" t="str">
        <f t="shared" si="250"/>
        <v/>
      </c>
      <c r="P209" s="572" t="str">
        <f t="shared" si="251"/>
        <v/>
      </c>
      <c r="Q209" s="579" t="str">
        <f t="shared" si="252"/>
        <v/>
      </c>
      <c r="R209" s="580" t="str">
        <f t="shared" si="253"/>
        <v/>
      </c>
      <c r="S209" s="572" t="str">
        <f t="shared" si="254"/>
        <v/>
      </c>
      <c r="T209" s="579" t="str">
        <f t="shared" si="255"/>
        <v/>
      </c>
    </row>
    <row r="210" spans="2:20" ht="15" customHeight="1" x14ac:dyDescent="0.25">
      <c r="B210" s="650"/>
      <c r="C210" s="651"/>
      <c r="D210" s="652"/>
      <c r="E210" s="653"/>
      <c r="F210" s="651"/>
      <c r="G210" s="654"/>
      <c r="H210" s="653"/>
      <c r="I210" s="518"/>
      <c r="J210" s="817"/>
      <c r="K210" s="519"/>
      <c r="L210" s="162" t="str">
        <f t="shared" si="249"/>
        <v/>
      </c>
      <c r="M210" s="512">
        <f>Assy.Model!$M55</f>
        <v>3.2509999999999999</v>
      </c>
      <c r="N210" s="810">
        <f>Assy.Model!K55</f>
        <v>1313</v>
      </c>
      <c r="O210" s="575" t="str">
        <f t="shared" si="250"/>
        <v/>
      </c>
      <c r="P210" s="572" t="str">
        <f t="shared" si="251"/>
        <v/>
      </c>
      <c r="Q210" s="579" t="str">
        <f t="shared" si="252"/>
        <v/>
      </c>
      <c r="R210" s="580" t="str">
        <f t="shared" si="253"/>
        <v/>
      </c>
      <c r="S210" s="572" t="str">
        <f t="shared" si="254"/>
        <v/>
      </c>
      <c r="T210" s="579" t="str">
        <f t="shared" si="255"/>
        <v/>
      </c>
    </row>
    <row r="211" spans="2:20" ht="15" customHeight="1" x14ac:dyDescent="0.25">
      <c r="B211" s="650"/>
      <c r="C211" s="651"/>
      <c r="D211" s="652"/>
      <c r="E211" s="653"/>
      <c r="F211" s="651"/>
      <c r="G211" s="654"/>
      <c r="H211" s="653"/>
      <c r="I211" s="518"/>
      <c r="J211" s="817"/>
      <c r="K211" s="519"/>
      <c r="L211" s="162" t="str">
        <f t="shared" si="249"/>
        <v/>
      </c>
      <c r="M211" s="512">
        <f>Assy.Model!$M56</f>
        <v>4.1139999999999999</v>
      </c>
      <c r="N211" s="810">
        <f>Assy.Model!K56</f>
        <v>1613</v>
      </c>
      <c r="O211" s="575" t="str">
        <f t="shared" si="250"/>
        <v/>
      </c>
      <c r="P211" s="572" t="str">
        <f t="shared" si="251"/>
        <v/>
      </c>
      <c r="Q211" s="579" t="str">
        <f t="shared" si="252"/>
        <v/>
      </c>
      <c r="R211" s="580" t="str">
        <f t="shared" si="253"/>
        <v/>
      </c>
      <c r="S211" s="572" t="str">
        <f t="shared" si="254"/>
        <v/>
      </c>
      <c r="T211" s="579" t="str">
        <f t="shared" si="255"/>
        <v/>
      </c>
    </row>
    <row r="212" spans="2:20" ht="15" customHeight="1" x14ac:dyDescent="0.25">
      <c r="B212" s="650"/>
      <c r="C212" s="651"/>
      <c r="D212" s="652"/>
      <c r="E212" s="653"/>
      <c r="F212" s="651"/>
      <c r="G212" s="654"/>
      <c r="H212" s="653"/>
      <c r="I212" s="518"/>
      <c r="J212" s="817"/>
      <c r="K212" s="519"/>
      <c r="L212" s="162" t="str">
        <f t="shared" si="249"/>
        <v/>
      </c>
      <c r="M212" s="512">
        <f>Assy.Model!$M57</f>
        <v>4.12</v>
      </c>
      <c r="N212" s="810">
        <f>Assy.Model!K57</f>
        <v>1613</v>
      </c>
      <c r="O212" s="575" t="str">
        <f t="shared" si="250"/>
        <v/>
      </c>
      <c r="P212" s="572" t="str">
        <f t="shared" si="251"/>
        <v/>
      </c>
      <c r="Q212" s="579" t="str">
        <f t="shared" si="252"/>
        <v/>
      </c>
      <c r="R212" s="580" t="str">
        <f t="shared" si="253"/>
        <v/>
      </c>
      <c r="S212" s="572" t="str">
        <f t="shared" si="254"/>
        <v/>
      </c>
      <c r="T212" s="579" t="str">
        <f t="shared" si="255"/>
        <v/>
      </c>
    </row>
    <row r="213" spans="2:20" ht="15" customHeight="1" x14ac:dyDescent="0.25">
      <c r="B213" s="650"/>
      <c r="C213" s="651"/>
      <c r="D213" s="652"/>
      <c r="E213" s="653"/>
      <c r="F213" s="651"/>
      <c r="G213" s="654"/>
      <c r="H213" s="653"/>
      <c r="I213" s="518"/>
      <c r="J213" s="817"/>
      <c r="K213" s="519"/>
      <c r="L213" s="162" t="str">
        <f t="shared" si="249"/>
        <v/>
      </c>
      <c r="M213" s="512">
        <f>Assy.Model!$M58</f>
        <v>4.1260000000000003</v>
      </c>
      <c r="N213" s="810">
        <f>Assy.Model!K58</f>
        <v>1613</v>
      </c>
      <c r="O213" s="575" t="str">
        <f t="shared" si="250"/>
        <v/>
      </c>
      <c r="P213" s="572" t="str">
        <f t="shared" si="251"/>
        <v/>
      </c>
      <c r="Q213" s="579" t="str">
        <f t="shared" si="252"/>
        <v/>
      </c>
      <c r="R213" s="580" t="str">
        <f t="shared" si="253"/>
        <v/>
      </c>
      <c r="S213" s="572" t="str">
        <f t="shared" si="254"/>
        <v/>
      </c>
      <c r="T213" s="579" t="str">
        <f t="shared" si="255"/>
        <v/>
      </c>
    </row>
    <row r="214" spans="2:20" ht="15" customHeight="1" x14ac:dyDescent="0.25">
      <c r="B214" s="650"/>
      <c r="C214" s="651"/>
      <c r="D214" s="652"/>
      <c r="E214" s="653"/>
      <c r="F214" s="651"/>
      <c r="G214" s="654"/>
      <c r="H214" s="653"/>
      <c r="I214" s="518"/>
      <c r="J214" s="817"/>
      <c r="K214" s="519"/>
      <c r="L214" s="162" t="str">
        <f t="shared" si="249"/>
        <v/>
      </c>
      <c r="M214" s="512">
        <f>Assy.Model!$M59</f>
        <v>4.1319999999999997</v>
      </c>
      <c r="N214" s="810">
        <f>Assy.Model!K59</f>
        <v>1613</v>
      </c>
      <c r="O214" s="575" t="str">
        <f t="shared" si="250"/>
        <v/>
      </c>
      <c r="P214" s="572" t="str">
        <f t="shared" si="251"/>
        <v/>
      </c>
      <c r="Q214" s="579" t="str">
        <f t="shared" si="252"/>
        <v/>
      </c>
      <c r="R214" s="580" t="str">
        <f t="shared" si="253"/>
        <v/>
      </c>
      <c r="S214" s="572" t="str">
        <f t="shared" si="254"/>
        <v/>
      </c>
      <c r="T214" s="579" t="str">
        <f t="shared" si="255"/>
        <v/>
      </c>
    </row>
    <row r="215" spans="2:20" ht="15" customHeight="1" x14ac:dyDescent="0.25">
      <c r="B215" s="650"/>
      <c r="C215" s="651"/>
      <c r="D215" s="652"/>
      <c r="E215" s="653"/>
      <c r="F215" s="651"/>
      <c r="G215" s="654"/>
      <c r="H215" s="653"/>
      <c r="I215" s="518"/>
      <c r="J215" s="817"/>
      <c r="K215" s="519"/>
      <c r="L215" s="162" t="str">
        <f t="shared" si="249"/>
        <v/>
      </c>
      <c r="M215" s="512">
        <f>Assy.Model!$M60</f>
        <v>4.1379999999999999</v>
      </c>
      <c r="N215" s="810">
        <f>Assy.Model!K60</f>
        <v>1613</v>
      </c>
      <c r="O215" s="575" t="str">
        <f t="shared" si="250"/>
        <v/>
      </c>
      <c r="P215" s="572" t="str">
        <f t="shared" si="251"/>
        <v/>
      </c>
      <c r="Q215" s="579" t="str">
        <f t="shared" si="252"/>
        <v/>
      </c>
      <c r="R215" s="580" t="str">
        <f t="shared" si="253"/>
        <v/>
      </c>
      <c r="S215" s="572" t="str">
        <f t="shared" si="254"/>
        <v/>
      </c>
      <c r="T215" s="579" t="str">
        <f t="shared" si="255"/>
        <v/>
      </c>
    </row>
    <row r="216" spans="2:20" ht="15" customHeight="1" x14ac:dyDescent="0.25">
      <c r="B216" s="650"/>
      <c r="C216" s="651"/>
      <c r="D216" s="652"/>
      <c r="E216" s="653"/>
      <c r="F216" s="651"/>
      <c r="G216" s="654"/>
      <c r="H216" s="653"/>
      <c r="I216" s="518"/>
      <c r="J216" s="817"/>
      <c r="K216" s="519"/>
      <c r="L216" s="162" t="str">
        <f t="shared" si="249"/>
        <v/>
      </c>
      <c r="M216" s="512">
        <f>Assy.Model!$M61</f>
        <v>4.1440000000000001</v>
      </c>
      <c r="N216" s="810">
        <f>Assy.Model!K61</f>
        <v>1613</v>
      </c>
      <c r="O216" s="575" t="str">
        <f t="shared" si="250"/>
        <v/>
      </c>
      <c r="P216" s="572" t="str">
        <f t="shared" si="251"/>
        <v/>
      </c>
      <c r="Q216" s="579" t="str">
        <f t="shared" si="252"/>
        <v/>
      </c>
      <c r="R216" s="580" t="str">
        <f t="shared" si="253"/>
        <v/>
      </c>
      <c r="S216" s="572" t="str">
        <f t="shared" si="254"/>
        <v/>
      </c>
      <c r="T216" s="579" t="str">
        <f t="shared" si="255"/>
        <v/>
      </c>
    </row>
    <row r="217" spans="2:20" ht="15" customHeight="1" x14ac:dyDescent="0.25">
      <c r="B217" s="650"/>
      <c r="C217" s="651"/>
      <c r="D217" s="652"/>
      <c r="E217" s="653"/>
      <c r="F217" s="651"/>
      <c r="G217" s="654"/>
      <c r="H217" s="653"/>
      <c r="I217" s="518"/>
      <c r="J217" s="817"/>
      <c r="K217" s="519"/>
      <c r="L217" s="162" t="str">
        <f t="shared" si="249"/>
        <v/>
      </c>
      <c r="M217" s="512">
        <f>Assy.Model!$M62</f>
        <v>4.22</v>
      </c>
      <c r="N217" s="810" t="str">
        <f>Assy.Model!K62</f>
        <v>CPS-32193r1</v>
      </c>
      <c r="O217" s="575" t="str">
        <f t="shared" si="250"/>
        <v/>
      </c>
      <c r="P217" s="572" t="str">
        <f t="shared" si="251"/>
        <v/>
      </c>
      <c r="Q217" s="579" t="str">
        <f t="shared" si="252"/>
        <v/>
      </c>
      <c r="R217" s="580" t="str">
        <f t="shared" si="253"/>
        <v/>
      </c>
      <c r="S217" s="572" t="str">
        <f t="shared" si="254"/>
        <v/>
      </c>
      <c r="T217" s="579" t="str">
        <f t="shared" si="255"/>
        <v/>
      </c>
    </row>
    <row r="218" spans="2:20" ht="15" customHeight="1" x14ac:dyDescent="0.25">
      <c r="B218" s="650"/>
      <c r="C218" s="651"/>
      <c r="D218" s="652"/>
      <c r="E218" s="653"/>
      <c r="F218" s="651"/>
      <c r="G218" s="654"/>
      <c r="H218" s="653"/>
      <c r="I218" s="518"/>
      <c r="J218" s="817"/>
      <c r="K218" s="519"/>
      <c r="L218" s="162" t="str">
        <f t="shared" si="249"/>
        <v/>
      </c>
      <c r="M218" s="512">
        <f>Assy.Model!$M63</f>
        <v>4.226</v>
      </c>
      <c r="N218" s="810" t="str">
        <f>Assy.Model!K63</f>
        <v>CPS-32193r1</v>
      </c>
      <c r="O218" s="575" t="str">
        <f t="shared" si="250"/>
        <v/>
      </c>
      <c r="P218" s="572" t="str">
        <f t="shared" si="251"/>
        <v/>
      </c>
      <c r="Q218" s="579" t="str">
        <f t="shared" si="252"/>
        <v/>
      </c>
      <c r="R218" s="580" t="str">
        <f t="shared" si="253"/>
        <v/>
      </c>
      <c r="S218" s="572" t="str">
        <f t="shared" si="254"/>
        <v/>
      </c>
      <c r="T218" s="579" t="str">
        <f t="shared" si="255"/>
        <v/>
      </c>
    </row>
    <row r="219" spans="2:20" ht="15" customHeight="1" x14ac:dyDescent="0.25">
      <c r="B219" s="650"/>
      <c r="C219" s="651"/>
      <c r="D219" s="652"/>
      <c r="E219" s="653"/>
      <c r="F219" s="651"/>
      <c r="G219" s="654"/>
      <c r="H219" s="653"/>
      <c r="I219" s="518"/>
      <c r="J219" s="817"/>
      <c r="K219" s="519"/>
      <c r="L219" s="162" t="str">
        <f t="shared" si="249"/>
        <v/>
      </c>
      <c r="M219" s="512">
        <f>Assy.Model!$M64</f>
        <v>4.2320000000000002</v>
      </c>
      <c r="N219" s="810" t="str">
        <f>Assy.Model!K64</f>
        <v>CPS-32193r1</v>
      </c>
      <c r="O219" s="575" t="str">
        <f t="shared" si="250"/>
        <v/>
      </c>
      <c r="P219" s="572" t="str">
        <f t="shared" si="251"/>
        <v/>
      </c>
      <c r="Q219" s="579" t="str">
        <f t="shared" si="252"/>
        <v/>
      </c>
      <c r="R219" s="580" t="str">
        <f t="shared" si="253"/>
        <v/>
      </c>
      <c r="S219" s="572" t="str">
        <f t="shared" si="254"/>
        <v/>
      </c>
      <c r="T219" s="579" t="str">
        <f t="shared" si="255"/>
        <v/>
      </c>
    </row>
    <row r="220" spans="2:20" ht="15" customHeight="1" x14ac:dyDescent="0.25">
      <c r="B220" s="650"/>
      <c r="C220" s="651"/>
      <c r="D220" s="652"/>
      <c r="E220" s="653"/>
      <c r="F220" s="651"/>
      <c r="G220" s="654"/>
      <c r="H220" s="653"/>
      <c r="I220" s="518"/>
      <c r="J220" s="817"/>
      <c r="K220" s="519"/>
      <c r="L220" s="162" t="str">
        <f t="shared" si="249"/>
        <v/>
      </c>
      <c r="M220" s="512">
        <f>Assy.Model!$M65</f>
        <v>4.2380000000000004</v>
      </c>
      <c r="N220" s="810" t="str">
        <f>Assy.Model!K65</f>
        <v>CPS-32193r1</v>
      </c>
      <c r="O220" s="575" t="str">
        <f t="shared" si="250"/>
        <v/>
      </c>
      <c r="P220" s="572" t="str">
        <f t="shared" si="251"/>
        <v/>
      </c>
      <c r="Q220" s="579" t="str">
        <f t="shared" si="252"/>
        <v/>
      </c>
      <c r="R220" s="580" t="str">
        <f t="shared" si="253"/>
        <v/>
      </c>
      <c r="S220" s="572" t="str">
        <f t="shared" si="254"/>
        <v/>
      </c>
      <c r="T220" s="579" t="str">
        <f t="shared" si="255"/>
        <v/>
      </c>
    </row>
    <row r="221" spans="2:20" ht="15" customHeight="1" x14ac:dyDescent="0.25">
      <c r="B221" s="650"/>
      <c r="C221" s="651"/>
      <c r="D221" s="652"/>
      <c r="E221" s="653"/>
      <c r="F221" s="651"/>
      <c r="G221" s="654"/>
      <c r="H221" s="653"/>
      <c r="I221" s="518"/>
      <c r="J221" s="817"/>
      <c r="K221" s="519"/>
      <c r="L221" s="162" t="str">
        <f t="shared" si="249"/>
        <v/>
      </c>
      <c r="M221" s="512">
        <f>Assy.Model!$M66</f>
        <v>4.2439999999999998</v>
      </c>
      <c r="N221" s="810" t="str">
        <f>Assy.Model!K66</f>
        <v>CPS-32193r1</v>
      </c>
      <c r="O221" s="575" t="str">
        <f t="shared" si="250"/>
        <v/>
      </c>
      <c r="P221" s="572" t="str">
        <f t="shared" si="251"/>
        <v/>
      </c>
      <c r="Q221" s="579" t="str">
        <f t="shared" si="252"/>
        <v/>
      </c>
      <c r="R221" s="580" t="str">
        <f t="shared" si="253"/>
        <v/>
      </c>
      <c r="S221" s="572" t="str">
        <f t="shared" si="254"/>
        <v/>
      </c>
      <c r="T221" s="579" t="str">
        <f t="shared" si="255"/>
        <v/>
      </c>
    </row>
    <row r="222" spans="2:20" ht="15" customHeight="1" x14ac:dyDescent="0.25">
      <c r="B222" s="650"/>
      <c r="C222" s="651"/>
      <c r="D222" s="652"/>
      <c r="E222" s="653"/>
      <c r="F222" s="651"/>
      <c r="G222" s="654"/>
      <c r="H222" s="653"/>
      <c r="I222" s="518"/>
      <c r="J222" s="817"/>
      <c r="K222" s="519"/>
      <c r="L222" s="162" t="str">
        <f t="shared" si="249"/>
        <v/>
      </c>
      <c r="M222" s="512">
        <f>Assy.Model!$M67</f>
        <v>4.25</v>
      </c>
      <c r="N222" s="810">
        <f>Assy.Model!K67</f>
        <v>1313</v>
      </c>
      <c r="O222" s="575" t="str">
        <f t="shared" si="250"/>
        <v/>
      </c>
      <c r="P222" s="572" t="str">
        <f t="shared" si="251"/>
        <v/>
      </c>
      <c r="Q222" s="579" t="str">
        <f t="shared" si="252"/>
        <v/>
      </c>
      <c r="R222" s="580" t="str">
        <f t="shared" si="253"/>
        <v/>
      </c>
      <c r="S222" s="572" t="str">
        <f t="shared" si="254"/>
        <v/>
      </c>
      <c r="T222" s="579" t="str">
        <f t="shared" si="255"/>
        <v/>
      </c>
    </row>
    <row r="223" spans="2:20" ht="15" customHeight="1" x14ac:dyDescent="0.25">
      <c r="B223" s="650"/>
      <c r="C223" s="651"/>
      <c r="D223" s="652"/>
      <c r="E223" s="653"/>
      <c r="F223" s="651"/>
      <c r="G223" s="654"/>
      <c r="H223" s="653"/>
      <c r="I223" s="518"/>
      <c r="J223" s="817"/>
      <c r="K223" s="519"/>
      <c r="L223" s="162" t="str">
        <f t="shared" si="249"/>
        <v/>
      </c>
      <c r="M223" s="512">
        <f>Assy.Model!$M68</f>
        <v>5.1020000000000003</v>
      </c>
      <c r="N223" s="810">
        <f>Assy.Model!K68</f>
        <v>1613</v>
      </c>
      <c r="O223" s="575" t="str">
        <f t="shared" si="250"/>
        <v/>
      </c>
      <c r="P223" s="572" t="str">
        <f t="shared" si="251"/>
        <v/>
      </c>
      <c r="Q223" s="579" t="str">
        <f t="shared" si="252"/>
        <v/>
      </c>
      <c r="R223" s="580" t="str">
        <f t="shared" si="253"/>
        <v/>
      </c>
      <c r="S223" s="572" t="str">
        <f t="shared" si="254"/>
        <v/>
      </c>
      <c r="T223" s="579" t="str">
        <f t="shared" si="255"/>
        <v/>
      </c>
    </row>
    <row r="224" spans="2:20" ht="15" customHeight="1" x14ac:dyDescent="0.25">
      <c r="B224" s="650"/>
      <c r="C224" s="651"/>
      <c r="D224" s="652"/>
      <c r="E224" s="653"/>
      <c r="F224" s="651"/>
      <c r="G224" s="654"/>
      <c r="H224" s="653"/>
      <c r="I224" s="518"/>
      <c r="J224" s="817"/>
      <c r="K224" s="519"/>
      <c r="L224" s="162" t="str">
        <f t="shared" si="249"/>
        <v/>
      </c>
      <c r="M224" s="512">
        <f>Assy.Model!$M69</f>
        <v>5.1050000000000004</v>
      </c>
      <c r="N224" s="810">
        <f>Assy.Model!K69</f>
        <v>1613</v>
      </c>
      <c r="O224" s="575" t="str">
        <f t="shared" si="250"/>
        <v/>
      </c>
      <c r="P224" s="572" t="str">
        <f t="shared" si="251"/>
        <v/>
      </c>
      <c r="Q224" s="579" t="str">
        <f t="shared" si="252"/>
        <v/>
      </c>
      <c r="R224" s="580" t="str">
        <f t="shared" si="253"/>
        <v/>
      </c>
      <c r="S224" s="572" t="str">
        <f t="shared" si="254"/>
        <v/>
      </c>
      <c r="T224" s="579" t="str">
        <f t="shared" si="255"/>
        <v/>
      </c>
    </row>
    <row r="225" spans="2:20" ht="15" customHeight="1" x14ac:dyDescent="0.25">
      <c r="B225" s="650"/>
      <c r="C225" s="651"/>
      <c r="D225" s="652"/>
      <c r="E225" s="653"/>
      <c r="F225" s="651"/>
      <c r="G225" s="654"/>
      <c r="H225" s="653"/>
      <c r="I225" s="518"/>
      <c r="J225" s="817"/>
      <c r="K225" s="519"/>
      <c r="L225" s="162" t="str">
        <f t="shared" si="249"/>
        <v/>
      </c>
      <c r="M225" s="512">
        <f>Assy.Model!$M70</f>
        <v>5.1079999999999997</v>
      </c>
      <c r="N225" s="810">
        <f>Assy.Model!K70</f>
        <v>1613</v>
      </c>
      <c r="O225" s="575" t="str">
        <f t="shared" si="250"/>
        <v/>
      </c>
      <c r="P225" s="572" t="str">
        <f t="shared" si="251"/>
        <v/>
      </c>
      <c r="Q225" s="579" t="str">
        <f t="shared" si="252"/>
        <v/>
      </c>
      <c r="R225" s="580" t="str">
        <f t="shared" si="253"/>
        <v/>
      </c>
      <c r="S225" s="572" t="str">
        <f t="shared" si="254"/>
        <v/>
      </c>
      <c r="T225" s="579" t="str">
        <f t="shared" si="255"/>
        <v/>
      </c>
    </row>
    <row r="226" spans="2:20" ht="15" customHeight="1" x14ac:dyDescent="0.25">
      <c r="B226" s="650"/>
      <c r="C226" s="651"/>
      <c r="D226" s="652"/>
      <c r="E226" s="653"/>
      <c r="F226" s="651"/>
      <c r="G226" s="654"/>
      <c r="H226" s="653"/>
      <c r="I226" s="518"/>
      <c r="J226" s="817"/>
      <c r="K226" s="519"/>
      <c r="L226" s="162" t="str">
        <f t="shared" si="249"/>
        <v/>
      </c>
      <c r="M226" s="512">
        <f>Assy.Model!$M71</f>
        <v>5.1130000000000004</v>
      </c>
      <c r="N226" s="810">
        <f>Assy.Model!K71</f>
        <v>1613</v>
      </c>
      <c r="O226" s="575" t="str">
        <f t="shared" si="250"/>
        <v/>
      </c>
      <c r="P226" s="572" t="str">
        <f t="shared" si="251"/>
        <v/>
      </c>
      <c r="Q226" s="579" t="str">
        <f t="shared" si="252"/>
        <v/>
      </c>
      <c r="R226" s="580" t="str">
        <f t="shared" si="253"/>
        <v/>
      </c>
      <c r="S226" s="572" t="str">
        <f t="shared" si="254"/>
        <v/>
      </c>
      <c r="T226" s="579" t="str">
        <f t="shared" si="255"/>
        <v/>
      </c>
    </row>
    <row r="227" spans="2:20" ht="15" customHeight="1" x14ac:dyDescent="0.25">
      <c r="B227" s="650"/>
      <c r="C227" s="651"/>
      <c r="D227" s="652"/>
      <c r="E227" s="653"/>
      <c r="F227" s="651"/>
      <c r="G227" s="654"/>
      <c r="H227" s="653"/>
      <c r="I227" s="518"/>
      <c r="J227" s="817"/>
      <c r="K227" s="519"/>
      <c r="L227" s="162" t="str">
        <f t="shared" si="249"/>
        <v/>
      </c>
      <c r="M227" s="512">
        <f>Assy.Model!$M72</f>
        <v>5.1189999999999998</v>
      </c>
      <c r="N227" s="810">
        <f>Assy.Model!K72</f>
        <v>1613</v>
      </c>
      <c r="O227" s="575" t="str">
        <f t="shared" si="250"/>
        <v/>
      </c>
      <c r="P227" s="572" t="str">
        <f t="shared" si="251"/>
        <v/>
      </c>
      <c r="Q227" s="579" t="str">
        <f t="shared" si="252"/>
        <v/>
      </c>
      <c r="R227" s="580" t="str">
        <f t="shared" si="253"/>
        <v/>
      </c>
      <c r="S227" s="572" t="str">
        <f t="shared" si="254"/>
        <v/>
      </c>
      <c r="T227" s="579" t="str">
        <f t="shared" si="255"/>
        <v/>
      </c>
    </row>
    <row r="228" spans="2:20" ht="15" customHeight="1" x14ac:dyDescent="0.25">
      <c r="B228" s="650"/>
      <c r="C228" s="651"/>
      <c r="D228" s="652"/>
      <c r="E228" s="653"/>
      <c r="F228" s="651"/>
      <c r="G228" s="654"/>
      <c r="H228" s="653"/>
      <c r="I228" s="518"/>
      <c r="J228" s="817"/>
      <c r="K228" s="519"/>
      <c r="L228" s="162" t="str">
        <f t="shared" si="249"/>
        <v/>
      </c>
      <c r="M228" s="512">
        <f>Assy.Model!$M73</f>
        <v>5.125</v>
      </c>
      <c r="N228" s="810">
        <f>Assy.Model!K73</f>
        <v>1613</v>
      </c>
      <c r="O228" s="575" t="str">
        <f t="shared" ref="O228:O259" si="256">IF(ISBLANK($J228),"",(($BM$3*$B228)+($BN$3*$C228)+($BO$3*$D228))+$BP$3)</f>
        <v/>
      </c>
      <c r="P228" s="572" t="str">
        <f t="shared" ref="P228:P259" si="257">IF(ISBLANK($J228),"",(($BM$4*$B228)+($BN$4*$C228)+($BO$4*$D228))+$BP$4)</f>
        <v/>
      </c>
      <c r="Q228" s="579" t="str">
        <f t="shared" ref="Q228:Q259" si="258">IF(ISBLANK($J228),"",(($BM$5*$B228)+($BN$5*$C228)+($BO$5*$D228))+$BP$5)</f>
        <v/>
      </c>
      <c r="R228" s="580" t="str">
        <f t="shared" ref="R228:R259" si="259">IF(ISBLANK($J228),"",(($BM$3*$E228)+($BN$3*$F228)+($BO$3*$G228)))</f>
        <v/>
      </c>
      <c r="S228" s="572" t="str">
        <f t="shared" ref="S228:S259" si="260">IF(ISBLANK($J228),"",(($BM$4*$E228)+($BN$4*$F228)+($BO$4*$G228)))</f>
        <v/>
      </c>
      <c r="T228" s="579" t="str">
        <f t="shared" ref="T228:T259" si="261">IF(ISBLANK($J228),"",(($BM$5*$E228)+($BN$5*$F228)+($BO$5*$G228)))</f>
        <v/>
      </c>
    </row>
    <row r="229" spans="2:20" ht="15" customHeight="1" x14ac:dyDescent="0.25">
      <c r="B229" s="650"/>
      <c r="C229" s="651"/>
      <c r="D229" s="652"/>
      <c r="E229" s="653"/>
      <c r="F229" s="651"/>
      <c r="G229" s="654"/>
      <c r="H229" s="653"/>
      <c r="I229" s="518"/>
      <c r="J229" s="817"/>
      <c r="K229" s="519"/>
      <c r="L229" s="162" t="str">
        <f t="shared" si="249"/>
        <v/>
      </c>
      <c r="M229" s="512">
        <f>Assy.Model!$M74</f>
        <v>5.1310000000000002</v>
      </c>
      <c r="N229" s="810">
        <f>Assy.Model!K74</f>
        <v>1613</v>
      </c>
      <c r="O229" s="575" t="str">
        <f t="shared" si="256"/>
        <v/>
      </c>
      <c r="P229" s="572" t="str">
        <f t="shared" si="257"/>
        <v/>
      </c>
      <c r="Q229" s="579" t="str">
        <f t="shared" si="258"/>
        <v/>
      </c>
      <c r="R229" s="580" t="str">
        <f t="shared" si="259"/>
        <v/>
      </c>
      <c r="S229" s="572" t="str">
        <f t="shared" si="260"/>
        <v/>
      </c>
      <c r="T229" s="579" t="str">
        <f t="shared" si="261"/>
        <v/>
      </c>
    </row>
    <row r="230" spans="2:20" ht="15" customHeight="1" x14ac:dyDescent="0.25">
      <c r="B230" s="650"/>
      <c r="C230" s="651"/>
      <c r="D230" s="652"/>
      <c r="E230" s="653"/>
      <c r="F230" s="651"/>
      <c r="G230" s="654"/>
      <c r="H230" s="653"/>
      <c r="I230" s="518"/>
      <c r="J230" s="817"/>
      <c r="K230" s="519"/>
      <c r="L230" s="162" t="str">
        <f t="shared" si="249"/>
        <v/>
      </c>
      <c r="M230" s="512">
        <f>Assy.Model!$M75</f>
        <v>5.1369999999999996</v>
      </c>
      <c r="N230" s="810">
        <f>Assy.Model!K75</f>
        <v>1613</v>
      </c>
      <c r="O230" s="575" t="str">
        <f t="shared" si="256"/>
        <v/>
      </c>
      <c r="P230" s="572" t="str">
        <f t="shared" si="257"/>
        <v/>
      </c>
      <c r="Q230" s="579" t="str">
        <f t="shared" si="258"/>
        <v/>
      </c>
      <c r="R230" s="580" t="str">
        <f t="shared" si="259"/>
        <v/>
      </c>
      <c r="S230" s="572" t="str">
        <f t="shared" si="260"/>
        <v/>
      </c>
      <c r="T230" s="579" t="str">
        <f t="shared" si="261"/>
        <v/>
      </c>
    </row>
    <row r="231" spans="2:20" ht="15" customHeight="1" x14ac:dyDescent="0.25">
      <c r="B231" s="650"/>
      <c r="C231" s="651"/>
      <c r="D231" s="652"/>
      <c r="E231" s="653"/>
      <c r="F231" s="651"/>
      <c r="G231" s="654"/>
      <c r="H231" s="653"/>
      <c r="I231" s="518"/>
      <c r="J231" s="817"/>
      <c r="K231" s="519"/>
      <c r="L231" s="162" t="str">
        <f t="shared" si="249"/>
        <v/>
      </c>
      <c r="M231" s="512">
        <f>Assy.Model!$M76</f>
        <v>5.1429999999999998</v>
      </c>
      <c r="N231" s="810">
        <f>Assy.Model!K76</f>
        <v>1613</v>
      </c>
      <c r="O231" s="575" t="str">
        <f t="shared" si="256"/>
        <v/>
      </c>
      <c r="P231" s="572" t="str">
        <f t="shared" si="257"/>
        <v/>
      </c>
      <c r="Q231" s="579" t="str">
        <f t="shared" si="258"/>
        <v/>
      </c>
      <c r="R231" s="580" t="str">
        <f t="shared" si="259"/>
        <v/>
      </c>
      <c r="S231" s="572" t="str">
        <f t="shared" si="260"/>
        <v/>
      </c>
      <c r="T231" s="579" t="str">
        <f t="shared" si="261"/>
        <v/>
      </c>
    </row>
    <row r="232" spans="2:20" ht="15" customHeight="1" x14ac:dyDescent="0.25">
      <c r="B232" s="650"/>
      <c r="C232" s="651"/>
      <c r="D232" s="652"/>
      <c r="E232" s="653"/>
      <c r="F232" s="651"/>
      <c r="G232" s="654"/>
      <c r="H232" s="653"/>
      <c r="I232" s="518"/>
      <c r="J232" s="817"/>
      <c r="K232" s="519"/>
      <c r="L232" s="162" t="str">
        <f t="shared" si="249"/>
        <v/>
      </c>
      <c r="M232" s="512">
        <f>Assy.Model!$M77</f>
        <v>5.149</v>
      </c>
      <c r="N232" s="810">
        <f>Assy.Model!K77</f>
        <v>1613</v>
      </c>
      <c r="O232" s="575" t="str">
        <f t="shared" si="256"/>
        <v/>
      </c>
      <c r="P232" s="572" t="str">
        <f t="shared" si="257"/>
        <v/>
      </c>
      <c r="Q232" s="579" t="str">
        <f t="shared" si="258"/>
        <v/>
      </c>
      <c r="R232" s="580" t="str">
        <f t="shared" si="259"/>
        <v/>
      </c>
      <c r="S232" s="572" t="str">
        <f t="shared" si="260"/>
        <v/>
      </c>
      <c r="T232" s="579" t="str">
        <f t="shared" si="261"/>
        <v/>
      </c>
    </row>
    <row r="233" spans="2:20" ht="15" customHeight="1" x14ac:dyDescent="0.25">
      <c r="B233" s="650"/>
      <c r="C233" s="651"/>
      <c r="D233" s="652"/>
      <c r="E233" s="653"/>
      <c r="F233" s="651"/>
      <c r="G233" s="654"/>
      <c r="H233" s="653"/>
      <c r="I233" s="518"/>
      <c r="J233" s="817"/>
      <c r="K233" s="519"/>
      <c r="L233" s="162" t="str">
        <f t="shared" si="249"/>
        <v/>
      </c>
      <c r="M233" s="512">
        <f>Assy.Model!$M78</f>
        <v>5.2190000000000003</v>
      </c>
      <c r="N233" s="810" t="str">
        <f>Assy.Model!K78</f>
        <v>CPS-32193r1</v>
      </c>
      <c r="O233" s="575" t="str">
        <f t="shared" si="256"/>
        <v/>
      </c>
      <c r="P233" s="572" t="str">
        <f t="shared" si="257"/>
        <v/>
      </c>
      <c r="Q233" s="579" t="str">
        <f t="shared" si="258"/>
        <v/>
      </c>
      <c r="R233" s="580" t="str">
        <f t="shared" si="259"/>
        <v/>
      </c>
      <c r="S233" s="572" t="str">
        <f t="shared" si="260"/>
        <v/>
      </c>
      <c r="T233" s="579" t="str">
        <f t="shared" si="261"/>
        <v/>
      </c>
    </row>
    <row r="234" spans="2:20" ht="15" customHeight="1" x14ac:dyDescent="0.25">
      <c r="B234" s="650"/>
      <c r="C234" s="651"/>
      <c r="D234" s="652"/>
      <c r="E234" s="653"/>
      <c r="F234" s="651"/>
      <c r="G234" s="654"/>
      <c r="H234" s="653"/>
      <c r="I234" s="518"/>
      <c r="J234" s="817"/>
      <c r="K234" s="519"/>
      <c r="L234" s="162" t="str">
        <f t="shared" si="249"/>
        <v/>
      </c>
      <c r="M234" s="512">
        <f>Assy.Model!$M79</f>
        <v>5.2249999999999996</v>
      </c>
      <c r="N234" s="810">
        <f>Assy.Model!K79</f>
        <v>1313</v>
      </c>
      <c r="O234" s="575" t="str">
        <f t="shared" si="256"/>
        <v/>
      </c>
      <c r="P234" s="572" t="str">
        <f t="shared" si="257"/>
        <v/>
      </c>
      <c r="Q234" s="579" t="str">
        <f t="shared" si="258"/>
        <v/>
      </c>
      <c r="R234" s="580" t="str">
        <f t="shared" si="259"/>
        <v/>
      </c>
      <c r="S234" s="572" t="str">
        <f t="shared" si="260"/>
        <v/>
      </c>
      <c r="T234" s="579" t="str">
        <f t="shared" si="261"/>
        <v/>
      </c>
    </row>
    <row r="235" spans="2:20" ht="15" customHeight="1" x14ac:dyDescent="0.25">
      <c r="B235" s="650"/>
      <c r="C235" s="651"/>
      <c r="D235" s="652"/>
      <c r="E235" s="653"/>
      <c r="F235" s="651"/>
      <c r="G235" s="654"/>
      <c r="H235" s="653"/>
      <c r="I235" s="518"/>
      <c r="J235" s="817"/>
      <c r="K235" s="519"/>
      <c r="L235" s="162" t="str">
        <f t="shared" si="249"/>
        <v/>
      </c>
      <c r="M235" s="512">
        <f>Assy.Model!$M80</f>
        <v>5.2309999999999999</v>
      </c>
      <c r="N235" s="810">
        <f>Assy.Model!K80</f>
        <v>1313</v>
      </c>
      <c r="O235" s="575" t="str">
        <f t="shared" si="256"/>
        <v/>
      </c>
      <c r="P235" s="572" t="str">
        <f t="shared" si="257"/>
        <v/>
      </c>
      <c r="Q235" s="579" t="str">
        <f t="shared" si="258"/>
        <v/>
      </c>
      <c r="R235" s="580" t="str">
        <f t="shared" si="259"/>
        <v/>
      </c>
      <c r="S235" s="572" t="str">
        <f t="shared" si="260"/>
        <v/>
      </c>
      <c r="T235" s="579" t="str">
        <f t="shared" si="261"/>
        <v/>
      </c>
    </row>
    <row r="236" spans="2:20" ht="15" customHeight="1" x14ac:dyDescent="0.25">
      <c r="B236" s="650"/>
      <c r="C236" s="651"/>
      <c r="D236" s="652"/>
      <c r="E236" s="653"/>
      <c r="F236" s="651"/>
      <c r="G236" s="654"/>
      <c r="H236" s="653"/>
      <c r="I236" s="518"/>
      <c r="J236" s="817"/>
      <c r="K236" s="519"/>
      <c r="L236" s="162" t="str">
        <f t="shared" si="249"/>
        <v/>
      </c>
      <c r="M236" s="512">
        <f>Assy.Model!$M81</f>
        <v>5.2370000000000001</v>
      </c>
      <c r="N236" s="810">
        <f>Assy.Model!K81</f>
        <v>1313</v>
      </c>
      <c r="O236" s="575" t="str">
        <f t="shared" si="256"/>
        <v/>
      </c>
      <c r="P236" s="572" t="str">
        <f t="shared" si="257"/>
        <v/>
      </c>
      <c r="Q236" s="579" t="str">
        <f t="shared" si="258"/>
        <v/>
      </c>
      <c r="R236" s="580" t="str">
        <f t="shared" si="259"/>
        <v/>
      </c>
      <c r="S236" s="572" t="str">
        <f t="shared" si="260"/>
        <v/>
      </c>
      <c r="T236" s="579" t="str">
        <f t="shared" si="261"/>
        <v/>
      </c>
    </row>
    <row r="237" spans="2:20" ht="15" customHeight="1" x14ac:dyDescent="0.25">
      <c r="B237" s="650"/>
      <c r="C237" s="651"/>
      <c r="D237" s="652"/>
      <c r="E237" s="653"/>
      <c r="F237" s="651"/>
      <c r="G237" s="654"/>
      <c r="H237" s="653"/>
      <c r="I237" s="518"/>
      <c r="J237" s="817"/>
      <c r="K237" s="519"/>
      <c r="L237" s="162" t="str">
        <f t="shared" si="249"/>
        <v/>
      </c>
      <c r="M237" s="512">
        <f>Assy.Model!$M82</f>
        <v>5.2430000000000003</v>
      </c>
      <c r="N237" s="810" t="str">
        <f>Assy.Model!K82</f>
        <v>CPS-32193r1</v>
      </c>
      <c r="O237" s="575" t="str">
        <f t="shared" si="256"/>
        <v/>
      </c>
      <c r="P237" s="572" t="str">
        <f t="shared" si="257"/>
        <v/>
      </c>
      <c r="Q237" s="579" t="str">
        <f t="shared" si="258"/>
        <v/>
      </c>
      <c r="R237" s="580" t="str">
        <f t="shared" si="259"/>
        <v/>
      </c>
      <c r="S237" s="572" t="str">
        <f t="shared" si="260"/>
        <v/>
      </c>
      <c r="T237" s="579" t="str">
        <f t="shared" si="261"/>
        <v/>
      </c>
    </row>
    <row r="238" spans="2:20" ht="15" customHeight="1" x14ac:dyDescent="0.25">
      <c r="B238" s="650"/>
      <c r="C238" s="651"/>
      <c r="D238" s="652"/>
      <c r="E238" s="653"/>
      <c r="F238" s="651"/>
      <c r="G238" s="654"/>
      <c r="H238" s="653"/>
      <c r="I238" s="518"/>
      <c r="J238" s="817"/>
      <c r="K238" s="519"/>
      <c r="L238" s="162" t="str">
        <f t="shared" si="249"/>
        <v/>
      </c>
      <c r="M238" s="512">
        <f>Assy.Model!$M83</f>
        <v>5.2489999999999997</v>
      </c>
      <c r="N238" s="810" t="str">
        <f>Assy.Model!K83</f>
        <v>CPS-32193r1</v>
      </c>
      <c r="O238" s="575" t="str">
        <f t="shared" si="256"/>
        <v/>
      </c>
      <c r="P238" s="572" t="str">
        <f t="shared" si="257"/>
        <v/>
      </c>
      <c r="Q238" s="579" t="str">
        <f t="shared" si="258"/>
        <v/>
      </c>
      <c r="R238" s="580" t="str">
        <f t="shared" si="259"/>
        <v/>
      </c>
      <c r="S238" s="572" t="str">
        <f t="shared" si="260"/>
        <v/>
      </c>
      <c r="T238" s="579" t="str">
        <f t="shared" si="261"/>
        <v/>
      </c>
    </row>
    <row r="239" spans="2:20" ht="15" customHeight="1" x14ac:dyDescent="0.25">
      <c r="B239" s="650"/>
      <c r="C239" s="651"/>
      <c r="D239" s="652"/>
      <c r="E239" s="653"/>
      <c r="F239" s="651"/>
      <c r="G239" s="654"/>
      <c r="H239" s="653"/>
      <c r="I239" s="518"/>
      <c r="J239" s="817"/>
      <c r="K239" s="519"/>
      <c r="L239" s="162" t="str">
        <f t="shared" si="249"/>
        <v/>
      </c>
      <c r="M239" s="512">
        <f>Assy.Model!$M84</f>
        <v>5.2549999999999999</v>
      </c>
      <c r="N239" s="810">
        <f>Assy.Model!K84</f>
        <v>1313</v>
      </c>
      <c r="O239" s="575" t="str">
        <f t="shared" si="256"/>
        <v/>
      </c>
      <c r="P239" s="572" t="str">
        <f t="shared" si="257"/>
        <v/>
      </c>
      <c r="Q239" s="579" t="str">
        <f t="shared" si="258"/>
        <v/>
      </c>
      <c r="R239" s="580" t="str">
        <f t="shared" si="259"/>
        <v/>
      </c>
      <c r="S239" s="572" t="str">
        <f t="shared" si="260"/>
        <v/>
      </c>
      <c r="T239" s="579" t="str">
        <f t="shared" si="261"/>
        <v/>
      </c>
    </row>
    <row r="240" spans="2:20" ht="15" customHeight="1" x14ac:dyDescent="0.25">
      <c r="B240" s="650"/>
      <c r="C240" s="651"/>
      <c r="D240" s="652"/>
      <c r="E240" s="653"/>
      <c r="F240" s="651"/>
      <c r="G240" s="654"/>
      <c r="H240" s="653"/>
      <c r="I240" s="518"/>
      <c r="J240" s="817"/>
      <c r="K240" s="519"/>
      <c r="L240" s="162" t="str">
        <f t="shared" si="249"/>
        <v/>
      </c>
      <c r="M240" s="512">
        <f>Assy.Model!$M85</f>
        <v>6.1120000000000001</v>
      </c>
      <c r="N240" s="810">
        <f>Assy.Model!K85</f>
        <v>1613</v>
      </c>
      <c r="O240" s="575" t="str">
        <f t="shared" si="256"/>
        <v/>
      </c>
      <c r="P240" s="572" t="str">
        <f t="shared" si="257"/>
        <v/>
      </c>
      <c r="Q240" s="579" t="str">
        <f t="shared" si="258"/>
        <v/>
      </c>
      <c r="R240" s="580" t="str">
        <f t="shared" si="259"/>
        <v/>
      </c>
      <c r="S240" s="572" t="str">
        <f t="shared" si="260"/>
        <v/>
      </c>
      <c r="T240" s="579" t="str">
        <f t="shared" si="261"/>
        <v/>
      </c>
    </row>
    <row r="241" spans="2:20" ht="15" customHeight="1" x14ac:dyDescent="0.25">
      <c r="B241" s="650"/>
      <c r="C241" s="651"/>
      <c r="D241" s="652"/>
      <c r="E241" s="653"/>
      <c r="F241" s="651"/>
      <c r="G241" s="654"/>
      <c r="H241" s="653"/>
      <c r="I241" s="518"/>
      <c r="J241" s="817"/>
      <c r="K241" s="519"/>
      <c r="L241" s="162" t="str">
        <f t="shared" si="249"/>
        <v/>
      </c>
      <c r="M241" s="512">
        <f>Assy.Model!$M86</f>
        <v>6.1180000000000003</v>
      </c>
      <c r="N241" s="810">
        <f>Assy.Model!K86</f>
        <v>1613</v>
      </c>
      <c r="O241" s="575" t="str">
        <f t="shared" si="256"/>
        <v/>
      </c>
      <c r="P241" s="572" t="str">
        <f t="shared" si="257"/>
        <v/>
      </c>
      <c r="Q241" s="579" t="str">
        <f t="shared" si="258"/>
        <v/>
      </c>
      <c r="R241" s="580" t="str">
        <f t="shared" si="259"/>
        <v/>
      </c>
      <c r="S241" s="572" t="str">
        <f t="shared" si="260"/>
        <v/>
      </c>
      <c r="T241" s="579" t="str">
        <f t="shared" si="261"/>
        <v/>
      </c>
    </row>
    <row r="242" spans="2:20" x14ac:dyDescent="0.25">
      <c r="B242" s="650"/>
      <c r="C242" s="651"/>
      <c r="D242" s="652"/>
      <c r="E242" s="653"/>
      <c r="F242" s="651"/>
      <c r="G242" s="654"/>
      <c r="H242" s="653"/>
      <c r="I242" s="518"/>
      <c r="J242" s="817"/>
      <c r="K242" s="519"/>
      <c r="L242" s="162" t="str">
        <f t="shared" si="249"/>
        <v/>
      </c>
      <c r="M242" s="512">
        <f>Assy.Model!$M87</f>
        <v>6.1239999999999997</v>
      </c>
      <c r="N242" s="810">
        <f>Assy.Model!K87</f>
        <v>1613</v>
      </c>
      <c r="O242" s="575" t="str">
        <f t="shared" si="256"/>
        <v/>
      </c>
      <c r="P242" s="572" t="str">
        <f t="shared" si="257"/>
        <v/>
      </c>
      <c r="Q242" s="579" t="str">
        <f t="shared" si="258"/>
        <v/>
      </c>
      <c r="R242" s="580" t="str">
        <f t="shared" si="259"/>
        <v/>
      </c>
      <c r="S242" s="572" t="str">
        <f t="shared" si="260"/>
        <v/>
      </c>
      <c r="T242" s="579" t="str">
        <f t="shared" si="261"/>
        <v/>
      </c>
    </row>
    <row r="243" spans="2:20" x14ac:dyDescent="0.25">
      <c r="B243" s="650"/>
      <c r="C243" s="651"/>
      <c r="D243" s="652"/>
      <c r="E243" s="653"/>
      <c r="F243" s="651"/>
      <c r="G243" s="654"/>
      <c r="H243" s="653"/>
      <c r="I243" s="518"/>
      <c r="J243" s="817"/>
      <c r="K243" s="519"/>
      <c r="L243" s="162" t="str">
        <f t="shared" si="249"/>
        <v/>
      </c>
      <c r="M243" s="512">
        <f>Assy.Model!$M88</f>
        <v>6.13</v>
      </c>
      <c r="N243" s="810">
        <f>Assy.Model!K88</f>
        <v>1613</v>
      </c>
      <c r="O243" s="575" t="str">
        <f t="shared" si="256"/>
        <v/>
      </c>
      <c r="P243" s="572" t="str">
        <f t="shared" si="257"/>
        <v/>
      </c>
      <c r="Q243" s="579" t="str">
        <f t="shared" si="258"/>
        <v/>
      </c>
      <c r="R243" s="580" t="str">
        <f t="shared" si="259"/>
        <v/>
      </c>
      <c r="S243" s="572" t="str">
        <f t="shared" si="260"/>
        <v/>
      </c>
      <c r="T243" s="579" t="str">
        <f t="shared" si="261"/>
        <v/>
      </c>
    </row>
    <row r="244" spans="2:20" x14ac:dyDescent="0.25">
      <c r="B244" s="650"/>
      <c r="C244" s="651"/>
      <c r="D244" s="652"/>
      <c r="E244" s="653"/>
      <c r="F244" s="651"/>
      <c r="G244" s="654"/>
      <c r="H244" s="653"/>
      <c r="I244" s="518"/>
      <c r="J244" s="817"/>
      <c r="K244" s="519"/>
      <c r="L244" s="162" t="str">
        <f t="shared" si="249"/>
        <v/>
      </c>
      <c r="M244" s="512">
        <f>Assy.Model!$M89</f>
        <v>6.1360000000000001</v>
      </c>
      <c r="N244" s="810">
        <f>Assy.Model!K89</f>
        <v>1613</v>
      </c>
      <c r="O244" s="575" t="str">
        <f t="shared" si="256"/>
        <v/>
      </c>
      <c r="P244" s="572" t="str">
        <f t="shared" si="257"/>
        <v/>
      </c>
      <c r="Q244" s="579" t="str">
        <f t="shared" si="258"/>
        <v/>
      </c>
      <c r="R244" s="580" t="str">
        <f t="shared" si="259"/>
        <v/>
      </c>
      <c r="S244" s="572" t="str">
        <f t="shared" si="260"/>
        <v/>
      </c>
      <c r="T244" s="579" t="str">
        <f t="shared" si="261"/>
        <v/>
      </c>
    </row>
    <row r="245" spans="2:20" x14ac:dyDescent="0.25">
      <c r="B245" s="650"/>
      <c r="C245" s="651"/>
      <c r="D245" s="652"/>
      <c r="E245" s="653"/>
      <c r="F245" s="651"/>
      <c r="G245" s="654"/>
      <c r="H245" s="653"/>
      <c r="I245" s="518"/>
      <c r="J245" s="817"/>
      <c r="K245" s="519"/>
      <c r="L245" s="162" t="str">
        <f t="shared" si="249"/>
        <v/>
      </c>
      <c r="M245" s="512">
        <f>Assy.Model!$M90</f>
        <v>6.1420000000000003</v>
      </c>
      <c r="N245" s="810">
        <f>Assy.Model!K90</f>
        <v>1613</v>
      </c>
      <c r="O245" s="575" t="str">
        <f t="shared" si="256"/>
        <v/>
      </c>
      <c r="P245" s="572" t="str">
        <f t="shared" si="257"/>
        <v/>
      </c>
      <c r="Q245" s="579" t="str">
        <f t="shared" si="258"/>
        <v/>
      </c>
      <c r="R245" s="580" t="str">
        <f t="shared" si="259"/>
        <v/>
      </c>
      <c r="S245" s="572" t="str">
        <f t="shared" si="260"/>
        <v/>
      </c>
      <c r="T245" s="579" t="str">
        <f t="shared" si="261"/>
        <v/>
      </c>
    </row>
    <row r="246" spans="2:20" x14ac:dyDescent="0.25">
      <c r="B246" s="650"/>
      <c r="C246" s="651"/>
      <c r="D246" s="652"/>
      <c r="E246" s="653"/>
      <c r="F246" s="651"/>
      <c r="G246" s="654"/>
      <c r="H246" s="653"/>
      <c r="I246" s="518"/>
      <c r="J246" s="817"/>
      <c r="K246" s="519"/>
      <c r="L246" s="162" t="str">
        <f t="shared" si="249"/>
        <v/>
      </c>
      <c r="M246" s="512">
        <f>Assy.Model!$M91</f>
        <v>6.1479999999999997</v>
      </c>
      <c r="N246" s="810">
        <f>Assy.Model!K91</f>
        <v>1613</v>
      </c>
      <c r="O246" s="575" t="str">
        <f t="shared" si="256"/>
        <v/>
      </c>
      <c r="P246" s="572" t="str">
        <f t="shared" si="257"/>
        <v/>
      </c>
      <c r="Q246" s="579" t="str">
        <f t="shared" si="258"/>
        <v/>
      </c>
      <c r="R246" s="580" t="str">
        <f t="shared" si="259"/>
        <v/>
      </c>
      <c r="S246" s="572" t="str">
        <f t="shared" si="260"/>
        <v/>
      </c>
      <c r="T246" s="579" t="str">
        <f t="shared" si="261"/>
        <v/>
      </c>
    </row>
    <row r="247" spans="2:20" x14ac:dyDescent="0.25">
      <c r="B247" s="650"/>
      <c r="C247" s="651"/>
      <c r="D247" s="652"/>
      <c r="E247" s="653"/>
      <c r="F247" s="651"/>
      <c r="G247" s="654"/>
      <c r="H247" s="653"/>
      <c r="I247" s="518"/>
      <c r="J247" s="817"/>
      <c r="K247" s="519"/>
      <c r="L247" s="162" t="str">
        <f t="shared" si="249"/>
        <v/>
      </c>
      <c r="M247" s="512">
        <f>Assy.Model!$M92</f>
        <v>6.218</v>
      </c>
      <c r="N247" s="810" t="str">
        <f>Assy.Model!K92</f>
        <v>CPS-32193r1</v>
      </c>
      <c r="O247" s="575" t="str">
        <f t="shared" si="256"/>
        <v/>
      </c>
      <c r="P247" s="572" t="str">
        <f t="shared" si="257"/>
        <v/>
      </c>
      <c r="Q247" s="579" t="str">
        <f t="shared" si="258"/>
        <v/>
      </c>
      <c r="R247" s="580" t="str">
        <f t="shared" si="259"/>
        <v/>
      </c>
      <c r="S247" s="572" t="str">
        <f t="shared" si="260"/>
        <v/>
      </c>
      <c r="T247" s="579" t="str">
        <f t="shared" si="261"/>
        <v/>
      </c>
    </row>
    <row r="248" spans="2:20" x14ac:dyDescent="0.25">
      <c r="B248" s="650"/>
      <c r="C248" s="651"/>
      <c r="D248" s="652"/>
      <c r="E248" s="653"/>
      <c r="F248" s="651"/>
      <c r="G248" s="654"/>
      <c r="H248" s="653"/>
      <c r="I248" s="518"/>
      <c r="J248" s="817"/>
      <c r="K248" s="519"/>
      <c r="L248" s="162" t="str">
        <f t="shared" si="249"/>
        <v/>
      </c>
      <c r="M248" s="512">
        <f>Assy.Model!$M93</f>
        <v>6.2240000000000002</v>
      </c>
      <c r="N248" s="810" t="str">
        <f>Assy.Model!K93</f>
        <v>CPS-32193r1</v>
      </c>
      <c r="O248" s="575" t="str">
        <f t="shared" si="256"/>
        <v/>
      </c>
      <c r="P248" s="572" t="str">
        <f t="shared" si="257"/>
        <v/>
      </c>
      <c r="Q248" s="579" t="str">
        <f t="shared" si="258"/>
        <v/>
      </c>
      <c r="R248" s="580" t="str">
        <f t="shared" si="259"/>
        <v/>
      </c>
      <c r="S248" s="572" t="str">
        <f t="shared" si="260"/>
        <v/>
      </c>
      <c r="T248" s="579" t="str">
        <f t="shared" si="261"/>
        <v/>
      </c>
    </row>
    <row r="249" spans="2:20" x14ac:dyDescent="0.25">
      <c r="B249" s="650"/>
      <c r="C249" s="651"/>
      <c r="D249" s="652"/>
      <c r="E249" s="653"/>
      <c r="F249" s="651"/>
      <c r="G249" s="654"/>
      <c r="H249" s="653"/>
      <c r="I249" s="518"/>
      <c r="J249" s="817"/>
      <c r="K249" s="519"/>
      <c r="L249" s="162" t="str">
        <f t="shared" si="249"/>
        <v/>
      </c>
      <c r="M249" s="512">
        <f>Assy.Model!$M94</f>
        <v>6.23</v>
      </c>
      <c r="N249" s="810" t="str">
        <f>Assy.Model!K94</f>
        <v>CPS-32193r1</v>
      </c>
      <c r="O249" s="575" t="str">
        <f t="shared" si="256"/>
        <v/>
      </c>
      <c r="P249" s="572" t="str">
        <f t="shared" si="257"/>
        <v/>
      </c>
      <c r="Q249" s="579" t="str">
        <f t="shared" si="258"/>
        <v/>
      </c>
      <c r="R249" s="580" t="str">
        <f t="shared" si="259"/>
        <v/>
      </c>
      <c r="S249" s="572" t="str">
        <f t="shared" si="260"/>
        <v/>
      </c>
      <c r="T249" s="579" t="str">
        <f t="shared" si="261"/>
        <v/>
      </c>
    </row>
    <row r="250" spans="2:20" x14ac:dyDescent="0.25">
      <c r="B250" s="650"/>
      <c r="C250" s="651"/>
      <c r="D250" s="652"/>
      <c r="E250" s="653"/>
      <c r="F250" s="651"/>
      <c r="G250" s="654"/>
      <c r="H250" s="653"/>
      <c r="I250" s="518"/>
      <c r="J250" s="817"/>
      <c r="K250" s="519"/>
      <c r="L250" s="162" t="str">
        <f t="shared" si="249"/>
        <v/>
      </c>
      <c r="M250" s="512">
        <f>Assy.Model!$M95</f>
        <v>6.2359999999999998</v>
      </c>
      <c r="N250" s="810" t="str">
        <f>Assy.Model!K95</f>
        <v>CPS-32193r1</v>
      </c>
      <c r="O250" s="575" t="str">
        <f t="shared" si="256"/>
        <v/>
      </c>
      <c r="P250" s="572" t="str">
        <f t="shared" si="257"/>
        <v/>
      </c>
      <c r="Q250" s="579" t="str">
        <f t="shared" si="258"/>
        <v/>
      </c>
      <c r="R250" s="580" t="str">
        <f t="shared" si="259"/>
        <v/>
      </c>
      <c r="S250" s="572" t="str">
        <f t="shared" si="260"/>
        <v/>
      </c>
      <c r="T250" s="579" t="str">
        <f t="shared" si="261"/>
        <v/>
      </c>
    </row>
    <row r="251" spans="2:20" x14ac:dyDescent="0.25">
      <c r="B251" s="650"/>
      <c r="C251" s="651"/>
      <c r="D251" s="652"/>
      <c r="E251" s="653"/>
      <c r="F251" s="651"/>
      <c r="G251" s="654"/>
      <c r="H251" s="653"/>
      <c r="I251" s="518"/>
      <c r="J251" s="817"/>
      <c r="K251" s="519"/>
      <c r="L251" s="162" t="str">
        <f t="shared" si="249"/>
        <v/>
      </c>
      <c r="M251" s="512">
        <f>Assy.Model!$M96</f>
        <v>6.242</v>
      </c>
      <c r="N251" s="810" t="str">
        <f>Assy.Model!K96</f>
        <v>CPS-32193r1</v>
      </c>
      <c r="O251" s="575" t="str">
        <f t="shared" si="256"/>
        <v/>
      </c>
      <c r="P251" s="572" t="str">
        <f t="shared" si="257"/>
        <v/>
      </c>
      <c r="Q251" s="579" t="str">
        <f t="shared" si="258"/>
        <v/>
      </c>
      <c r="R251" s="580" t="str">
        <f t="shared" si="259"/>
        <v/>
      </c>
      <c r="S251" s="572" t="str">
        <f t="shared" si="260"/>
        <v/>
      </c>
      <c r="T251" s="579" t="str">
        <f t="shared" si="261"/>
        <v/>
      </c>
    </row>
    <row r="252" spans="2:20" x14ac:dyDescent="0.25">
      <c r="B252" s="650"/>
      <c r="C252" s="651"/>
      <c r="D252" s="652"/>
      <c r="E252" s="653"/>
      <c r="F252" s="651"/>
      <c r="G252" s="654"/>
      <c r="H252" s="653"/>
      <c r="I252" s="518"/>
      <c r="J252" s="817"/>
      <c r="K252" s="519"/>
      <c r="L252" s="162" t="str">
        <f t="shared" ref="L252:L305" si="262">IF(ISNUMBER($J252),INDEX($AZ$9:$AZ$150,MATCH($M252,$AV$9:$AV$150,0)),"")</f>
        <v/>
      </c>
      <c r="M252" s="512">
        <f>Assy.Model!$M97</f>
        <v>6.2480000000000002</v>
      </c>
      <c r="N252" s="810" t="str">
        <f>Assy.Model!K97</f>
        <v>CPS-32193r1</v>
      </c>
      <c r="O252" s="575" t="str">
        <f t="shared" si="256"/>
        <v/>
      </c>
      <c r="P252" s="572" t="str">
        <f t="shared" si="257"/>
        <v/>
      </c>
      <c r="Q252" s="579" t="str">
        <f t="shared" si="258"/>
        <v/>
      </c>
      <c r="R252" s="580" t="str">
        <f t="shared" si="259"/>
        <v/>
      </c>
      <c r="S252" s="572" t="str">
        <f t="shared" si="260"/>
        <v/>
      </c>
      <c r="T252" s="579" t="str">
        <f t="shared" si="261"/>
        <v/>
      </c>
    </row>
    <row r="253" spans="2:20" x14ac:dyDescent="0.25">
      <c r="B253" s="650"/>
      <c r="C253" s="651"/>
      <c r="D253" s="652"/>
      <c r="E253" s="653"/>
      <c r="F253" s="651"/>
      <c r="G253" s="654"/>
      <c r="H253" s="653"/>
      <c r="I253" s="518"/>
      <c r="J253" s="817"/>
      <c r="K253" s="519"/>
      <c r="L253" s="162" t="str">
        <f t="shared" si="262"/>
        <v/>
      </c>
      <c r="M253" s="512">
        <f>Assy.Model!$M98</f>
        <v>6.2539999999999996</v>
      </c>
      <c r="N253" s="810">
        <f>Assy.Model!K98</f>
        <v>1313</v>
      </c>
      <c r="O253" s="575" t="str">
        <f t="shared" si="256"/>
        <v/>
      </c>
      <c r="P253" s="572" t="str">
        <f t="shared" si="257"/>
        <v/>
      </c>
      <c r="Q253" s="579" t="str">
        <f t="shared" si="258"/>
        <v/>
      </c>
      <c r="R253" s="580" t="str">
        <f t="shared" si="259"/>
        <v/>
      </c>
      <c r="S253" s="572" t="str">
        <f t="shared" si="260"/>
        <v/>
      </c>
      <c r="T253" s="579" t="str">
        <f t="shared" si="261"/>
        <v/>
      </c>
    </row>
    <row r="254" spans="2:20" x14ac:dyDescent="0.25">
      <c r="B254" s="650"/>
      <c r="C254" s="651"/>
      <c r="D254" s="652"/>
      <c r="E254" s="653"/>
      <c r="F254" s="651"/>
      <c r="G254" s="654"/>
      <c r="H254" s="653"/>
      <c r="I254" s="518"/>
      <c r="J254" s="817"/>
      <c r="K254" s="519"/>
      <c r="L254" s="162" t="str">
        <f t="shared" si="262"/>
        <v/>
      </c>
      <c r="M254" s="512" t="str">
        <f>Assy.Model!$M99</f>
        <v/>
      </c>
      <c r="N254" s="810" t="str">
        <f>Assy.Model!K99</f>
        <v/>
      </c>
      <c r="O254" s="575" t="str">
        <f t="shared" si="256"/>
        <v/>
      </c>
      <c r="P254" s="572" t="str">
        <f t="shared" si="257"/>
        <v/>
      </c>
      <c r="Q254" s="579" t="str">
        <f t="shared" si="258"/>
        <v/>
      </c>
      <c r="R254" s="580" t="str">
        <f t="shared" si="259"/>
        <v/>
      </c>
      <c r="S254" s="572" t="str">
        <f t="shared" si="260"/>
        <v/>
      </c>
      <c r="T254" s="579" t="str">
        <f t="shared" si="261"/>
        <v/>
      </c>
    </row>
    <row r="255" spans="2:20" x14ac:dyDescent="0.25">
      <c r="B255" s="650"/>
      <c r="C255" s="651"/>
      <c r="D255" s="652"/>
      <c r="E255" s="653"/>
      <c r="F255" s="651"/>
      <c r="G255" s="654"/>
      <c r="H255" s="653"/>
      <c r="I255" s="518"/>
      <c r="J255" s="817"/>
      <c r="K255" s="519"/>
      <c r="L255" s="162" t="str">
        <f t="shared" si="262"/>
        <v/>
      </c>
      <c r="M255" s="512" t="str">
        <f>Assy.Model!$M100</f>
        <v/>
      </c>
      <c r="N255" s="810" t="str">
        <f>Assy.Model!K100</f>
        <v/>
      </c>
      <c r="O255" s="575" t="str">
        <f t="shared" si="256"/>
        <v/>
      </c>
      <c r="P255" s="572" t="str">
        <f t="shared" si="257"/>
        <v/>
      </c>
      <c r="Q255" s="579" t="str">
        <f t="shared" si="258"/>
        <v/>
      </c>
      <c r="R255" s="580" t="str">
        <f t="shared" si="259"/>
        <v/>
      </c>
      <c r="S255" s="572" t="str">
        <f t="shared" si="260"/>
        <v/>
      </c>
      <c r="T255" s="579" t="str">
        <f t="shared" si="261"/>
        <v/>
      </c>
    </row>
    <row r="256" spans="2:20" x14ac:dyDescent="0.25">
      <c r="B256" s="650"/>
      <c r="C256" s="651"/>
      <c r="D256" s="652"/>
      <c r="E256" s="653"/>
      <c r="F256" s="651"/>
      <c r="G256" s="654"/>
      <c r="H256" s="653"/>
      <c r="I256" s="518"/>
      <c r="J256" s="817"/>
      <c r="K256" s="519"/>
      <c r="L256" s="162" t="str">
        <f t="shared" si="262"/>
        <v/>
      </c>
      <c r="M256" s="512" t="str">
        <f>Assy.Model!$M101</f>
        <v/>
      </c>
      <c r="N256" s="810" t="str">
        <f>Assy.Model!K101</f>
        <v/>
      </c>
      <c r="O256" s="575" t="str">
        <f t="shared" si="256"/>
        <v/>
      </c>
      <c r="P256" s="572" t="str">
        <f t="shared" si="257"/>
        <v/>
      </c>
      <c r="Q256" s="579" t="str">
        <f t="shared" si="258"/>
        <v/>
      </c>
      <c r="R256" s="580" t="str">
        <f t="shared" si="259"/>
        <v/>
      </c>
      <c r="S256" s="572" t="str">
        <f t="shared" si="260"/>
        <v/>
      </c>
      <c r="T256" s="579" t="str">
        <f t="shared" si="261"/>
        <v/>
      </c>
    </row>
    <row r="257" spans="2:20" x14ac:dyDescent="0.25">
      <c r="B257" s="650"/>
      <c r="C257" s="651"/>
      <c r="D257" s="652"/>
      <c r="E257" s="653"/>
      <c r="F257" s="651"/>
      <c r="G257" s="654"/>
      <c r="H257" s="653"/>
      <c r="I257" s="518"/>
      <c r="J257" s="817"/>
      <c r="K257" s="519"/>
      <c r="L257" s="162" t="str">
        <f t="shared" si="262"/>
        <v/>
      </c>
      <c r="M257" s="512" t="str">
        <f>Assy.Model!$M102</f>
        <v/>
      </c>
      <c r="N257" s="810" t="str">
        <f>Assy.Model!K102</f>
        <v/>
      </c>
      <c r="O257" s="575" t="str">
        <f t="shared" si="256"/>
        <v/>
      </c>
      <c r="P257" s="572" t="str">
        <f t="shared" si="257"/>
        <v/>
      </c>
      <c r="Q257" s="579" t="str">
        <f t="shared" si="258"/>
        <v/>
      </c>
      <c r="R257" s="580" t="str">
        <f t="shared" si="259"/>
        <v/>
      </c>
      <c r="S257" s="572" t="str">
        <f t="shared" si="260"/>
        <v/>
      </c>
      <c r="T257" s="579" t="str">
        <f t="shared" si="261"/>
        <v/>
      </c>
    </row>
    <row r="258" spans="2:20" x14ac:dyDescent="0.25">
      <c r="B258" s="650"/>
      <c r="C258" s="651"/>
      <c r="D258" s="652"/>
      <c r="E258" s="653"/>
      <c r="F258" s="651"/>
      <c r="G258" s="654"/>
      <c r="H258" s="653"/>
      <c r="I258" s="518"/>
      <c r="J258" s="817"/>
      <c r="K258" s="519"/>
      <c r="L258" s="162" t="str">
        <f t="shared" si="262"/>
        <v/>
      </c>
      <c r="M258" s="512" t="str">
        <f>Assy.Model!$M103</f>
        <v/>
      </c>
      <c r="N258" s="810" t="str">
        <f>Assy.Model!K103</f>
        <v/>
      </c>
      <c r="O258" s="575" t="str">
        <f t="shared" si="256"/>
        <v/>
      </c>
      <c r="P258" s="572" t="str">
        <f t="shared" si="257"/>
        <v/>
      </c>
      <c r="Q258" s="579" t="str">
        <f t="shared" si="258"/>
        <v/>
      </c>
      <c r="R258" s="580" t="str">
        <f t="shared" si="259"/>
        <v/>
      </c>
      <c r="S258" s="572" t="str">
        <f t="shared" si="260"/>
        <v/>
      </c>
      <c r="T258" s="579" t="str">
        <f t="shared" si="261"/>
        <v/>
      </c>
    </row>
    <row r="259" spans="2:20" x14ac:dyDescent="0.25">
      <c r="B259" s="650"/>
      <c r="C259" s="651"/>
      <c r="D259" s="652"/>
      <c r="E259" s="653"/>
      <c r="F259" s="651"/>
      <c r="G259" s="654"/>
      <c r="H259" s="653"/>
      <c r="I259" s="518"/>
      <c r="J259" s="817"/>
      <c r="K259" s="519"/>
      <c r="L259" s="162" t="str">
        <f t="shared" si="262"/>
        <v/>
      </c>
      <c r="M259" s="512" t="str">
        <f>Assy.Model!$M104</f>
        <v/>
      </c>
      <c r="N259" s="810" t="str">
        <f>Assy.Model!K104</f>
        <v/>
      </c>
      <c r="O259" s="575" t="str">
        <f t="shared" si="256"/>
        <v/>
      </c>
      <c r="P259" s="572" t="str">
        <f t="shared" si="257"/>
        <v/>
      </c>
      <c r="Q259" s="579" t="str">
        <f t="shared" si="258"/>
        <v/>
      </c>
      <c r="R259" s="580" t="str">
        <f t="shared" si="259"/>
        <v/>
      </c>
      <c r="S259" s="572" t="str">
        <f t="shared" si="260"/>
        <v/>
      </c>
      <c r="T259" s="579" t="str">
        <f t="shared" si="261"/>
        <v/>
      </c>
    </row>
    <row r="260" spans="2:20" x14ac:dyDescent="0.25">
      <c r="B260" s="650"/>
      <c r="C260" s="651"/>
      <c r="D260" s="652"/>
      <c r="E260" s="653"/>
      <c r="F260" s="651"/>
      <c r="G260" s="654"/>
      <c r="H260" s="653"/>
      <c r="I260" s="518"/>
      <c r="J260" s="817"/>
      <c r="K260" s="519"/>
      <c r="L260" s="162" t="str">
        <f t="shared" si="262"/>
        <v/>
      </c>
      <c r="M260" s="512" t="str">
        <f>Assy.Model!$M105</f>
        <v/>
      </c>
      <c r="N260" s="810" t="str">
        <f>Assy.Model!K105</f>
        <v/>
      </c>
      <c r="O260" s="575" t="str">
        <f t="shared" ref="O260:O291" si="263">IF(ISBLANK($J260),"",(($BM$3*$B260)+($BN$3*$C260)+($BO$3*$D260))+$BP$3)</f>
        <v/>
      </c>
      <c r="P260" s="572" t="str">
        <f t="shared" ref="P260:P291" si="264">IF(ISBLANK($J260),"",(($BM$4*$B260)+($BN$4*$C260)+($BO$4*$D260))+$BP$4)</f>
        <v/>
      </c>
      <c r="Q260" s="579" t="str">
        <f t="shared" ref="Q260:Q291" si="265">IF(ISBLANK($J260),"",(($BM$5*$B260)+($BN$5*$C260)+($BO$5*$D260))+$BP$5)</f>
        <v/>
      </c>
      <c r="R260" s="580" t="str">
        <f t="shared" ref="R260:R291" si="266">IF(ISBLANK($J260),"",(($BM$3*$E260)+($BN$3*$F260)+($BO$3*$G260)))</f>
        <v/>
      </c>
      <c r="S260" s="572" t="str">
        <f t="shared" ref="S260:S291" si="267">IF(ISBLANK($J260),"",(($BM$4*$E260)+($BN$4*$F260)+($BO$4*$G260)))</f>
        <v/>
      </c>
      <c r="T260" s="579" t="str">
        <f t="shared" ref="T260:T291" si="268">IF(ISBLANK($J260),"",(($BM$5*$E260)+($BN$5*$F260)+($BO$5*$G260)))</f>
        <v/>
      </c>
    </row>
    <row r="261" spans="2:20" x14ac:dyDescent="0.25">
      <c r="B261" s="650"/>
      <c r="C261" s="651"/>
      <c r="D261" s="652"/>
      <c r="E261" s="653"/>
      <c r="F261" s="651"/>
      <c r="G261" s="654"/>
      <c r="H261" s="653"/>
      <c r="I261" s="518"/>
      <c r="J261" s="817"/>
      <c r="K261" s="519"/>
      <c r="L261" s="162" t="str">
        <f t="shared" si="262"/>
        <v/>
      </c>
      <c r="M261" s="512" t="str">
        <f>Assy.Model!$M106</f>
        <v/>
      </c>
      <c r="N261" s="810" t="str">
        <f>Assy.Model!K106</f>
        <v/>
      </c>
      <c r="O261" s="575" t="str">
        <f t="shared" si="263"/>
        <v/>
      </c>
      <c r="P261" s="572" t="str">
        <f t="shared" si="264"/>
        <v/>
      </c>
      <c r="Q261" s="579" t="str">
        <f t="shared" si="265"/>
        <v/>
      </c>
      <c r="R261" s="580" t="str">
        <f t="shared" si="266"/>
        <v/>
      </c>
      <c r="S261" s="572" t="str">
        <f t="shared" si="267"/>
        <v/>
      </c>
      <c r="T261" s="579" t="str">
        <f t="shared" si="268"/>
        <v/>
      </c>
    </row>
    <row r="262" spans="2:20" x14ac:dyDescent="0.25">
      <c r="B262" s="650"/>
      <c r="C262" s="651"/>
      <c r="D262" s="652"/>
      <c r="E262" s="653"/>
      <c r="F262" s="651"/>
      <c r="G262" s="654"/>
      <c r="H262" s="653"/>
      <c r="I262" s="518"/>
      <c r="J262" s="817"/>
      <c r="K262" s="519"/>
      <c r="L262" s="162" t="str">
        <f t="shared" si="262"/>
        <v/>
      </c>
      <c r="M262" s="512" t="str">
        <f>Assy.Model!$M107</f>
        <v/>
      </c>
      <c r="N262" s="810" t="str">
        <f>Assy.Model!K107</f>
        <v/>
      </c>
      <c r="O262" s="575" t="str">
        <f t="shared" si="263"/>
        <v/>
      </c>
      <c r="P262" s="572" t="str">
        <f t="shared" si="264"/>
        <v/>
      </c>
      <c r="Q262" s="579" t="str">
        <f t="shared" si="265"/>
        <v/>
      </c>
      <c r="R262" s="580" t="str">
        <f t="shared" si="266"/>
        <v/>
      </c>
      <c r="S262" s="572" t="str">
        <f t="shared" si="267"/>
        <v/>
      </c>
      <c r="T262" s="579" t="str">
        <f t="shared" si="268"/>
        <v/>
      </c>
    </row>
    <row r="263" spans="2:20" x14ac:dyDescent="0.25">
      <c r="B263" s="650"/>
      <c r="C263" s="651"/>
      <c r="D263" s="652"/>
      <c r="E263" s="653"/>
      <c r="F263" s="651"/>
      <c r="G263" s="654"/>
      <c r="H263" s="653"/>
      <c r="I263" s="518"/>
      <c r="J263" s="817"/>
      <c r="K263" s="519"/>
      <c r="L263" s="162" t="str">
        <f t="shared" si="262"/>
        <v/>
      </c>
      <c r="M263" s="512" t="str">
        <f>Assy.Model!$M108</f>
        <v/>
      </c>
      <c r="N263" s="810" t="str">
        <f>Assy.Model!K108</f>
        <v/>
      </c>
      <c r="O263" s="575" t="str">
        <f t="shared" si="263"/>
        <v/>
      </c>
      <c r="P263" s="572" t="str">
        <f t="shared" si="264"/>
        <v/>
      </c>
      <c r="Q263" s="579" t="str">
        <f t="shared" si="265"/>
        <v/>
      </c>
      <c r="R263" s="580" t="str">
        <f t="shared" si="266"/>
        <v/>
      </c>
      <c r="S263" s="572" t="str">
        <f t="shared" si="267"/>
        <v/>
      </c>
      <c r="T263" s="579" t="str">
        <f t="shared" si="268"/>
        <v/>
      </c>
    </row>
    <row r="264" spans="2:20" x14ac:dyDescent="0.25">
      <c r="B264" s="650"/>
      <c r="C264" s="651"/>
      <c r="D264" s="652"/>
      <c r="E264" s="653"/>
      <c r="F264" s="651"/>
      <c r="G264" s="654"/>
      <c r="H264" s="653"/>
      <c r="I264" s="518"/>
      <c r="J264" s="817"/>
      <c r="K264" s="519"/>
      <c r="L264" s="162" t="str">
        <f t="shared" si="262"/>
        <v/>
      </c>
      <c r="M264" s="512" t="str">
        <f>Assy.Model!$M109</f>
        <v/>
      </c>
      <c r="N264" s="810" t="str">
        <f>Assy.Model!K109</f>
        <v/>
      </c>
      <c r="O264" s="575" t="str">
        <f t="shared" si="263"/>
        <v/>
      </c>
      <c r="P264" s="572" t="str">
        <f t="shared" si="264"/>
        <v/>
      </c>
      <c r="Q264" s="579" t="str">
        <f t="shared" si="265"/>
        <v/>
      </c>
      <c r="R264" s="580" t="str">
        <f t="shared" si="266"/>
        <v/>
      </c>
      <c r="S264" s="572" t="str">
        <f t="shared" si="267"/>
        <v/>
      </c>
      <c r="T264" s="579" t="str">
        <f t="shared" si="268"/>
        <v/>
      </c>
    </row>
    <row r="265" spans="2:20" x14ac:dyDescent="0.25">
      <c r="B265" s="650"/>
      <c r="C265" s="651"/>
      <c r="D265" s="652"/>
      <c r="E265" s="653"/>
      <c r="F265" s="651"/>
      <c r="G265" s="654"/>
      <c r="H265" s="653"/>
      <c r="I265" s="518"/>
      <c r="J265" s="817"/>
      <c r="K265" s="519"/>
      <c r="L265" s="162" t="str">
        <f t="shared" si="262"/>
        <v/>
      </c>
      <c r="M265" s="512" t="str">
        <f>Assy.Model!$M110</f>
        <v/>
      </c>
      <c r="N265" s="810" t="str">
        <f>Assy.Model!K110</f>
        <v/>
      </c>
      <c r="O265" s="575" t="str">
        <f t="shared" si="263"/>
        <v/>
      </c>
      <c r="P265" s="572" t="str">
        <f t="shared" si="264"/>
        <v/>
      </c>
      <c r="Q265" s="579" t="str">
        <f t="shared" si="265"/>
        <v/>
      </c>
      <c r="R265" s="580" t="str">
        <f t="shared" si="266"/>
        <v/>
      </c>
      <c r="S265" s="572" t="str">
        <f t="shared" si="267"/>
        <v/>
      </c>
      <c r="T265" s="579" t="str">
        <f t="shared" si="268"/>
        <v/>
      </c>
    </row>
    <row r="266" spans="2:20" x14ac:dyDescent="0.25">
      <c r="B266" s="650"/>
      <c r="C266" s="651"/>
      <c r="D266" s="652"/>
      <c r="E266" s="653"/>
      <c r="F266" s="651"/>
      <c r="G266" s="654"/>
      <c r="H266" s="653"/>
      <c r="I266" s="518"/>
      <c r="J266" s="817"/>
      <c r="K266" s="519"/>
      <c r="L266" s="162" t="str">
        <f t="shared" si="262"/>
        <v/>
      </c>
      <c r="M266" s="512" t="str">
        <f>Assy.Model!$M111</f>
        <v/>
      </c>
      <c r="N266" s="810" t="str">
        <f>Assy.Model!K111</f>
        <v/>
      </c>
      <c r="O266" s="575" t="str">
        <f t="shared" si="263"/>
        <v/>
      </c>
      <c r="P266" s="572" t="str">
        <f t="shared" si="264"/>
        <v/>
      </c>
      <c r="Q266" s="579" t="str">
        <f t="shared" si="265"/>
        <v/>
      </c>
      <c r="R266" s="580" t="str">
        <f t="shared" si="266"/>
        <v/>
      </c>
      <c r="S266" s="572" t="str">
        <f t="shared" si="267"/>
        <v/>
      </c>
      <c r="T266" s="579" t="str">
        <f t="shared" si="268"/>
        <v/>
      </c>
    </row>
    <row r="267" spans="2:20" x14ac:dyDescent="0.25">
      <c r="B267" s="650"/>
      <c r="C267" s="651"/>
      <c r="D267" s="652"/>
      <c r="E267" s="653"/>
      <c r="F267" s="651"/>
      <c r="G267" s="654"/>
      <c r="H267" s="653"/>
      <c r="I267" s="518"/>
      <c r="J267" s="817"/>
      <c r="K267" s="519"/>
      <c r="L267" s="162" t="str">
        <f t="shared" si="262"/>
        <v/>
      </c>
      <c r="M267" s="512" t="str">
        <f>Assy.Model!$M112</f>
        <v/>
      </c>
      <c r="N267" s="810" t="str">
        <f>Assy.Model!K112</f>
        <v/>
      </c>
      <c r="O267" s="575" t="str">
        <f t="shared" si="263"/>
        <v/>
      </c>
      <c r="P267" s="572" t="str">
        <f t="shared" si="264"/>
        <v/>
      </c>
      <c r="Q267" s="579" t="str">
        <f t="shared" si="265"/>
        <v/>
      </c>
      <c r="R267" s="580" t="str">
        <f t="shared" si="266"/>
        <v/>
      </c>
      <c r="S267" s="572" t="str">
        <f t="shared" si="267"/>
        <v/>
      </c>
      <c r="T267" s="579" t="str">
        <f t="shared" si="268"/>
        <v/>
      </c>
    </row>
    <row r="268" spans="2:20" x14ac:dyDescent="0.25">
      <c r="B268" s="650"/>
      <c r="C268" s="651"/>
      <c r="D268" s="652"/>
      <c r="E268" s="653"/>
      <c r="F268" s="651"/>
      <c r="G268" s="654"/>
      <c r="H268" s="653"/>
      <c r="I268" s="518"/>
      <c r="J268" s="817"/>
      <c r="K268" s="519"/>
      <c r="L268" s="162" t="str">
        <f t="shared" si="262"/>
        <v/>
      </c>
      <c r="M268" s="512" t="str">
        <f>Assy.Model!$M113</f>
        <v/>
      </c>
      <c r="N268" s="810" t="str">
        <f>Assy.Model!K113</f>
        <v/>
      </c>
      <c r="O268" s="575" t="str">
        <f t="shared" si="263"/>
        <v/>
      </c>
      <c r="P268" s="572" t="str">
        <f t="shared" si="264"/>
        <v/>
      </c>
      <c r="Q268" s="579" t="str">
        <f t="shared" si="265"/>
        <v/>
      </c>
      <c r="R268" s="580" t="str">
        <f t="shared" si="266"/>
        <v/>
      </c>
      <c r="S268" s="572" t="str">
        <f t="shared" si="267"/>
        <v/>
      </c>
      <c r="T268" s="579" t="str">
        <f t="shared" si="268"/>
        <v/>
      </c>
    </row>
    <row r="269" spans="2:20" x14ac:dyDescent="0.25">
      <c r="B269" s="650"/>
      <c r="C269" s="651"/>
      <c r="D269" s="652"/>
      <c r="E269" s="653"/>
      <c r="F269" s="651"/>
      <c r="G269" s="654"/>
      <c r="H269" s="653"/>
      <c r="I269" s="518"/>
      <c r="J269" s="817"/>
      <c r="K269" s="519"/>
      <c r="L269" s="162" t="str">
        <f t="shared" si="262"/>
        <v/>
      </c>
      <c r="M269" s="512" t="str">
        <f>Assy.Model!$M114</f>
        <v/>
      </c>
      <c r="N269" s="810" t="str">
        <f>Assy.Model!K114</f>
        <v/>
      </c>
      <c r="O269" s="575" t="str">
        <f t="shared" si="263"/>
        <v/>
      </c>
      <c r="P269" s="572" t="str">
        <f t="shared" si="264"/>
        <v/>
      </c>
      <c r="Q269" s="579" t="str">
        <f t="shared" si="265"/>
        <v/>
      </c>
      <c r="R269" s="580" t="str">
        <f t="shared" si="266"/>
        <v/>
      </c>
      <c r="S269" s="572" t="str">
        <f t="shared" si="267"/>
        <v/>
      </c>
      <c r="T269" s="579" t="str">
        <f t="shared" si="268"/>
        <v/>
      </c>
    </row>
    <row r="270" spans="2:20" x14ac:dyDescent="0.25">
      <c r="B270" s="650"/>
      <c r="C270" s="651"/>
      <c r="D270" s="652"/>
      <c r="E270" s="653"/>
      <c r="F270" s="651"/>
      <c r="G270" s="654"/>
      <c r="H270" s="653"/>
      <c r="I270" s="518"/>
      <c r="J270" s="817"/>
      <c r="K270" s="519"/>
      <c r="L270" s="162" t="str">
        <f t="shared" si="262"/>
        <v/>
      </c>
      <c r="M270" s="512" t="str">
        <f>Assy.Model!$M115</f>
        <v/>
      </c>
      <c r="N270" s="810" t="str">
        <f>Assy.Model!K115</f>
        <v/>
      </c>
      <c r="O270" s="575" t="str">
        <f t="shared" si="263"/>
        <v/>
      </c>
      <c r="P270" s="572" t="str">
        <f t="shared" si="264"/>
        <v/>
      </c>
      <c r="Q270" s="579" t="str">
        <f t="shared" si="265"/>
        <v/>
      </c>
      <c r="R270" s="580" t="str">
        <f t="shared" si="266"/>
        <v/>
      </c>
      <c r="S270" s="572" t="str">
        <f t="shared" si="267"/>
        <v/>
      </c>
      <c r="T270" s="579" t="str">
        <f t="shared" si="268"/>
        <v/>
      </c>
    </row>
    <row r="271" spans="2:20" x14ac:dyDescent="0.25">
      <c r="B271" s="650"/>
      <c r="C271" s="651"/>
      <c r="D271" s="652"/>
      <c r="E271" s="653"/>
      <c r="F271" s="651"/>
      <c r="G271" s="654"/>
      <c r="H271" s="653"/>
      <c r="I271" s="518"/>
      <c r="J271" s="817"/>
      <c r="K271" s="519"/>
      <c r="L271" s="162" t="str">
        <f t="shared" si="262"/>
        <v/>
      </c>
      <c r="M271" s="512" t="str">
        <f>Assy.Model!$M116</f>
        <v/>
      </c>
      <c r="N271" s="810" t="str">
        <f>Assy.Model!K116</f>
        <v/>
      </c>
      <c r="O271" s="575" t="str">
        <f t="shared" si="263"/>
        <v/>
      </c>
      <c r="P271" s="572" t="str">
        <f t="shared" si="264"/>
        <v/>
      </c>
      <c r="Q271" s="579" t="str">
        <f t="shared" si="265"/>
        <v/>
      </c>
      <c r="R271" s="580" t="str">
        <f t="shared" si="266"/>
        <v/>
      </c>
      <c r="S271" s="572" t="str">
        <f t="shared" si="267"/>
        <v/>
      </c>
      <c r="T271" s="579" t="str">
        <f t="shared" si="268"/>
        <v/>
      </c>
    </row>
    <row r="272" spans="2:20" x14ac:dyDescent="0.25">
      <c r="B272" s="650"/>
      <c r="C272" s="651"/>
      <c r="D272" s="652"/>
      <c r="E272" s="653"/>
      <c r="F272" s="651"/>
      <c r="G272" s="654"/>
      <c r="H272" s="653"/>
      <c r="I272" s="518"/>
      <c r="J272" s="817"/>
      <c r="K272" s="519"/>
      <c r="L272" s="162" t="str">
        <f t="shared" si="262"/>
        <v/>
      </c>
      <c r="M272" s="512" t="str">
        <f>Assy.Model!$M117</f>
        <v/>
      </c>
      <c r="N272" s="810" t="str">
        <f>Assy.Model!K117</f>
        <v/>
      </c>
      <c r="O272" s="575" t="str">
        <f t="shared" si="263"/>
        <v/>
      </c>
      <c r="P272" s="572" t="str">
        <f t="shared" si="264"/>
        <v/>
      </c>
      <c r="Q272" s="579" t="str">
        <f t="shared" si="265"/>
        <v/>
      </c>
      <c r="R272" s="580" t="str">
        <f t="shared" si="266"/>
        <v/>
      </c>
      <c r="S272" s="572" t="str">
        <f t="shared" si="267"/>
        <v/>
      </c>
      <c r="T272" s="579" t="str">
        <f t="shared" si="268"/>
        <v/>
      </c>
    </row>
    <row r="273" spans="2:20" x14ac:dyDescent="0.25">
      <c r="B273" s="650"/>
      <c r="C273" s="651"/>
      <c r="D273" s="652"/>
      <c r="E273" s="653"/>
      <c r="F273" s="651"/>
      <c r="G273" s="654"/>
      <c r="H273" s="653"/>
      <c r="I273" s="518"/>
      <c r="J273" s="817"/>
      <c r="K273" s="519"/>
      <c r="L273" s="162" t="str">
        <f t="shared" si="262"/>
        <v/>
      </c>
      <c r="M273" s="512" t="str">
        <f>Assy.Model!$M118</f>
        <v/>
      </c>
      <c r="N273" s="810" t="str">
        <f>Assy.Model!K118</f>
        <v/>
      </c>
      <c r="O273" s="575" t="str">
        <f t="shared" si="263"/>
        <v/>
      </c>
      <c r="P273" s="572" t="str">
        <f t="shared" si="264"/>
        <v/>
      </c>
      <c r="Q273" s="579" t="str">
        <f t="shared" si="265"/>
        <v/>
      </c>
      <c r="R273" s="580" t="str">
        <f t="shared" si="266"/>
        <v/>
      </c>
      <c r="S273" s="572" t="str">
        <f t="shared" si="267"/>
        <v/>
      </c>
      <c r="T273" s="579" t="str">
        <f t="shared" si="268"/>
        <v/>
      </c>
    </row>
    <row r="274" spans="2:20" x14ac:dyDescent="0.25">
      <c r="B274" s="650"/>
      <c r="C274" s="651"/>
      <c r="D274" s="652"/>
      <c r="E274" s="653"/>
      <c r="F274" s="651"/>
      <c r="G274" s="654"/>
      <c r="H274" s="653"/>
      <c r="I274" s="518"/>
      <c r="J274" s="817"/>
      <c r="K274" s="519"/>
      <c r="L274" s="162" t="str">
        <f t="shared" si="262"/>
        <v/>
      </c>
      <c r="M274" s="512" t="str">
        <f>Assy.Model!$M119</f>
        <v/>
      </c>
      <c r="N274" s="810" t="str">
        <f>Assy.Model!K119</f>
        <v/>
      </c>
      <c r="O274" s="575" t="str">
        <f t="shared" si="263"/>
        <v/>
      </c>
      <c r="P274" s="572" t="str">
        <f t="shared" si="264"/>
        <v/>
      </c>
      <c r="Q274" s="579" t="str">
        <f t="shared" si="265"/>
        <v/>
      </c>
      <c r="R274" s="580" t="str">
        <f t="shared" si="266"/>
        <v/>
      </c>
      <c r="S274" s="572" t="str">
        <f t="shared" si="267"/>
        <v/>
      </c>
      <c r="T274" s="579" t="str">
        <f t="shared" si="268"/>
        <v/>
      </c>
    </row>
    <row r="275" spans="2:20" x14ac:dyDescent="0.25">
      <c r="B275" s="650"/>
      <c r="C275" s="651"/>
      <c r="D275" s="652"/>
      <c r="E275" s="653"/>
      <c r="F275" s="651"/>
      <c r="G275" s="654"/>
      <c r="H275" s="653"/>
      <c r="I275" s="518"/>
      <c r="J275" s="817"/>
      <c r="K275" s="519"/>
      <c r="L275" s="162" t="str">
        <f t="shared" si="262"/>
        <v/>
      </c>
      <c r="M275" s="512" t="str">
        <f>Assy.Model!$M120</f>
        <v/>
      </c>
      <c r="N275" s="810" t="str">
        <f>Assy.Model!K120</f>
        <v/>
      </c>
      <c r="O275" s="575" t="str">
        <f t="shared" si="263"/>
        <v/>
      </c>
      <c r="P275" s="572" t="str">
        <f t="shared" si="264"/>
        <v/>
      </c>
      <c r="Q275" s="579" t="str">
        <f t="shared" si="265"/>
        <v/>
      </c>
      <c r="R275" s="580" t="str">
        <f t="shared" si="266"/>
        <v/>
      </c>
      <c r="S275" s="572" t="str">
        <f t="shared" si="267"/>
        <v/>
      </c>
      <c r="T275" s="579" t="str">
        <f t="shared" si="268"/>
        <v/>
      </c>
    </row>
    <row r="276" spans="2:20" x14ac:dyDescent="0.25">
      <c r="B276" s="650"/>
      <c r="C276" s="651"/>
      <c r="D276" s="652"/>
      <c r="E276" s="653"/>
      <c r="F276" s="651"/>
      <c r="G276" s="654"/>
      <c r="H276" s="653"/>
      <c r="I276" s="518"/>
      <c r="J276" s="817"/>
      <c r="K276" s="519"/>
      <c r="L276" s="162" t="str">
        <f t="shared" si="262"/>
        <v/>
      </c>
      <c r="M276" s="512" t="str">
        <f>Assy.Model!$M121</f>
        <v/>
      </c>
      <c r="N276" s="810" t="str">
        <f>Assy.Model!K121</f>
        <v/>
      </c>
      <c r="O276" s="575" t="str">
        <f t="shared" si="263"/>
        <v/>
      </c>
      <c r="P276" s="572" t="str">
        <f t="shared" si="264"/>
        <v/>
      </c>
      <c r="Q276" s="579" t="str">
        <f t="shared" si="265"/>
        <v/>
      </c>
      <c r="R276" s="580" t="str">
        <f t="shared" si="266"/>
        <v/>
      </c>
      <c r="S276" s="572" t="str">
        <f t="shared" si="267"/>
        <v/>
      </c>
      <c r="T276" s="579" t="str">
        <f t="shared" si="268"/>
        <v/>
      </c>
    </row>
    <row r="277" spans="2:20" x14ac:dyDescent="0.25">
      <c r="B277" s="650"/>
      <c r="C277" s="651"/>
      <c r="D277" s="652"/>
      <c r="E277" s="653"/>
      <c r="F277" s="651"/>
      <c r="G277" s="654"/>
      <c r="H277" s="653"/>
      <c r="I277" s="518"/>
      <c r="J277" s="817"/>
      <c r="K277" s="519"/>
      <c r="L277" s="162" t="str">
        <f t="shared" si="262"/>
        <v/>
      </c>
      <c r="M277" s="512" t="str">
        <f>Assy.Model!$M122</f>
        <v/>
      </c>
      <c r="N277" s="810" t="str">
        <f>Assy.Model!K122</f>
        <v/>
      </c>
      <c r="O277" s="575" t="str">
        <f t="shared" si="263"/>
        <v/>
      </c>
      <c r="P277" s="572" t="str">
        <f t="shared" si="264"/>
        <v/>
      </c>
      <c r="Q277" s="579" t="str">
        <f t="shared" si="265"/>
        <v/>
      </c>
      <c r="R277" s="580" t="str">
        <f t="shared" si="266"/>
        <v/>
      </c>
      <c r="S277" s="572" t="str">
        <f t="shared" si="267"/>
        <v/>
      </c>
      <c r="T277" s="579" t="str">
        <f t="shared" si="268"/>
        <v/>
      </c>
    </row>
    <row r="278" spans="2:20" x14ac:dyDescent="0.25">
      <c r="B278" s="650"/>
      <c r="C278" s="651"/>
      <c r="D278" s="652"/>
      <c r="E278" s="653"/>
      <c r="F278" s="651"/>
      <c r="G278" s="654"/>
      <c r="H278" s="653"/>
      <c r="I278" s="518"/>
      <c r="J278" s="817"/>
      <c r="K278" s="519"/>
      <c r="L278" s="162" t="str">
        <f t="shared" si="262"/>
        <v/>
      </c>
      <c r="M278" s="512" t="str">
        <f>Assy.Model!$M123</f>
        <v/>
      </c>
      <c r="N278" s="810" t="str">
        <f>Assy.Model!K123</f>
        <v/>
      </c>
      <c r="O278" s="575" t="str">
        <f t="shared" si="263"/>
        <v/>
      </c>
      <c r="P278" s="572" t="str">
        <f t="shared" si="264"/>
        <v/>
      </c>
      <c r="Q278" s="579" t="str">
        <f t="shared" si="265"/>
        <v/>
      </c>
      <c r="R278" s="580" t="str">
        <f t="shared" si="266"/>
        <v/>
      </c>
      <c r="S278" s="572" t="str">
        <f t="shared" si="267"/>
        <v/>
      </c>
      <c r="T278" s="579" t="str">
        <f t="shared" si="268"/>
        <v/>
      </c>
    </row>
    <row r="279" spans="2:20" x14ac:dyDescent="0.25">
      <c r="B279" s="650"/>
      <c r="C279" s="651"/>
      <c r="D279" s="652"/>
      <c r="E279" s="653"/>
      <c r="F279" s="651"/>
      <c r="G279" s="654"/>
      <c r="H279" s="653"/>
      <c r="I279" s="518"/>
      <c r="J279" s="817"/>
      <c r="K279" s="519"/>
      <c r="L279" s="162" t="str">
        <f t="shared" si="262"/>
        <v/>
      </c>
      <c r="M279" s="512" t="str">
        <f>Assy.Model!$M124</f>
        <v/>
      </c>
      <c r="N279" s="810" t="str">
        <f>Assy.Model!K124</f>
        <v/>
      </c>
      <c r="O279" s="575" t="str">
        <f t="shared" si="263"/>
        <v/>
      </c>
      <c r="P279" s="572" t="str">
        <f t="shared" si="264"/>
        <v/>
      </c>
      <c r="Q279" s="579" t="str">
        <f t="shared" si="265"/>
        <v/>
      </c>
      <c r="R279" s="580" t="str">
        <f t="shared" si="266"/>
        <v/>
      </c>
      <c r="S279" s="572" t="str">
        <f t="shared" si="267"/>
        <v/>
      </c>
      <c r="T279" s="579" t="str">
        <f t="shared" si="268"/>
        <v/>
      </c>
    </row>
    <row r="280" spans="2:20" x14ac:dyDescent="0.25">
      <c r="B280" s="650"/>
      <c r="C280" s="651"/>
      <c r="D280" s="652"/>
      <c r="E280" s="653"/>
      <c r="F280" s="651"/>
      <c r="G280" s="654"/>
      <c r="H280" s="653"/>
      <c r="I280" s="518"/>
      <c r="J280" s="817"/>
      <c r="K280" s="519"/>
      <c r="L280" s="162" t="str">
        <f t="shared" si="262"/>
        <v/>
      </c>
      <c r="M280" s="512" t="str">
        <f>Assy.Model!$M125</f>
        <v/>
      </c>
      <c r="N280" s="810" t="str">
        <f>Assy.Model!K125</f>
        <v/>
      </c>
      <c r="O280" s="575" t="str">
        <f t="shared" si="263"/>
        <v/>
      </c>
      <c r="P280" s="572" t="str">
        <f t="shared" si="264"/>
        <v/>
      </c>
      <c r="Q280" s="579" t="str">
        <f t="shared" si="265"/>
        <v/>
      </c>
      <c r="R280" s="580" t="str">
        <f t="shared" si="266"/>
        <v/>
      </c>
      <c r="S280" s="572" t="str">
        <f t="shared" si="267"/>
        <v/>
      </c>
      <c r="T280" s="579" t="str">
        <f t="shared" si="268"/>
        <v/>
      </c>
    </row>
    <row r="281" spans="2:20" x14ac:dyDescent="0.25">
      <c r="B281" s="650"/>
      <c r="C281" s="651"/>
      <c r="D281" s="652"/>
      <c r="E281" s="653"/>
      <c r="F281" s="651"/>
      <c r="G281" s="654"/>
      <c r="H281" s="653"/>
      <c r="I281" s="518"/>
      <c r="J281" s="817"/>
      <c r="K281" s="519"/>
      <c r="L281" s="162" t="str">
        <f t="shared" si="262"/>
        <v/>
      </c>
      <c r="M281" s="512" t="str">
        <f>Assy.Model!$M126</f>
        <v/>
      </c>
      <c r="N281" s="810" t="str">
        <f>Assy.Model!K126</f>
        <v/>
      </c>
      <c r="O281" s="575" t="str">
        <f t="shared" si="263"/>
        <v/>
      </c>
      <c r="P281" s="572" t="str">
        <f t="shared" si="264"/>
        <v/>
      </c>
      <c r="Q281" s="579" t="str">
        <f t="shared" si="265"/>
        <v/>
      </c>
      <c r="R281" s="580" t="str">
        <f t="shared" si="266"/>
        <v/>
      </c>
      <c r="S281" s="572" t="str">
        <f t="shared" si="267"/>
        <v/>
      </c>
      <c r="T281" s="579" t="str">
        <f t="shared" si="268"/>
        <v/>
      </c>
    </row>
    <row r="282" spans="2:20" x14ac:dyDescent="0.25">
      <c r="B282" s="650"/>
      <c r="C282" s="651"/>
      <c r="D282" s="652"/>
      <c r="E282" s="653"/>
      <c r="F282" s="651"/>
      <c r="G282" s="654"/>
      <c r="H282" s="653"/>
      <c r="I282" s="518"/>
      <c r="J282" s="817"/>
      <c r="K282" s="519"/>
      <c r="L282" s="162" t="str">
        <f t="shared" si="262"/>
        <v/>
      </c>
      <c r="M282" s="512" t="str">
        <f>Assy.Model!$M127</f>
        <v/>
      </c>
      <c r="N282" s="810" t="str">
        <f>Assy.Model!K127</f>
        <v/>
      </c>
      <c r="O282" s="575" t="str">
        <f t="shared" si="263"/>
        <v/>
      </c>
      <c r="P282" s="572" t="str">
        <f t="shared" si="264"/>
        <v/>
      </c>
      <c r="Q282" s="579" t="str">
        <f t="shared" si="265"/>
        <v/>
      </c>
      <c r="R282" s="580" t="str">
        <f t="shared" si="266"/>
        <v/>
      </c>
      <c r="S282" s="572" t="str">
        <f t="shared" si="267"/>
        <v/>
      </c>
      <c r="T282" s="579" t="str">
        <f t="shared" si="268"/>
        <v/>
      </c>
    </row>
    <row r="283" spans="2:20" x14ac:dyDescent="0.25">
      <c r="B283" s="650"/>
      <c r="C283" s="651"/>
      <c r="D283" s="652"/>
      <c r="E283" s="653"/>
      <c r="F283" s="651"/>
      <c r="G283" s="654"/>
      <c r="H283" s="653"/>
      <c r="I283" s="518"/>
      <c r="J283" s="817"/>
      <c r="K283" s="519"/>
      <c r="L283" s="162" t="str">
        <f t="shared" si="262"/>
        <v/>
      </c>
      <c r="M283" s="512" t="str">
        <f>Assy.Model!$M128</f>
        <v/>
      </c>
      <c r="N283" s="810" t="str">
        <f>Assy.Model!K128</f>
        <v/>
      </c>
      <c r="O283" s="575" t="str">
        <f t="shared" si="263"/>
        <v/>
      </c>
      <c r="P283" s="572" t="str">
        <f t="shared" si="264"/>
        <v/>
      </c>
      <c r="Q283" s="579" t="str">
        <f t="shared" si="265"/>
        <v/>
      </c>
      <c r="R283" s="580" t="str">
        <f t="shared" si="266"/>
        <v/>
      </c>
      <c r="S283" s="572" t="str">
        <f t="shared" si="267"/>
        <v/>
      </c>
      <c r="T283" s="579" t="str">
        <f t="shared" si="268"/>
        <v/>
      </c>
    </row>
    <row r="284" spans="2:20" x14ac:dyDescent="0.25">
      <c r="B284" s="650"/>
      <c r="C284" s="651"/>
      <c r="D284" s="652"/>
      <c r="E284" s="653"/>
      <c r="F284" s="651"/>
      <c r="G284" s="654"/>
      <c r="H284" s="653"/>
      <c r="I284" s="518"/>
      <c r="J284" s="817"/>
      <c r="K284" s="519"/>
      <c r="L284" s="162" t="str">
        <f t="shared" si="262"/>
        <v/>
      </c>
      <c r="M284" s="512" t="str">
        <f>Assy.Model!$M129</f>
        <v/>
      </c>
      <c r="N284" s="810" t="str">
        <f>Assy.Model!K129</f>
        <v/>
      </c>
      <c r="O284" s="575" t="str">
        <f t="shared" si="263"/>
        <v/>
      </c>
      <c r="P284" s="572" t="str">
        <f t="shared" si="264"/>
        <v/>
      </c>
      <c r="Q284" s="579" t="str">
        <f t="shared" si="265"/>
        <v/>
      </c>
      <c r="R284" s="580" t="str">
        <f t="shared" si="266"/>
        <v/>
      </c>
      <c r="S284" s="572" t="str">
        <f t="shared" si="267"/>
        <v/>
      </c>
      <c r="T284" s="579" t="str">
        <f t="shared" si="268"/>
        <v/>
      </c>
    </row>
    <row r="285" spans="2:20" x14ac:dyDescent="0.25">
      <c r="B285" s="655"/>
      <c r="C285" s="656"/>
      <c r="D285" s="657"/>
      <c r="E285" s="658"/>
      <c r="F285" s="656"/>
      <c r="G285" s="659"/>
      <c r="H285" s="658"/>
      <c r="I285" s="520"/>
      <c r="J285" s="818"/>
      <c r="K285" s="521"/>
      <c r="L285" s="162" t="str">
        <f t="shared" si="262"/>
        <v/>
      </c>
      <c r="M285" s="513" t="str">
        <f>Assy.Model!$M130</f>
        <v/>
      </c>
      <c r="N285" s="810" t="str">
        <f>Assy.Model!K130</f>
        <v/>
      </c>
      <c r="O285" s="581" t="str">
        <f t="shared" si="263"/>
        <v/>
      </c>
      <c r="P285" s="582" t="str">
        <f t="shared" si="264"/>
        <v/>
      </c>
      <c r="Q285" s="586" t="str">
        <f t="shared" si="265"/>
        <v/>
      </c>
      <c r="R285" s="588" t="str">
        <f t="shared" si="266"/>
        <v/>
      </c>
      <c r="S285" s="582" t="str">
        <f t="shared" si="267"/>
        <v/>
      </c>
      <c r="T285" s="586" t="str">
        <f t="shared" si="268"/>
        <v/>
      </c>
    </row>
    <row r="286" spans="2:20" x14ac:dyDescent="0.25">
      <c r="B286" s="655"/>
      <c r="C286" s="656"/>
      <c r="D286" s="657"/>
      <c r="E286" s="658"/>
      <c r="F286" s="656"/>
      <c r="G286" s="659"/>
      <c r="H286" s="658"/>
      <c r="I286" s="520"/>
      <c r="J286" s="818"/>
      <c r="K286" s="521"/>
      <c r="L286" s="162" t="str">
        <f t="shared" si="262"/>
        <v/>
      </c>
      <c r="M286" s="513" t="str">
        <f>Assy.Model!$M131</f>
        <v/>
      </c>
      <c r="N286" s="810" t="str">
        <f>Assy.Model!K131</f>
        <v/>
      </c>
      <c r="O286" s="581" t="str">
        <f t="shared" si="263"/>
        <v/>
      </c>
      <c r="P286" s="582" t="str">
        <f t="shared" si="264"/>
        <v/>
      </c>
      <c r="Q286" s="586" t="str">
        <f t="shared" si="265"/>
        <v/>
      </c>
      <c r="R286" s="588" t="str">
        <f t="shared" si="266"/>
        <v/>
      </c>
      <c r="S286" s="582" t="str">
        <f t="shared" si="267"/>
        <v/>
      </c>
      <c r="T286" s="586" t="str">
        <f t="shared" si="268"/>
        <v/>
      </c>
    </row>
    <row r="287" spans="2:20" x14ac:dyDescent="0.25">
      <c r="B287" s="655"/>
      <c r="C287" s="656"/>
      <c r="D287" s="657"/>
      <c r="E287" s="658"/>
      <c r="F287" s="656"/>
      <c r="G287" s="659"/>
      <c r="H287" s="658"/>
      <c r="I287" s="520"/>
      <c r="J287" s="818"/>
      <c r="K287" s="521"/>
      <c r="L287" s="162" t="str">
        <f t="shared" si="262"/>
        <v/>
      </c>
      <c r="M287" s="513" t="str">
        <f>Assy.Model!$M132</f>
        <v/>
      </c>
      <c r="N287" s="810" t="str">
        <f>Assy.Model!K132</f>
        <v/>
      </c>
      <c r="O287" s="581" t="str">
        <f t="shared" si="263"/>
        <v/>
      </c>
      <c r="P287" s="582" t="str">
        <f t="shared" si="264"/>
        <v/>
      </c>
      <c r="Q287" s="586" t="str">
        <f t="shared" si="265"/>
        <v/>
      </c>
      <c r="R287" s="588" t="str">
        <f t="shared" si="266"/>
        <v/>
      </c>
      <c r="S287" s="582" t="str">
        <f t="shared" si="267"/>
        <v/>
      </c>
      <c r="T287" s="586" t="str">
        <f t="shared" si="268"/>
        <v/>
      </c>
    </row>
    <row r="288" spans="2:20" x14ac:dyDescent="0.25">
      <c r="B288" s="655"/>
      <c r="C288" s="656"/>
      <c r="D288" s="657"/>
      <c r="E288" s="658"/>
      <c r="F288" s="656"/>
      <c r="G288" s="659"/>
      <c r="H288" s="658"/>
      <c r="I288" s="520"/>
      <c r="J288" s="818"/>
      <c r="K288" s="521"/>
      <c r="L288" s="162" t="str">
        <f t="shared" si="262"/>
        <v/>
      </c>
      <c r="M288" s="513" t="str">
        <f>Assy.Model!$M133</f>
        <v/>
      </c>
      <c r="N288" s="810" t="str">
        <f>Assy.Model!K133</f>
        <v/>
      </c>
      <c r="O288" s="581" t="str">
        <f t="shared" si="263"/>
        <v/>
      </c>
      <c r="P288" s="582" t="str">
        <f t="shared" si="264"/>
        <v/>
      </c>
      <c r="Q288" s="586" t="str">
        <f t="shared" si="265"/>
        <v/>
      </c>
      <c r="R288" s="588" t="str">
        <f t="shared" si="266"/>
        <v/>
      </c>
      <c r="S288" s="582" t="str">
        <f t="shared" si="267"/>
        <v/>
      </c>
      <c r="T288" s="586" t="str">
        <f t="shared" si="268"/>
        <v/>
      </c>
    </row>
    <row r="289" spans="2:20" x14ac:dyDescent="0.25">
      <c r="B289" s="655"/>
      <c r="C289" s="656"/>
      <c r="D289" s="657"/>
      <c r="E289" s="658"/>
      <c r="F289" s="656"/>
      <c r="G289" s="659"/>
      <c r="H289" s="658"/>
      <c r="I289" s="520"/>
      <c r="J289" s="818"/>
      <c r="K289" s="521"/>
      <c r="L289" s="162" t="str">
        <f t="shared" si="262"/>
        <v/>
      </c>
      <c r="M289" s="513" t="str">
        <f>Assy.Model!$M134</f>
        <v/>
      </c>
      <c r="N289" s="810" t="str">
        <f>Assy.Model!K134</f>
        <v/>
      </c>
      <c r="O289" s="581" t="str">
        <f t="shared" si="263"/>
        <v/>
      </c>
      <c r="P289" s="582" t="str">
        <f t="shared" si="264"/>
        <v/>
      </c>
      <c r="Q289" s="586" t="str">
        <f t="shared" si="265"/>
        <v/>
      </c>
      <c r="R289" s="588" t="str">
        <f t="shared" si="266"/>
        <v/>
      </c>
      <c r="S289" s="582" t="str">
        <f t="shared" si="267"/>
        <v/>
      </c>
      <c r="T289" s="586" t="str">
        <f t="shared" si="268"/>
        <v/>
      </c>
    </row>
    <row r="290" spans="2:20" x14ac:dyDescent="0.25">
      <c r="B290" s="655"/>
      <c r="C290" s="656"/>
      <c r="D290" s="657"/>
      <c r="E290" s="658"/>
      <c r="F290" s="656"/>
      <c r="G290" s="659"/>
      <c r="H290" s="658"/>
      <c r="I290" s="520"/>
      <c r="J290" s="818"/>
      <c r="K290" s="521"/>
      <c r="L290" s="162" t="str">
        <f t="shared" si="262"/>
        <v/>
      </c>
      <c r="M290" s="513" t="str">
        <f>Assy.Model!$M135</f>
        <v/>
      </c>
      <c r="N290" s="810" t="str">
        <f>Assy.Model!K135</f>
        <v/>
      </c>
      <c r="O290" s="581" t="str">
        <f t="shared" si="263"/>
        <v/>
      </c>
      <c r="P290" s="582" t="str">
        <f t="shared" si="264"/>
        <v/>
      </c>
      <c r="Q290" s="586" t="str">
        <f t="shared" si="265"/>
        <v/>
      </c>
      <c r="R290" s="588" t="str">
        <f t="shared" si="266"/>
        <v/>
      </c>
      <c r="S290" s="582" t="str">
        <f t="shared" si="267"/>
        <v/>
      </c>
      <c r="T290" s="586" t="str">
        <f t="shared" si="268"/>
        <v/>
      </c>
    </row>
    <row r="291" spans="2:20" x14ac:dyDescent="0.25">
      <c r="B291" s="655"/>
      <c r="C291" s="656"/>
      <c r="D291" s="657"/>
      <c r="E291" s="658"/>
      <c r="F291" s="656"/>
      <c r="G291" s="659"/>
      <c r="H291" s="658"/>
      <c r="I291" s="520"/>
      <c r="J291" s="818"/>
      <c r="K291" s="521"/>
      <c r="L291" s="162" t="str">
        <f t="shared" si="262"/>
        <v/>
      </c>
      <c r="M291" s="513" t="str">
        <f>Assy.Model!$M136</f>
        <v/>
      </c>
      <c r="N291" s="810" t="str">
        <f>Assy.Model!K136</f>
        <v/>
      </c>
      <c r="O291" s="581" t="str">
        <f t="shared" si="263"/>
        <v/>
      </c>
      <c r="P291" s="582" t="str">
        <f t="shared" si="264"/>
        <v/>
      </c>
      <c r="Q291" s="586" t="str">
        <f t="shared" si="265"/>
        <v/>
      </c>
      <c r="R291" s="588" t="str">
        <f t="shared" si="266"/>
        <v/>
      </c>
      <c r="S291" s="582" t="str">
        <f t="shared" si="267"/>
        <v/>
      </c>
      <c r="T291" s="586" t="str">
        <f t="shared" si="268"/>
        <v/>
      </c>
    </row>
    <row r="292" spans="2:20" x14ac:dyDescent="0.25">
      <c r="B292" s="655"/>
      <c r="C292" s="656"/>
      <c r="D292" s="657"/>
      <c r="E292" s="658"/>
      <c r="F292" s="656"/>
      <c r="G292" s="659"/>
      <c r="H292" s="658"/>
      <c r="I292" s="520"/>
      <c r="J292" s="818"/>
      <c r="K292" s="521"/>
      <c r="L292" s="162" t="str">
        <f t="shared" si="262"/>
        <v/>
      </c>
      <c r="M292" s="513" t="str">
        <f>Assy.Model!$M137</f>
        <v/>
      </c>
      <c r="N292" s="810" t="str">
        <f>Assy.Model!K137</f>
        <v/>
      </c>
      <c r="O292" s="581" t="str">
        <f t="shared" ref="O292:O305" si="269">IF(ISBLANK($J292),"",(($BM$3*$B292)+($BN$3*$C292)+($BO$3*$D292))+$BP$3)</f>
        <v/>
      </c>
      <c r="P292" s="582" t="str">
        <f t="shared" ref="P292:P305" si="270">IF(ISBLANK($J292),"",(($BM$4*$B292)+($BN$4*$C292)+($BO$4*$D292))+$BP$4)</f>
        <v/>
      </c>
      <c r="Q292" s="586" t="str">
        <f t="shared" ref="Q292:Q305" si="271">IF(ISBLANK($J292),"",(($BM$5*$B292)+($BN$5*$C292)+($BO$5*$D292))+$BP$5)</f>
        <v/>
      </c>
      <c r="R292" s="588" t="str">
        <f t="shared" ref="R292:R305" si="272">IF(ISBLANK($J292),"",(($BM$3*$E292)+($BN$3*$F292)+($BO$3*$G292)))</f>
        <v/>
      </c>
      <c r="S292" s="582" t="str">
        <f t="shared" ref="S292:S305" si="273">IF(ISBLANK($J292),"",(($BM$4*$E292)+($BN$4*$F292)+($BO$4*$G292)))</f>
        <v/>
      </c>
      <c r="T292" s="586" t="str">
        <f t="shared" ref="T292:T305" si="274">IF(ISBLANK($J292),"",(($BM$5*$E292)+($BN$5*$F292)+($BO$5*$G292)))</f>
        <v/>
      </c>
    </row>
    <row r="293" spans="2:20" x14ac:dyDescent="0.25">
      <c r="B293" s="655"/>
      <c r="C293" s="656"/>
      <c r="D293" s="657"/>
      <c r="E293" s="658"/>
      <c r="F293" s="656"/>
      <c r="G293" s="659"/>
      <c r="H293" s="658"/>
      <c r="I293" s="520"/>
      <c r="J293" s="818"/>
      <c r="K293" s="521"/>
      <c r="L293" s="162" t="str">
        <f t="shared" si="262"/>
        <v/>
      </c>
      <c r="M293" s="513" t="str">
        <f>Assy.Model!$M138</f>
        <v/>
      </c>
      <c r="N293" s="810" t="str">
        <f>Assy.Model!K138</f>
        <v/>
      </c>
      <c r="O293" s="581" t="str">
        <f t="shared" si="269"/>
        <v/>
      </c>
      <c r="P293" s="582" t="str">
        <f t="shared" si="270"/>
        <v/>
      </c>
      <c r="Q293" s="586" t="str">
        <f t="shared" si="271"/>
        <v/>
      </c>
      <c r="R293" s="588" t="str">
        <f t="shared" si="272"/>
        <v/>
      </c>
      <c r="S293" s="582" t="str">
        <f t="shared" si="273"/>
        <v/>
      </c>
      <c r="T293" s="586" t="str">
        <f t="shared" si="274"/>
        <v/>
      </c>
    </row>
    <row r="294" spans="2:20" x14ac:dyDescent="0.25">
      <c r="B294" s="655"/>
      <c r="C294" s="656"/>
      <c r="D294" s="657"/>
      <c r="E294" s="658"/>
      <c r="F294" s="656"/>
      <c r="G294" s="659"/>
      <c r="H294" s="658"/>
      <c r="I294" s="520"/>
      <c r="J294" s="818"/>
      <c r="K294" s="521"/>
      <c r="L294" s="162" t="str">
        <f t="shared" si="262"/>
        <v/>
      </c>
      <c r="M294" s="513" t="str">
        <f>Assy.Model!$M139</f>
        <v/>
      </c>
      <c r="N294" s="810" t="str">
        <f>Assy.Model!K139</f>
        <v/>
      </c>
      <c r="O294" s="581" t="str">
        <f t="shared" si="269"/>
        <v/>
      </c>
      <c r="P294" s="582" t="str">
        <f t="shared" si="270"/>
        <v/>
      </c>
      <c r="Q294" s="586" t="str">
        <f t="shared" si="271"/>
        <v/>
      </c>
      <c r="R294" s="588" t="str">
        <f t="shared" si="272"/>
        <v/>
      </c>
      <c r="S294" s="582" t="str">
        <f t="shared" si="273"/>
        <v/>
      </c>
      <c r="T294" s="586" t="str">
        <f t="shared" si="274"/>
        <v/>
      </c>
    </row>
    <row r="295" spans="2:20" x14ac:dyDescent="0.25">
      <c r="B295" s="655"/>
      <c r="C295" s="656"/>
      <c r="D295" s="657"/>
      <c r="E295" s="658"/>
      <c r="F295" s="656"/>
      <c r="G295" s="659"/>
      <c r="H295" s="658"/>
      <c r="I295" s="520"/>
      <c r="J295" s="818"/>
      <c r="K295" s="521"/>
      <c r="L295" s="162" t="str">
        <f t="shared" si="262"/>
        <v/>
      </c>
      <c r="M295" s="513" t="str">
        <f>Assy.Model!$M140</f>
        <v/>
      </c>
      <c r="N295" s="810" t="str">
        <f>Assy.Model!K140</f>
        <v/>
      </c>
      <c r="O295" s="581" t="str">
        <f t="shared" si="269"/>
        <v/>
      </c>
      <c r="P295" s="582" t="str">
        <f t="shared" si="270"/>
        <v/>
      </c>
      <c r="Q295" s="586" t="str">
        <f t="shared" si="271"/>
        <v/>
      </c>
      <c r="R295" s="588" t="str">
        <f t="shared" si="272"/>
        <v/>
      </c>
      <c r="S295" s="582" t="str">
        <f t="shared" si="273"/>
        <v/>
      </c>
      <c r="T295" s="586" t="str">
        <f t="shared" si="274"/>
        <v/>
      </c>
    </row>
    <row r="296" spans="2:20" x14ac:dyDescent="0.25">
      <c r="B296" s="655"/>
      <c r="C296" s="656"/>
      <c r="D296" s="657"/>
      <c r="E296" s="658"/>
      <c r="F296" s="656"/>
      <c r="G296" s="659"/>
      <c r="H296" s="658"/>
      <c r="I296" s="520"/>
      <c r="J296" s="818"/>
      <c r="K296" s="521"/>
      <c r="L296" s="162" t="str">
        <f t="shared" si="262"/>
        <v/>
      </c>
      <c r="M296" s="513" t="str">
        <f>Assy.Model!$M141</f>
        <v/>
      </c>
      <c r="N296" s="810" t="str">
        <f>Assy.Model!K141</f>
        <v/>
      </c>
      <c r="O296" s="581" t="str">
        <f t="shared" si="269"/>
        <v/>
      </c>
      <c r="P296" s="582" t="str">
        <f t="shared" si="270"/>
        <v/>
      </c>
      <c r="Q296" s="586" t="str">
        <f t="shared" si="271"/>
        <v/>
      </c>
      <c r="R296" s="588" t="str">
        <f t="shared" si="272"/>
        <v/>
      </c>
      <c r="S296" s="582" t="str">
        <f t="shared" si="273"/>
        <v/>
      </c>
      <c r="T296" s="586" t="str">
        <f t="shared" si="274"/>
        <v/>
      </c>
    </row>
    <row r="297" spans="2:20" x14ac:dyDescent="0.25">
      <c r="B297" s="655"/>
      <c r="C297" s="656"/>
      <c r="D297" s="657"/>
      <c r="E297" s="658"/>
      <c r="F297" s="656"/>
      <c r="G297" s="659"/>
      <c r="H297" s="658"/>
      <c r="I297" s="520"/>
      <c r="J297" s="818"/>
      <c r="K297" s="521"/>
      <c r="L297" s="162" t="str">
        <f t="shared" si="262"/>
        <v/>
      </c>
      <c r="M297" s="513" t="str">
        <f>Assy.Model!$M142</f>
        <v/>
      </c>
      <c r="N297" s="810" t="str">
        <f>Assy.Model!K142</f>
        <v/>
      </c>
      <c r="O297" s="581" t="str">
        <f t="shared" si="269"/>
        <v/>
      </c>
      <c r="P297" s="582" t="str">
        <f t="shared" si="270"/>
        <v/>
      </c>
      <c r="Q297" s="586" t="str">
        <f t="shared" si="271"/>
        <v/>
      </c>
      <c r="R297" s="588" t="str">
        <f t="shared" si="272"/>
        <v/>
      </c>
      <c r="S297" s="582" t="str">
        <f t="shared" si="273"/>
        <v/>
      </c>
      <c r="T297" s="586" t="str">
        <f t="shared" si="274"/>
        <v/>
      </c>
    </row>
    <row r="298" spans="2:20" x14ac:dyDescent="0.25">
      <c r="B298" s="655"/>
      <c r="C298" s="656"/>
      <c r="D298" s="657"/>
      <c r="E298" s="658"/>
      <c r="F298" s="656"/>
      <c r="G298" s="659"/>
      <c r="H298" s="658"/>
      <c r="I298" s="520"/>
      <c r="J298" s="818"/>
      <c r="K298" s="521"/>
      <c r="L298" s="162" t="str">
        <f t="shared" si="262"/>
        <v/>
      </c>
      <c r="M298" s="513" t="str">
        <f>Assy.Model!$M143</f>
        <v/>
      </c>
      <c r="N298" s="810" t="str">
        <f>Assy.Model!K143</f>
        <v/>
      </c>
      <c r="O298" s="581" t="str">
        <f t="shared" si="269"/>
        <v/>
      </c>
      <c r="P298" s="582" t="str">
        <f t="shared" si="270"/>
        <v/>
      </c>
      <c r="Q298" s="586" t="str">
        <f t="shared" si="271"/>
        <v/>
      </c>
      <c r="R298" s="588" t="str">
        <f t="shared" si="272"/>
        <v/>
      </c>
      <c r="S298" s="582" t="str">
        <f t="shared" si="273"/>
        <v/>
      </c>
      <c r="T298" s="586" t="str">
        <f t="shared" si="274"/>
        <v/>
      </c>
    </row>
    <row r="299" spans="2:20" x14ac:dyDescent="0.25">
      <c r="B299" s="655"/>
      <c r="C299" s="656"/>
      <c r="D299" s="657"/>
      <c r="E299" s="658"/>
      <c r="F299" s="656"/>
      <c r="G299" s="659"/>
      <c r="H299" s="658"/>
      <c r="I299" s="520"/>
      <c r="J299" s="818"/>
      <c r="K299" s="521"/>
      <c r="L299" s="162" t="str">
        <f t="shared" si="262"/>
        <v/>
      </c>
      <c r="M299" s="513" t="str">
        <f>Assy.Model!$M144</f>
        <v/>
      </c>
      <c r="N299" s="810" t="str">
        <f>Assy.Model!K144</f>
        <v/>
      </c>
      <c r="O299" s="581" t="str">
        <f t="shared" si="269"/>
        <v/>
      </c>
      <c r="P299" s="582" t="str">
        <f t="shared" si="270"/>
        <v/>
      </c>
      <c r="Q299" s="586" t="str">
        <f t="shared" si="271"/>
        <v/>
      </c>
      <c r="R299" s="588" t="str">
        <f t="shared" si="272"/>
        <v/>
      </c>
      <c r="S299" s="582" t="str">
        <f t="shared" si="273"/>
        <v/>
      </c>
      <c r="T299" s="586" t="str">
        <f t="shared" si="274"/>
        <v/>
      </c>
    </row>
    <row r="300" spans="2:20" x14ac:dyDescent="0.25">
      <c r="B300" s="655"/>
      <c r="C300" s="656"/>
      <c r="D300" s="657"/>
      <c r="E300" s="658"/>
      <c r="F300" s="656"/>
      <c r="G300" s="659"/>
      <c r="H300" s="658"/>
      <c r="I300" s="520"/>
      <c r="J300" s="818"/>
      <c r="K300" s="521"/>
      <c r="L300" s="162" t="str">
        <f t="shared" si="262"/>
        <v/>
      </c>
      <c r="M300" s="513" t="str">
        <f>Assy.Model!$M145</f>
        <v/>
      </c>
      <c r="N300" s="810" t="str">
        <f>Assy.Model!K145</f>
        <v/>
      </c>
      <c r="O300" s="581" t="str">
        <f t="shared" si="269"/>
        <v/>
      </c>
      <c r="P300" s="582" t="str">
        <f t="shared" si="270"/>
        <v/>
      </c>
      <c r="Q300" s="586" t="str">
        <f t="shared" si="271"/>
        <v/>
      </c>
      <c r="R300" s="588" t="str">
        <f t="shared" si="272"/>
        <v/>
      </c>
      <c r="S300" s="582" t="str">
        <f t="shared" si="273"/>
        <v/>
      </c>
      <c r="T300" s="586" t="str">
        <f t="shared" si="274"/>
        <v/>
      </c>
    </row>
    <row r="301" spans="2:20" x14ac:dyDescent="0.25">
      <c r="B301" s="655"/>
      <c r="C301" s="656"/>
      <c r="D301" s="657"/>
      <c r="E301" s="658"/>
      <c r="F301" s="656"/>
      <c r="G301" s="659"/>
      <c r="H301" s="658"/>
      <c r="I301" s="520"/>
      <c r="J301" s="818"/>
      <c r="K301" s="521"/>
      <c r="L301" s="162" t="str">
        <f t="shared" si="262"/>
        <v/>
      </c>
      <c r="M301" s="513" t="str">
        <f>Assy.Model!$M146</f>
        <v/>
      </c>
      <c r="N301" s="810" t="str">
        <f>Assy.Model!K146</f>
        <v/>
      </c>
      <c r="O301" s="581" t="str">
        <f t="shared" si="269"/>
        <v/>
      </c>
      <c r="P301" s="582" t="str">
        <f t="shared" si="270"/>
        <v/>
      </c>
      <c r="Q301" s="586" t="str">
        <f t="shared" si="271"/>
        <v/>
      </c>
      <c r="R301" s="588" t="str">
        <f t="shared" si="272"/>
        <v/>
      </c>
      <c r="S301" s="582" t="str">
        <f t="shared" si="273"/>
        <v/>
      </c>
      <c r="T301" s="586" t="str">
        <f t="shared" si="274"/>
        <v/>
      </c>
    </row>
    <row r="302" spans="2:20" x14ac:dyDescent="0.25">
      <c r="B302" s="655"/>
      <c r="C302" s="656"/>
      <c r="D302" s="657"/>
      <c r="E302" s="658"/>
      <c r="F302" s="656"/>
      <c r="G302" s="659"/>
      <c r="H302" s="658"/>
      <c r="I302" s="520"/>
      <c r="J302" s="818"/>
      <c r="K302" s="521"/>
      <c r="L302" s="162" t="str">
        <f t="shared" si="262"/>
        <v/>
      </c>
      <c r="M302" s="513" t="str">
        <f>Assy.Model!$M147</f>
        <v/>
      </c>
      <c r="N302" s="810" t="str">
        <f>Assy.Model!K147</f>
        <v/>
      </c>
      <c r="O302" s="581" t="str">
        <f t="shared" si="269"/>
        <v/>
      </c>
      <c r="P302" s="582" t="str">
        <f t="shared" si="270"/>
        <v/>
      </c>
      <c r="Q302" s="586" t="str">
        <f t="shared" si="271"/>
        <v/>
      </c>
      <c r="R302" s="588" t="str">
        <f t="shared" si="272"/>
        <v/>
      </c>
      <c r="S302" s="582" t="str">
        <f t="shared" si="273"/>
        <v/>
      </c>
      <c r="T302" s="586" t="str">
        <f t="shared" si="274"/>
        <v/>
      </c>
    </row>
    <row r="303" spans="2:20" x14ac:dyDescent="0.25">
      <c r="B303" s="655"/>
      <c r="C303" s="656"/>
      <c r="D303" s="657"/>
      <c r="E303" s="658"/>
      <c r="F303" s="656"/>
      <c r="G303" s="659"/>
      <c r="H303" s="658"/>
      <c r="I303" s="520"/>
      <c r="J303" s="818"/>
      <c r="K303" s="521"/>
      <c r="L303" s="162" t="str">
        <f t="shared" si="262"/>
        <v/>
      </c>
      <c r="M303" s="513" t="str">
        <f>Assy.Model!$M148</f>
        <v/>
      </c>
      <c r="N303" s="810" t="str">
        <f>Assy.Model!K148</f>
        <v/>
      </c>
      <c r="O303" s="581" t="str">
        <f t="shared" si="269"/>
        <v/>
      </c>
      <c r="P303" s="582" t="str">
        <f t="shared" si="270"/>
        <v/>
      </c>
      <c r="Q303" s="586" t="str">
        <f t="shared" si="271"/>
        <v/>
      </c>
      <c r="R303" s="588" t="str">
        <f t="shared" si="272"/>
        <v/>
      </c>
      <c r="S303" s="582" t="str">
        <f t="shared" si="273"/>
        <v/>
      </c>
      <c r="T303" s="586" t="str">
        <f t="shared" si="274"/>
        <v/>
      </c>
    </row>
    <row r="304" spans="2:20" x14ac:dyDescent="0.25">
      <c r="B304" s="655"/>
      <c r="C304" s="656"/>
      <c r="D304" s="657"/>
      <c r="E304" s="658"/>
      <c r="F304" s="656"/>
      <c r="G304" s="659"/>
      <c r="H304" s="658"/>
      <c r="I304" s="520"/>
      <c r="J304" s="818"/>
      <c r="K304" s="521"/>
      <c r="L304" s="162" t="str">
        <f t="shared" si="262"/>
        <v/>
      </c>
      <c r="M304" s="513" t="str">
        <f>Assy.Model!$M149</f>
        <v/>
      </c>
      <c r="N304" s="810" t="str">
        <f>Assy.Model!K149</f>
        <v/>
      </c>
      <c r="O304" s="581" t="str">
        <f t="shared" si="269"/>
        <v/>
      </c>
      <c r="P304" s="582" t="str">
        <f t="shared" si="270"/>
        <v/>
      </c>
      <c r="Q304" s="586" t="str">
        <f t="shared" si="271"/>
        <v/>
      </c>
      <c r="R304" s="588" t="str">
        <f t="shared" si="272"/>
        <v/>
      </c>
      <c r="S304" s="582" t="str">
        <f t="shared" si="273"/>
        <v/>
      </c>
      <c r="T304" s="586" t="str">
        <f t="shared" si="274"/>
        <v/>
      </c>
    </row>
    <row r="305" spans="2:20" ht="15.75" thickBot="1" x14ac:dyDescent="0.3">
      <c r="B305" s="660"/>
      <c r="C305" s="661"/>
      <c r="D305" s="662"/>
      <c r="E305" s="663"/>
      <c r="F305" s="661"/>
      <c r="G305" s="664"/>
      <c r="H305" s="663"/>
      <c r="I305" s="522"/>
      <c r="J305" s="819"/>
      <c r="K305" s="523"/>
      <c r="L305" s="162" t="str">
        <f t="shared" si="262"/>
        <v/>
      </c>
      <c r="M305" s="514" t="str">
        <f>Assy.Model!$M150</f>
        <v/>
      </c>
      <c r="N305" s="811" t="str">
        <f>Assy.Model!K150</f>
        <v/>
      </c>
      <c r="O305" s="666" t="str">
        <f t="shared" si="269"/>
        <v/>
      </c>
      <c r="P305" s="667" t="str">
        <f t="shared" si="270"/>
        <v/>
      </c>
      <c r="Q305" s="668" t="str">
        <f t="shared" si="271"/>
        <v/>
      </c>
      <c r="R305" s="669" t="str">
        <f t="shared" si="272"/>
        <v/>
      </c>
      <c r="S305" s="667" t="str">
        <f t="shared" si="273"/>
        <v/>
      </c>
      <c r="T305" s="668" t="str">
        <f t="shared" si="274"/>
        <v/>
      </c>
    </row>
  </sheetData>
  <mergeCells count="85">
    <mergeCell ref="JB20:JE21"/>
    <mergeCell ref="JF21:JG21"/>
    <mergeCell ref="JB7:JE7"/>
    <mergeCell ref="JB19:JI19"/>
    <mergeCell ref="JF20:JI20"/>
    <mergeCell ref="JH21:JI21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</mergeCells>
  <conditionalFormatting sqref="AX9:AX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7">
      <colorScale>
        <cfvo type="min"/>
        <cfvo type="max"/>
        <color rgb="FFFCFCFF"/>
        <color rgb="FFF8696B"/>
      </colorScale>
    </cfRule>
  </conditionalFormatting>
  <conditionalFormatting sqref="M9:M150">
    <cfRule type="cellIs" dxfId="20" priority="18" stopIfTrue="1" operator="between">
      <formula>9</formula>
      <formula>9.99</formula>
    </cfRule>
    <cfRule type="cellIs" dxfId="19" priority="19" stopIfTrue="1" operator="between">
      <formula>8</formula>
      <formula>8.99</formula>
    </cfRule>
    <cfRule type="cellIs" dxfId="18" priority="20" stopIfTrue="1" operator="between">
      <formula>7</formula>
      <formula>7.99</formula>
    </cfRule>
    <cfRule type="cellIs" dxfId="17" priority="21" stopIfTrue="1" operator="between">
      <formula>6</formula>
      <formula>6.99</formula>
    </cfRule>
    <cfRule type="cellIs" dxfId="16" priority="22" stopIfTrue="1" operator="between">
      <formula>5</formula>
      <formula>5.99</formula>
    </cfRule>
    <cfRule type="cellIs" dxfId="15" priority="23" stopIfTrue="1" operator="between">
      <formula>4</formula>
      <formula>4.99</formula>
    </cfRule>
    <cfRule type="cellIs" dxfId="14" priority="24" stopIfTrue="1" operator="between">
      <formula>3</formula>
      <formula>3.99</formula>
    </cfRule>
    <cfRule type="cellIs" dxfId="13" priority="25" stopIfTrue="1" operator="between">
      <formula>2</formula>
      <formula>2.99</formula>
    </cfRule>
    <cfRule type="cellIs" dxfId="12" priority="26" stopIfTrue="1" operator="between">
      <formula>1</formula>
      <formula>1.99</formula>
    </cfRule>
  </conditionalFormatting>
  <conditionalFormatting sqref="AV9:AV150">
    <cfRule type="cellIs" dxfId="11" priority="9" stopIfTrue="1" operator="between">
      <formula>9</formula>
      <formula>9.99</formula>
    </cfRule>
    <cfRule type="cellIs" dxfId="10" priority="10" stopIfTrue="1" operator="between">
      <formula>8</formula>
      <formula>8.99</formula>
    </cfRule>
    <cfRule type="cellIs" dxfId="9" priority="11" stopIfTrue="1" operator="between">
      <formula>7</formula>
      <formula>7.99</formula>
    </cfRule>
    <cfRule type="cellIs" dxfId="8" priority="12" stopIfTrue="1" operator="between">
      <formula>6</formula>
      <formula>6.99</formula>
    </cfRule>
    <cfRule type="cellIs" dxfId="7" priority="13" stopIfTrue="1" operator="between">
      <formula>5</formula>
      <formula>5.99</formula>
    </cfRule>
    <cfRule type="cellIs" dxfId="6" priority="14" stopIfTrue="1" operator="between">
      <formula>4</formula>
      <formula>4.99</formula>
    </cfRule>
    <cfRule type="cellIs" dxfId="5" priority="15" stopIfTrue="1" operator="between">
      <formula>3</formula>
      <formula>3.99</formula>
    </cfRule>
    <cfRule type="cellIs" dxfId="4" priority="16" stopIfTrue="1" operator="between">
      <formula>2</formula>
      <formula>2.99</formula>
    </cfRule>
    <cfRule type="cellIs" dxfId="3" priority="17" stopIfTrue="1" operator="between">
      <formula>1</formula>
      <formula>1.99</formula>
    </cfRule>
  </conditionalFormatting>
  <conditionalFormatting sqref="L5">
    <cfRule type="cellIs" dxfId="2" priority="2" operator="equal">
      <formula>"Wrong CS"</formula>
    </cfRule>
  </conditionalFormatting>
  <conditionalFormatting sqref="L164:L305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4" operator="containsText" id="{980C1AB7-38DA-40FC-AF28-30E937B2393C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3" operator="containsText" id="{42DE814E-16FC-4713-8F76-2D9FCF59732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7C933-0E24-400D-A021-A6BBF539FEBF}">
  <sheetPr codeName="Sheet2"/>
  <dimension ref="A7:E150"/>
  <sheetViews>
    <sheetView showGridLines="0" zoomScale="80" zoomScaleNormal="80" workbookViewId="0">
      <selection activeCell="A3" sqref="A3"/>
    </sheetView>
  </sheetViews>
  <sheetFormatPr defaultRowHeight="15" x14ac:dyDescent="0.25"/>
  <cols>
    <col min="1" max="1" width="9.140625" style="31"/>
    <col min="2" max="2" width="10.7109375" style="74" customWidth="1"/>
    <col min="3" max="5" width="10.7109375" style="219" customWidth="1"/>
  </cols>
  <sheetData>
    <row r="7" spans="1:5" x14ac:dyDescent="0.25">
      <c r="B7" s="1433" t="s">
        <v>33</v>
      </c>
      <c r="C7" s="1431" t="s">
        <v>105</v>
      </c>
      <c r="D7" s="1432"/>
      <c r="E7" s="1435" t="s">
        <v>110</v>
      </c>
    </row>
    <row r="8" spans="1:5" ht="15.75" thickBot="1" x14ac:dyDescent="0.3">
      <c r="A8" s="31" t="s">
        <v>419</v>
      </c>
      <c r="B8" s="1434"/>
      <c r="C8" s="955" t="s">
        <v>8</v>
      </c>
      <c r="D8" s="956" t="s">
        <v>9</v>
      </c>
      <c r="E8" s="1436"/>
    </row>
    <row r="9" spans="1:5" ht="15.75" thickTop="1" x14ac:dyDescent="0.25">
      <c r="A9" s="31">
        <f t="shared" ref="A9:A53" si="0">MOD(B9*10,1)*100</f>
        <v>0</v>
      </c>
      <c r="B9" s="952"/>
      <c r="C9" s="957"/>
      <c r="D9" s="958"/>
      <c r="E9" s="959"/>
    </row>
    <row r="10" spans="1:5" x14ac:dyDescent="0.25">
      <c r="A10" s="31">
        <f t="shared" si="0"/>
        <v>0</v>
      </c>
      <c r="B10" s="953"/>
      <c r="C10" s="960"/>
      <c r="D10" s="961"/>
      <c r="E10" s="962"/>
    </row>
    <row r="11" spans="1:5" x14ac:dyDescent="0.25">
      <c r="A11" s="31">
        <f t="shared" si="0"/>
        <v>0</v>
      </c>
      <c r="B11" s="953"/>
      <c r="C11" s="960"/>
      <c r="D11" s="961"/>
      <c r="E11" s="962"/>
    </row>
    <row r="12" spans="1:5" x14ac:dyDescent="0.25">
      <c r="A12" s="31">
        <f t="shared" si="0"/>
        <v>0</v>
      </c>
      <c r="B12" s="953"/>
      <c r="C12" s="960"/>
      <c r="D12" s="961"/>
      <c r="E12" s="962"/>
    </row>
    <row r="13" spans="1:5" x14ac:dyDescent="0.25">
      <c r="A13" s="31">
        <f t="shared" si="0"/>
        <v>0</v>
      </c>
      <c r="B13" s="952"/>
      <c r="C13" s="957"/>
      <c r="D13" s="958"/>
      <c r="E13" s="959"/>
    </row>
    <row r="14" spans="1:5" x14ac:dyDescent="0.25">
      <c r="A14" s="31">
        <f t="shared" si="0"/>
        <v>0</v>
      </c>
      <c r="B14" s="953"/>
      <c r="C14" s="960"/>
      <c r="D14" s="961"/>
      <c r="E14" s="962"/>
    </row>
    <row r="15" spans="1:5" x14ac:dyDescent="0.25">
      <c r="A15" s="31">
        <f t="shared" si="0"/>
        <v>0</v>
      </c>
      <c r="B15" s="953"/>
      <c r="C15" s="960"/>
      <c r="D15" s="961"/>
      <c r="E15" s="962"/>
    </row>
    <row r="16" spans="1:5" x14ac:dyDescent="0.25">
      <c r="A16" s="31">
        <f t="shared" si="0"/>
        <v>0</v>
      </c>
      <c r="B16" s="953"/>
      <c r="C16" s="960"/>
      <c r="D16" s="961"/>
      <c r="E16" s="962"/>
    </row>
    <row r="17" spans="1:5" x14ac:dyDescent="0.25">
      <c r="A17" s="31">
        <f t="shared" si="0"/>
        <v>0</v>
      </c>
      <c r="B17" s="953"/>
      <c r="C17" s="960"/>
      <c r="D17" s="961"/>
      <c r="E17" s="962"/>
    </row>
    <row r="18" spans="1:5" x14ac:dyDescent="0.25">
      <c r="A18" s="31">
        <f t="shared" si="0"/>
        <v>0</v>
      </c>
      <c r="B18" s="953"/>
      <c r="C18" s="960"/>
      <c r="D18" s="961"/>
      <c r="E18" s="962"/>
    </row>
    <row r="19" spans="1:5" x14ac:dyDescent="0.25">
      <c r="A19" s="31">
        <f t="shared" si="0"/>
        <v>0</v>
      </c>
      <c r="B19" s="953"/>
      <c r="C19" s="960"/>
      <c r="D19" s="961"/>
      <c r="E19" s="962"/>
    </row>
    <row r="20" spans="1:5" x14ac:dyDescent="0.25">
      <c r="A20" s="31">
        <f t="shared" si="0"/>
        <v>0</v>
      </c>
      <c r="B20" s="953"/>
      <c r="C20" s="960"/>
      <c r="D20" s="961"/>
      <c r="E20" s="962"/>
    </row>
    <row r="21" spans="1:5" x14ac:dyDescent="0.25">
      <c r="A21" s="31">
        <f t="shared" si="0"/>
        <v>0</v>
      </c>
      <c r="B21" s="953"/>
      <c r="C21" s="960"/>
      <c r="D21" s="961"/>
      <c r="E21" s="962"/>
    </row>
    <row r="22" spans="1:5" x14ac:dyDescent="0.25">
      <c r="A22" s="31">
        <f t="shared" si="0"/>
        <v>0</v>
      </c>
      <c r="B22" s="953"/>
      <c r="C22" s="960"/>
      <c r="D22" s="961"/>
      <c r="E22" s="962"/>
    </row>
    <row r="23" spans="1:5" x14ac:dyDescent="0.25">
      <c r="A23" s="31">
        <f t="shared" si="0"/>
        <v>0</v>
      </c>
      <c r="B23" s="953"/>
      <c r="C23" s="960"/>
      <c r="D23" s="961"/>
      <c r="E23" s="962"/>
    </row>
    <row r="24" spans="1:5" x14ac:dyDescent="0.25">
      <c r="A24" s="31">
        <f t="shared" si="0"/>
        <v>0</v>
      </c>
      <c r="B24" s="953"/>
      <c r="C24" s="960"/>
      <c r="D24" s="961"/>
      <c r="E24" s="962"/>
    </row>
    <row r="25" spans="1:5" x14ac:dyDescent="0.25">
      <c r="A25" s="31">
        <f t="shared" si="0"/>
        <v>0</v>
      </c>
      <c r="B25" s="953"/>
      <c r="C25" s="960"/>
      <c r="D25" s="961"/>
      <c r="E25" s="962"/>
    </row>
    <row r="26" spans="1:5" x14ac:dyDescent="0.25">
      <c r="A26" s="31">
        <f t="shared" si="0"/>
        <v>0</v>
      </c>
      <c r="B26" s="953"/>
      <c r="C26" s="960"/>
      <c r="D26" s="961"/>
      <c r="E26" s="962"/>
    </row>
    <row r="27" spans="1:5" x14ac:dyDescent="0.25">
      <c r="A27" s="31">
        <f t="shared" si="0"/>
        <v>0</v>
      </c>
      <c r="B27" s="953"/>
      <c r="C27" s="960"/>
      <c r="D27" s="961"/>
      <c r="E27" s="962"/>
    </row>
    <row r="28" spans="1:5" x14ac:dyDescent="0.25">
      <c r="A28" s="31">
        <f t="shared" si="0"/>
        <v>0</v>
      </c>
      <c r="B28" s="953"/>
      <c r="C28" s="960"/>
      <c r="D28" s="961"/>
      <c r="E28" s="962"/>
    </row>
    <row r="29" spans="1:5" x14ac:dyDescent="0.25">
      <c r="A29" s="31">
        <f t="shared" si="0"/>
        <v>0</v>
      </c>
      <c r="B29" s="953"/>
      <c r="C29" s="960"/>
      <c r="D29" s="961"/>
      <c r="E29" s="962"/>
    </row>
    <row r="30" spans="1:5" x14ac:dyDescent="0.25">
      <c r="A30" s="31">
        <f t="shared" si="0"/>
        <v>0</v>
      </c>
      <c r="B30" s="953"/>
      <c r="C30" s="960"/>
      <c r="D30" s="961"/>
      <c r="E30" s="962"/>
    </row>
    <row r="31" spans="1:5" x14ac:dyDescent="0.25">
      <c r="A31" s="31">
        <f t="shared" si="0"/>
        <v>0</v>
      </c>
      <c r="B31" s="953"/>
      <c r="C31" s="960"/>
      <c r="D31" s="961"/>
      <c r="E31" s="962"/>
    </row>
    <row r="32" spans="1:5" x14ac:dyDescent="0.25">
      <c r="A32" s="31">
        <f t="shared" si="0"/>
        <v>0</v>
      </c>
      <c r="B32" s="953"/>
      <c r="C32" s="960"/>
      <c r="D32" s="961"/>
      <c r="E32" s="962"/>
    </row>
    <row r="33" spans="1:5" x14ac:dyDescent="0.25">
      <c r="A33" s="31">
        <f t="shared" si="0"/>
        <v>0</v>
      </c>
      <c r="B33" s="953"/>
      <c r="C33" s="960"/>
      <c r="D33" s="961"/>
      <c r="E33" s="962"/>
    </row>
    <row r="34" spans="1:5" x14ac:dyDescent="0.25">
      <c r="A34" s="31">
        <f t="shared" si="0"/>
        <v>0</v>
      </c>
      <c r="B34" s="953"/>
      <c r="C34" s="960"/>
      <c r="D34" s="961"/>
      <c r="E34" s="962"/>
    </row>
    <row r="35" spans="1:5" x14ac:dyDescent="0.25">
      <c r="A35" s="31">
        <f t="shared" si="0"/>
        <v>0</v>
      </c>
      <c r="B35" s="953"/>
      <c r="C35" s="960"/>
      <c r="D35" s="961"/>
      <c r="E35" s="962"/>
    </row>
    <row r="36" spans="1:5" x14ac:dyDescent="0.25">
      <c r="A36" s="31">
        <f t="shared" si="0"/>
        <v>0</v>
      </c>
      <c r="B36" s="953"/>
      <c r="C36" s="960"/>
      <c r="D36" s="961"/>
      <c r="E36" s="962"/>
    </row>
    <row r="37" spans="1:5" x14ac:dyDescent="0.25">
      <c r="A37" s="31">
        <f t="shared" si="0"/>
        <v>0</v>
      </c>
      <c r="B37" s="953"/>
      <c r="C37" s="960"/>
      <c r="D37" s="961"/>
      <c r="E37" s="962"/>
    </row>
    <row r="38" spans="1:5" x14ac:dyDescent="0.25">
      <c r="A38" s="31">
        <f t="shared" si="0"/>
        <v>0</v>
      </c>
      <c r="B38" s="953"/>
      <c r="C38" s="960"/>
      <c r="D38" s="961"/>
      <c r="E38" s="962"/>
    </row>
    <row r="39" spans="1:5" x14ac:dyDescent="0.25">
      <c r="A39" s="31">
        <f t="shared" si="0"/>
        <v>0</v>
      </c>
      <c r="B39" s="953"/>
      <c r="C39" s="960"/>
      <c r="D39" s="961"/>
      <c r="E39" s="962"/>
    </row>
    <row r="40" spans="1:5" x14ac:dyDescent="0.25">
      <c r="A40" s="31">
        <f t="shared" si="0"/>
        <v>0</v>
      </c>
      <c r="B40" s="953"/>
      <c r="C40" s="960"/>
      <c r="D40" s="961"/>
      <c r="E40" s="962"/>
    </row>
    <row r="41" spans="1:5" x14ac:dyDescent="0.25">
      <c r="A41" s="31">
        <f t="shared" si="0"/>
        <v>0</v>
      </c>
      <c r="B41" s="953"/>
      <c r="C41" s="960"/>
      <c r="D41" s="961"/>
      <c r="E41" s="962"/>
    </row>
    <row r="42" spans="1:5" x14ac:dyDescent="0.25">
      <c r="A42" s="31">
        <f t="shared" si="0"/>
        <v>0</v>
      </c>
      <c r="B42" s="953"/>
      <c r="C42" s="960"/>
      <c r="D42" s="961"/>
      <c r="E42" s="962"/>
    </row>
    <row r="43" spans="1:5" x14ac:dyDescent="0.25">
      <c r="A43" s="31">
        <f t="shared" si="0"/>
        <v>0</v>
      </c>
      <c r="B43" s="953"/>
      <c r="C43" s="960"/>
      <c r="D43" s="961"/>
      <c r="E43" s="962"/>
    </row>
    <row r="44" spans="1:5" x14ac:dyDescent="0.25">
      <c r="A44" s="31">
        <f t="shared" si="0"/>
        <v>0</v>
      </c>
      <c r="B44" s="953"/>
      <c r="C44" s="960"/>
      <c r="D44" s="961"/>
      <c r="E44" s="962"/>
    </row>
    <row r="45" spans="1:5" x14ac:dyDescent="0.25">
      <c r="A45" s="31">
        <f t="shared" si="0"/>
        <v>0</v>
      </c>
      <c r="B45" s="953"/>
      <c r="C45" s="960"/>
      <c r="D45" s="961"/>
      <c r="E45" s="962"/>
    </row>
    <row r="46" spans="1:5" x14ac:dyDescent="0.25">
      <c r="A46" s="31">
        <f t="shared" si="0"/>
        <v>0</v>
      </c>
      <c r="B46" s="953"/>
      <c r="C46" s="960"/>
      <c r="D46" s="961"/>
      <c r="E46" s="962"/>
    </row>
    <row r="47" spans="1:5" x14ac:dyDescent="0.25">
      <c r="A47" s="31">
        <f t="shared" si="0"/>
        <v>0</v>
      </c>
      <c r="B47" s="953"/>
      <c r="C47" s="960"/>
      <c r="D47" s="961"/>
      <c r="E47" s="962"/>
    </row>
    <row r="48" spans="1:5" x14ac:dyDescent="0.25">
      <c r="A48" s="31">
        <f t="shared" si="0"/>
        <v>0</v>
      </c>
      <c r="B48" s="953"/>
      <c r="C48" s="960"/>
      <c r="D48" s="961"/>
      <c r="E48" s="962"/>
    </row>
    <row r="49" spans="1:5" x14ac:dyDescent="0.25">
      <c r="A49" s="31">
        <f t="shared" si="0"/>
        <v>0</v>
      </c>
      <c r="B49" s="953"/>
      <c r="C49" s="960"/>
      <c r="D49" s="961"/>
      <c r="E49" s="962"/>
    </row>
    <row r="50" spans="1:5" x14ac:dyDescent="0.25">
      <c r="A50" s="31">
        <f t="shared" si="0"/>
        <v>0</v>
      </c>
      <c r="B50" s="953"/>
      <c r="C50" s="960"/>
      <c r="D50" s="961"/>
      <c r="E50" s="962"/>
    </row>
    <row r="51" spans="1:5" x14ac:dyDescent="0.25">
      <c r="A51" s="31">
        <f t="shared" si="0"/>
        <v>0</v>
      </c>
      <c r="B51" s="953"/>
      <c r="C51" s="960"/>
      <c r="D51" s="961"/>
      <c r="E51" s="962"/>
    </row>
    <row r="52" spans="1:5" x14ac:dyDescent="0.25">
      <c r="A52" s="31">
        <f t="shared" si="0"/>
        <v>0</v>
      </c>
      <c r="B52" s="953"/>
      <c r="C52" s="960"/>
      <c r="D52" s="961"/>
      <c r="E52" s="962"/>
    </row>
    <row r="53" spans="1:5" x14ac:dyDescent="0.25">
      <c r="A53" s="31">
        <f t="shared" si="0"/>
        <v>0</v>
      </c>
      <c r="B53" s="953"/>
      <c r="C53" s="960"/>
      <c r="D53" s="961"/>
      <c r="E53" s="962"/>
    </row>
    <row r="54" spans="1:5" x14ac:dyDescent="0.25">
      <c r="B54" s="953"/>
      <c r="C54" s="960"/>
      <c r="D54" s="961"/>
      <c r="E54" s="962"/>
    </row>
    <row r="55" spans="1:5" x14ac:dyDescent="0.25">
      <c r="B55" s="953"/>
      <c r="C55" s="960"/>
      <c r="D55" s="961"/>
      <c r="E55" s="962"/>
    </row>
    <row r="56" spans="1:5" x14ac:dyDescent="0.25">
      <c r="B56" s="953"/>
      <c r="C56" s="960"/>
      <c r="D56" s="961"/>
      <c r="E56" s="962"/>
    </row>
    <row r="57" spans="1:5" x14ac:dyDescent="0.25">
      <c r="B57" s="953"/>
      <c r="C57" s="960"/>
      <c r="D57" s="961"/>
      <c r="E57" s="962"/>
    </row>
    <row r="58" spans="1:5" x14ac:dyDescent="0.25">
      <c r="B58" s="953"/>
      <c r="C58" s="960"/>
      <c r="D58" s="961"/>
      <c r="E58" s="962"/>
    </row>
    <row r="59" spans="1:5" x14ac:dyDescent="0.25">
      <c r="B59" s="953"/>
      <c r="C59" s="960"/>
      <c r="D59" s="961"/>
      <c r="E59" s="962"/>
    </row>
    <row r="60" spans="1:5" x14ac:dyDescent="0.25">
      <c r="B60" s="953"/>
      <c r="C60" s="960"/>
      <c r="D60" s="961"/>
      <c r="E60" s="962"/>
    </row>
    <row r="61" spans="1:5" x14ac:dyDescent="0.25">
      <c r="B61" s="953"/>
      <c r="C61" s="960"/>
      <c r="D61" s="961"/>
      <c r="E61" s="962"/>
    </row>
    <row r="62" spans="1:5" x14ac:dyDescent="0.25">
      <c r="B62" s="953"/>
      <c r="C62" s="960"/>
      <c r="D62" s="961"/>
      <c r="E62" s="962"/>
    </row>
    <row r="63" spans="1:5" x14ac:dyDescent="0.25">
      <c r="B63" s="953"/>
      <c r="C63" s="960"/>
      <c r="D63" s="961"/>
      <c r="E63" s="962"/>
    </row>
    <row r="64" spans="1:5" x14ac:dyDescent="0.25">
      <c r="B64" s="953"/>
      <c r="C64" s="960"/>
      <c r="D64" s="961"/>
      <c r="E64" s="962"/>
    </row>
    <row r="65" spans="2:5" x14ac:dyDescent="0.25">
      <c r="B65" s="953"/>
      <c r="C65" s="960"/>
      <c r="D65" s="961"/>
      <c r="E65" s="962"/>
    </row>
    <row r="66" spans="2:5" x14ac:dyDescent="0.25">
      <c r="B66" s="953"/>
      <c r="C66" s="960"/>
      <c r="D66" s="961"/>
      <c r="E66" s="962"/>
    </row>
    <row r="67" spans="2:5" x14ac:dyDescent="0.25">
      <c r="B67" s="953"/>
      <c r="C67" s="960"/>
      <c r="D67" s="961"/>
      <c r="E67" s="962"/>
    </row>
    <row r="68" spans="2:5" x14ac:dyDescent="0.25">
      <c r="B68" s="953"/>
      <c r="C68" s="960"/>
      <c r="D68" s="961"/>
      <c r="E68" s="962"/>
    </row>
    <row r="69" spans="2:5" x14ac:dyDescent="0.25">
      <c r="B69" s="953"/>
      <c r="C69" s="960"/>
      <c r="D69" s="961"/>
      <c r="E69" s="962"/>
    </row>
    <row r="70" spans="2:5" x14ac:dyDescent="0.25">
      <c r="B70" s="953"/>
      <c r="C70" s="960"/>
      <c r="D70" s="961"/>
      <c r="E70" s="962"/>
    </row>
    <row r="71" spans="2:5" x14ac:dyDescent="0.25">
      <c r="B71" s="953"/>
      <c r="C71" s="960"/>
      <c r="D71" s="961"/>
      <c r="E71" s="962"/>
    </row>
    <row r="72" spans="2:5" x14ac:dyDescent="0.25">
      <c r="B72" s="953"/>
      <c r="C72" s="960"/>
      <c r="D72" s="961"/>
      <c r="E72" s="962"/>
    </row>
    <row r="73" spans="2:5" x14ac:dyDescent="0.25">
      <c r="B73" s="953"/>
      <c r="C73" s="960"/>
      <c r="D73" s="961"/>
      <c r="E73" s="962"/>
    </row>
    <row r="74" spans="2:5" x14ac:dyDescent="0.25">
      <c r="B74" s="953"/>
      <c r="C74" s="960"/>
      <c r="D74" s="961"/>
      <c r="E74" s="962"/>
    </row>
    <row r="75" spans="2:5" x14ac:dyDescent="0.25">
      <c r="B75" s="953"/>
      <c r="C75" s="960"/>
      <c r="D75" s="961"/>
      <c r="E75" s="962"/>
    </row>
    <row r="76" spans="2:5" x14ac:dyDescent="0.25">
      <c r="B76" s="953"/>
      <c r="C76" s="960"/>
      <c r="D76" s="961"/>
      <c r="E76" s="962"/>
    </row>
    <row r="77" spans="2:5" x14ac:dyDescent="0.25">
      <c r="B77" s="953"/>
      <c r="C77" s="960"/>
      <c r="D77" s="961"/>
      <c r="E77" s="962"/>
    </row>
    <row r="78" spans="2:5" x14ac:dyDescent="0.25">
      <c r="B78" s="953"/>
      <c r="C78" s="960"/>
      <c r="D78" s="961"/>
      <c r="E78" s="962"/>
    </row>
    <row r="79" spans="2:5" x14ac:dyDescent="0.25">
      <c r="B79" s="953"/>
      <c r="C79" s="960"/>
      <c r="D79" s="961"/>
      <c r="E79" s="962"/>
    </row>
    <row r="80" spans="2:5" x14ac:dyDescent="0.25">
      <c r="B80" s="953"/>
      <c r="C80" s="960"/>
      <c r="D80" s="961"/>
      <c r="E80" s="962"/>
    </row>
    <row r="81" spans="2:5" x14ac:dyDescent="0.25">
      <c r="B81" s="953"/>
      <c r="C81" s="960"/>
      <c r="D81" s="961"/>
      <c r="E81" s="962"/>
    </row>
    <row r="82" spans="2:5" x14ac:dyDescent="0.25">
      <c r="B82" s="953"/>
      <c r="C82" s="960"/>
      <c r="D82" s="961"/>
      <c r="E82" s="962"/>
    </row>
    <row r="83" spans="2:5" x14ac:dyDescent="0.25">
      <c r="B83" s="953"/>
      <c r="C83" s="960"/>
      <c r="D83" s="961"/>
      <c r="E83" s="962"/>
    </row>
    <row r="84" spans="2:5" x14ac:dyDescent="0.25">
      <c r="B84" s="953"/>
      <c r="C84" s="960"/>
      <c r="D84" s="961"/>
      <c r="E84" s="962"/>
    </row>
    <row r="85" spans="2:5" x14ac:dyDescent="0.25">
      <c r="B85" s="953"/>
      <c r="C85" s="960"/>
      <c r="D85" s="961"/>
      <c r="E85" s="962"/>
    </row>
    <row r="86" spans="2:5" x14ac:dyDescent="0.25">
      <c r="B86" s="953"/>
      <c r="C86" s="960"/>
      <c r="D86" s="961"/>
      <c r="E86" s="962"/>
    </row>
    <row r="87" spans="2:5" x14ac:dyDescent="0.25">
      <c r="B87" s="953"/>
      <c r="C87" s="960"/>
      <c r="D87" s="961"/>
      <c r="E87" s="962"/>
    </row>
    <row r="88" spans="2:5" x14ac:dyDescent="0.25">
      <c r="B88" s="953"/>
      <c r="C88" s="960"/>
      <c r="D88" s="961"/>
      <c r="E88" s="962"/>
    </row>
    <row r="89" spans="2:5" x14ac:dyDescent="0.25">
      <c r="B89" s="953"/>
      <c r="C89" s="960"/>
      <c r="D89" s="961"/>
      <c r="E89" s="962"/>
    </row>
    <row r="90" spans="2:5" x14ac:dyDescent="0.25">
      <c r="B90" s="953"/>
      <c r="C90" s="960"/>
      <c r="D90" s="961"/>
      <c r="E90" s="962"/>
    </row>
    <row r="91" spans="2:5" x14ac:dyDescent="0.25">
      <c r="B91" s="953"/>
      <c r="C91" s="960"/>
      <c r="D91" s="961"/>
      <c r="E91" s="962"/>
    </row>
    <row r="92" spans="2:5" x14ac:dyDescent="0.25">
      <c r="B92" s="953"/>
      <c r="C92" s="960"/>
      <c r="D92" s="961"/>
      <c r="E92" s="962"/>
    </row>
    <row r="93" spans="2:5" x14ac:dyDescent="0.25">
      <c r="B93" s="953"/>
      <c r="C93" s="960"/>
      <c r="D93" s="961"/>
      <c r="E93" s="962"/>
    </row>
    <row r="94" spans="2:5" x14ac:dyDescent="0.25">
      <c r="B94" s="953"/>
      <c r="C94" s="960"/>
      <c r="D94" s="961"/>
      <c r="E94" s="962"/>
    </row>
    <row r="95" spans="2:5" x14ac:dyDescent="0.25">
      <c r="B95" s="953"/>
      <c r="C95" s="960"/>
      <c r="D95" s="961"/>
      <c r="E95" s="962"/>
    </row>
    <row r="96" spans="2:5" x14ac:dyDescent="0.25">
      <c r="B96" s="953"/>
      <c r="C96" s="960"/>
      <c r="D96" s="961"/>
      <c r="E96" s="962"/>
    </row>
    <row r="97" spans="2:5" x14ac:dyDescent="0.25">
      <c r="B97" s="953"/>
      <c r="C97" s="960"/>
      <c r="D97" s="961"/>
      <c r="E97" s="962"/>
    </row>
    <row r="98" spans="2:5" x14ac:dyDescent="0.25">
      <c r="B98" s="953"/>
      <c r="C98" s="960"/>
      <c r="D98" s="961"/>
      <c r="E98" s="962"/>
    </row>
    <row r="99" spans="2:5" x14ac:dyDescent="0.25">
      <c r="B99" s="953"/>
      <c r="C99" s="960"/>
      <c r="D99" s="961"/>
      <c r="E99" s="962"/>
    </row>
    <row r="100" spans="2:5" x14ac:dyDescent="0.25">
      <c r="B100" s="953"/>
      <c r="C100" s="960"/>
      <c r="D100" s="961"/>
      <c r="E100" s="962"/>
    </row>
    <row r="101" spans="2:5" x14ac:dyDescent="0.25">
      <c r="B101" s="953"/>
      <c r="C101" s="960"/>
      <c r="D101" s="961"/>
      <c r="E101" s="962"/>
    </row>
    <row r="102" spans="2:5" x14ac:dyDescent="0.25">
      <c r="B102" s="953"/>
      <c r="C102" s="960"/>
      <c r="D102" s="961"/>
      <c r="E102" s="962"/>
    </row>
    <row r="103" spans="2:5" x14ac:dyDescent="0.25">
      <c r="B103" s="953"/>
      <c r="C103" s="960"/>
      <c r="D103" s="961"/>
      <c r="E103" s="962"/>
    </row>
    <row r="104" spans="2:5" x14ac:dyDescent="0.25">
      <c r="B104" s="953"/>
      <c r="C104" s="960"/>
      <c r="D104" s="961"/>
      <c r="E104" s="962"/>
    </row>
    <row r="105" spans="2:5" x14ac:dyDescent="0.25">
      <c r="B105" s="953"/>
      <c r="C105" s="960"/>
      <c r="D105" s="961"/>
      <c r="E105" s="962"/>
    </row>
    <row r="106" spans="2:5" x14ac:dyDescent="0.25">
      <c r="B106" s="953"/>
      <c r="C106" s="960"/>
      <c r="D106" s="961"/>
      <c r="E106" s="962"/>
    </row>
    <row r="107" spans="2:5" x14ac:dyDescent="0.25">
      <c r="B107" s="953"/>
      <c r="C107" s="960"/>
      <c r="D107" s="961"/>
      <c r="E107" s="962"/>
    </row>
    <row r="108" spans="2:5" x14ac:dyDescent="0.25">
      <c r="B108" s="953"/>
      <c r="C108" s="960"/>
      <c r="D108" s="961"/>
      <c r="E108" s="962"/>
    </row>
    <row r="109" spans="2:5" x14ac:dyDescent="0.25">
      <c r="B109" s="953"/>
      <c r="C109" s="960"/>
      <c r="D109" s="961"/>
      <c r="E109" s="962"/>
    </row>
    <row r="110" spans="2:5" x14ac:dyDescent="0.25">
      <c r="B110" s="953"/>
      <c r="C110" s="960"/>
      <c r="D110" s="961"/>
      <c r="E110" s="962"/>
    </row>
    <row r="111" spans="2:5" x14ac:dyDescent="0.25">
      <c r="B111" s="953"/>
      <c r="C111" s="960"/>
      <c r="D111" s="961"/>
      <c r="E111" s="962"/>
    </row>
    <row r="112" spans="2:5" x14ac:dyDescent="0.25">
      <c r="B112" s="953"/>
      <c r="C112" s="960"/>
      <c r="D112" s="961"/>
      <c r="E112" s="962"/>
    </row>
    <row r="113" spans="2:5" x14ac:dyDescent="0.25">
      <c r="B113" s="953"/>
      <c r="C113" s="960"/>
      <c r="D113" s="961"/>
      <c r="E113" s="962"/>
    </row>
    <row r="114" spans="2:5" x14ac:dyDescent="0.25">
      <c r="B114" s="953"/>
      <c r="C114" s="960"/>
      <c r="D114" s="961"/>
      <c r="E114" s="962"/>
    </row>
    <row r="115" spans="2:5" x14ac:dyDescent="0.25">
      <c r="B115" s="953"/>
      <c r="C115" s="960"/>
      <c r="D115" s="961"/>
      <c r="E115" s="962"/>
    </row>
    <row r="116" spans="2:5" x14ac:dyDescent="0.25">
      <c r="B116" s="953"/>
      <c r="C116" s="960"/>
      <c r="D116" s="961"/>
      <c r="E116" s="962"/>
    </row>
    <row r="117" spans="2:5" x14ac:dyDescent="0.25">
      <c r="B117" s="953"/>
      <c r="C117" s="960"/>
      <c r="D117" s="961"/>
      <c r="E117" s="962"/>
    </row>
    <row r="118" spans="2:5" x14ac:dyDescent="0.25">
      <c r="B118" s="953"/>
      <c r="C118" s="960"/>
      <c r="D118" s="961"/>
      <c r="E118" s="962"/>
    </row>
    <row r="119" spans="2:5" x14ac:dyDescent="0.25">
      <c r="B119" s="953"/>
      <c r="C119" s="960"/>
      <c r="D119" s="961"/>
      <c r="E119" s="962"/>
    </row>
    <row r="120" spans="2:5" x14ac:dyDescent="0.25">
      <c r="B120" s="953"/>
      <c r="C120" s="960"/>
      <c r="D120" s="961"/>
      <c r="E120" s="962"/>
    </row>
    <row r="121" spans="2:5" x14ac:dyDescent="0.25">
      <c r="B121" s="953"/>
      <c r="C121" s="960"/>
      <c r="D121" s="961"/>
      <c r="E121" s="962"/>
    </row>
    <row r="122" spans="2:5" x14ac:dyDescent="0.25">
      <c r="B122" s="953"/>
      <c r="C122" s="960"/>
      <c r="D122" s="961"/>
      <c r="E122" s="962"/>
    </row>
    <row r="123" spans="2:5" x14ac:dyDescent="0.25">
      <c r="B123" s="953"/>
      <c r="C123" s="960"/>
      <c r="D123" s="961"/>
      <c r="E123" s="962"/>
    </row>
    <row r="124" spans="2:5" x14ac:dyDescent="0.25">
      <c r="B124" s="953"/>
      <c r="C124" s="960"/>
      <c r="D124" s="961"/>
      <c r="E124" s="962"/>
    </row>
    <row r="125" spans="2:5" x14ac:dyDescent="0.25">
      <c r="B125" s="953"/>
      <c r="C125" s="960"/>
      <c r="D125" s="961"/>
      <c r="E125" s="962"/>
    </row>
    <row r="126" spans="2:5" x14ac:dyDescent="0.25">
      <c r="B126" s="953"/>
      <c r="C126" s="960"/>
      <c r="D126" s="961"/>
      <c r="E126" s="962"/>
    </row>
    <row r="127" spans="2:5" x14ac:dyDescent="0.25">
      <c r="B127" s="953"/>
      <c r="C127" s="960"/>
      <c r="D127" s="961"/>
      <c r="E127" s="962"/>
    </row>
    <row r="128" spans="2:5" x14ac:dyDescent="0.25">
      <c r="B128" s="953"/>
      <c r="C128" s="960"/>
      <c r="D128" s="961"/>
      <c r="E128" s="962"/>
    </row>
    <row r="129" spans="2:5" x14ac:dyDescent="0.25">
      <c r="B129" s="953"/>
      <c r="C129" s="960"/>
      <c r="D129" s="961"/>
      <c r="E129" s="962"/>
    </row>
    <row r="130" spans="2:5" x14ac:dyDescent="0.25">
      <c r="B130" s="953"/>
      <c r="C130" s="960"/>
      <c r="D130" s="961"/>
      <c r="E130" s="962"/>
    </row>
    <row r="131" spans="2:5" x14ac:dyDescent="0.25">
      <c r="B131" s="953"/>
      <c r="C131" s="960"/>
      <c r="D131" s="961"/>
      <c r="E131" s="962"/>
    </row>
    <row r="132" spans="2:5" x14ac:dyDescent="0.25">
      <c r="B132" s="953"/>
      <c r="C132" s="960"/>
      <c r="D132" s="961"/>
      <c r="E132" s="962"/>
    </row>
    <row r="133" spans="2:5" x14ac:dyDescent="0.25">
      <c r="B133" s="953"/>
      <c r="C133" s="960"/>
      <c r="D133" s="961"/>
      <c r="E133" s="962"/>
    </row>
    <row r="134" spans="2:5" x14ac:dyDescent="0.25">
      <c r="B134" s="953"/>
      <c r="C134" s="960"/>
      <c r="D134" s="961"/>
      <c r="E134" s="962"/>
    </row>
    <row r="135" spans="2:5" x14ac:dyDescent="0.25">
      <c r="B135" s="953"/>
      <c r="C135" s="960"/>
      <c r="D135" s="961"/>
      <c r="E135" s="962"/>
    </row>
    <row r="136" spans="2:5" x14ac:dyDescent="0.25">
      <c r="B136" s="953"/>
      <c r="C136" s="960"/>
      <c r="D136" s="961"/>
      <c r="E136" s="962"/>
    </row>
    <row r="137" spans="2:5" x14ac:dyDescent="0.25">
      <c r="B137" s="953"/>
      <c r="C137" s="960"/>
      <c r="D137" s="961"/>
      <c r="E137" s="962"/>
    </row>
    <row r="138" spans="2:5" x14ac:dyDescent="0.25">
      <c r="B138" s="953"/>
      <c r="C138" s="960"/>
      <c r="D138" s="961"/>
      <c r="E138" s="962"/>
    </row>
    <row r="139" spans="2:5" x14ac:dyDescent="0.25">
      <c r="B139" s="953"/>
      <c r="C139" s="960"/>
      <c r="D139" s="961"/>
      <c r="E139" s="962"/>
    </row>
    <row r="140" spans="2:5" x14ac:dyDescent="0.25">
      <c r="B140" s="953"/>
      <c r="C140" s="960"/>
      <c r="D140" s="961"/>
      <c r="E140" s="962"/>
    </row>
    <row r="141" spans="2:5" x14ac:dyDescent="0.25">
      <c r="B141" s="953"/>
      <c r="C141" s="960"/>
      <c r="D141" s="961"/>
      <c r="E141" s="962"/>
    </row>
    <row r="142" spans="2:5" x14ac:dyDescent="0.25">
      <c r="B142" s="953"/>
      <c r="C142" s="960"/>
      <c r="D142" s="961"/>
      <c r="E142" s="962"/>
    </row>
    <row r="143" spans="2:5" x14ac:dyDescent="0.25">
      <c r="B143" s="953"/>
      <c r="C143" s="960"/>
      <c r="D143" s="961"/>
      <c r="E143" s="962"/>
    </row>
    <row r="144" spans="2:5" x14ac:dyDescent="0.25">
      <c r="B144" s="953"/>
      <c r="C144" s="960"/>
      <c r="D144" s="961"/>
      <c r="E144" s="962"/>
    </row>
    <row r="145" spans="2:5" x14ac:dyDescent="0.25">
      <c r="B145" s="953"/>
      <c r="C145" s="960"/>
      <c r="D145" s="961"/>
      <c r="E145" s="962"/>
    </row>
    <row r="146" spans="2:5" x14ac:dyDescent="0.25">
      <c r="B146" s="953"/>
      <c r="C146" s="960"/>
      <c r="D146" s="961"/>
      <c r="E146" s="962"/>
    </row>
    <row r="147" spans="2:5" x14ac:dyDescent="0.25">
      <c r="B147" s="953"/>
      <c r="C147" s="960"/>
      <c r="D147" s="961"/>
      <c r="E147" s="962"/>
    </row>
    <row r="148" spans="2:5" x14ac:dyDescent="0.25">
      <c r="B148" s="953"/>
      <c r="C148" s="960"/>
      <c r="D148" s="961"/>
      <c r="E148" s="962"/>
    </row>
    <row r="149" spans="2:5" x14ac:dyDescent="0.25">
      <c r="B149" s="953"/>
      <c r="C149" s="960"/>
      <c r="D149" s="961"/>
      <c r="E149" s="962"/>
    </row>
    <row r="150" spans="2:5" x14ac:dyDescent="0.25">
      <c r="B150" s="954"/>
      <c r="C150" s="963"/>
      <c r="D150" s="964"/>
      <c r="E150" s="965"/>
    </row>
  </sheetData>
  <sortState xmlns:xlrd2="http://schemas.microsoft.com/office/spreadsheetml/2017/richdata2" ref="A9:E51">
    <sortCondition ref="A9:A51"/>
  </sortState>
  <mergeCells count="3">
    <mergeCell ref="C7:D7"/>
    <mergeCell ref="B7:B8"/>
    <mergeCell ref="E7:E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Settings</vt:lpstr>
      <vt:lpstr>Settings (2)</vt:lpstr>
      <vt:lpstr>Assy.Model</vt:lpstr>
      <vt:lpstr>Sheet1</vt:lpstr>
      <vt:lpstr>SN#.Run#</vt:lpstr>
      <vt:lpstr>MassProp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2025-01-17T20:02:42Z</cp:lastPrinted>
  <dcterms:created xsi:type="dcterms:W3CDTF">2012-04-19T16:28:10Z</dcterms:created>
  <dcterms:modified xsi:type="dcterms:W3CDTF">2026-03-19T20:30:35Z</dcterms:modified>
</cp:coreProperties>
</file>